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45" windowWidth="11625" windowHeight="1083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清单" sheetId="80" r:id="rId13"/>
    <sheet name="数据-基础表" sheetId="3"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基准地价修正" sheetId="43" r:id="rId23"/>
    <sheet name="结果表 (2)" sheetId="83" r:id="rId24"/>
    <sheet name="比较法-办公" sheetId="34" r:id="rId25"/>
    <sheet name="收益法" sheetId="15" r:id="rId26"/>
    <sheet name="收益法(仓储)" sheetId="82" r:id="rId27"/>
    <sheet name="收益法 (元)" sheetId="67" state="hidden" r:id="rId28"/>
    <sheet name="收益法-酒店模型" sheetId="77" state="hidden" r:id="rId29"/>
    <sheet name="收益法（汇总）" sheetId="70" r:id="rId30"/>
    <sheet name="比较法-住宅" sheetId="21" state="hidden" r:id="rId31"/>
    <sheet name="比较法-商业" sheetId="33"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典型户型修正" sheetId="31" state="hidden" r:id="rId38"/>
    <sheet name="基准地价（汇总）" sheetId="76" state="hidden" r:id="rId39"/>
    <sheet name="修正" sheetId="45" state="hidden" r:id="rId40"/>
    <sheet name="容积率修正" sheetId="46" state="hidden" r:id="rId41"/>
    <sheet name="成本法（废）" sheetId="11" state="hidden" r:id="rId42"/>
    <sheet name="区片价" sheetId="44" state="hidden" r:id="rId43"/>
    <sheet name="因素修正幅度" sheetId="65" state="hidden" r:id="rId44"/>
    <sheet name="区片价（范围）" sheetId="75" state="hidden" r:id="rId45"/>
    <sheet name="地价-分区" sheetId="79" state="hidden" r:id="rId46"/>
    <sheet name="地价" sheetId="71" state="hidden" r:id="rId47"/>
    <sheet name="存贷款利率" sheetId="73" state="hidden" r:id="rId48"/>
    <sheet name="Sheet2" sheetId="84" r:id="rId49"/>
  </sheets>
  <externalReferences>
    <externalReference r:id="rId50"/>
    <externalReference r:id="rId51"/>
  </externalReferences>
  <definedNames>
    <definedName name="_xlnm._FilterDatabase" localSheetId="24"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1" hidden="1">'比较法-商业'!$A$1:$L$49</definedName>
    <definedName name="_xlnm._FilterDatabase" localSheetId="30" hidden="1">'比较法-住宅'!$A$1:$L$49</definedName>
    <definedName name="_xlnm._FilterDatabase" localSheetId="13"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24">'比较法-办公'!$A$1:$K$55,'比较法-办公'!$A$58:$M$132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1">'比较法-商业'!$A$1:$K$54,'比较法-商业'!$A$57:$M$131</definedName>
    <definedName name="_xlnm.Print_Area" localSheetId="30">'比较法-住宅'!$A$1:$K$54,'比较法-住宅'!$A$57:$M$131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8">'基准地价（汇总）'!$A$1:$E$13</definedName>
    <definedName name="_xlnm.Print_Area" localSheetId="22">基准地价修正!$A$1:$J$44,基准地价修正!$A$47:$H$101,基准地价修正!$R$1:$V$16</definedName>
    <definedName name="_xlnm.Print_Area" localSheetId="21">假设开发法!$A$1:$K$32</definedName>
    <definedName name="_xlnm.Print_Area" localSheetId="18">结果表!$A$1:$I$127</definedName>
    <definedName name="_xlnm.Print_Area" localSheetId="23">'结果表 (2)'!$A$1:$I$127</definedName>
    <definedName name="_xlnm.Print_Area" localSheetId="25">收益法!$A$1:$F$43,收益法!$H$3:$M$29,收益法!$A$46:$F$71,收益法!$I$46:$N$65</definedName>
    <definedName name="_xlnm.Print_Area" localSheetId="27">'收益法 (元)'!$A$1:$F$43,'收益法 (元)'!$H$3:$M$29,'收益法 (元)'!$A$45:$F$71,'收益法 (元)'!$I$46:$N$65</definedName>
    <definedName name="_xlnm.Print_Area" localSheetId="26">'收益法(仓储)'!$A$1:$F$43,'收益法(仓储)'!$H$3:$M$29,'收益法(仓储)'!$A$46:$F$71,'收益法(仓储)'!$I$46:$N$65</definedName>
    <definedName name="_xlnm.Print_Area" localSheetId="29">'收益法（汇总）'!$A$1:$F$13</definedName>
    <definedName name="_xlnm.Print_Area" localSheetId="14">'数据-汇总表'!$A$1:$P$32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15" i="74" l="1"/>
  <c r="B14" i="74"/>
  <c r="C6" i="68" l="1"/>
  <c r="A120" i="83"/>
  <c r="A118" i="83"/>
  <c r="H111" i="83"/>
  <c r="D126" i="83" s="1"/>
  <c r="D127" i="83" s="1"/>
  <c r="E111" i="83"/>
  <c r="A126" i="83" s="1"/>
  <c r="E109" i="83"/>
  <c r="A124" i="83" s="1"/>
  <c r="E107" i="83"/>
  <c r="A122" i="83" s="1"/>
  <c r="H106" i="83"/>
  <c r="H103" i="83" s="1"/>
  <c r="D120" i="83" s="1"/>
  <c r="H105" i="83"/>
  <c r="H104" i="83"/>
  <c r="D101" i="83"/>
  <c r="C101" i="83"/>
  <c r="D93" i="83"/>
  <c r="C91" i="83"/>
  <c r="E90" i="83"/>
  <c r="D89" i="83"/>
  <c r="C89" i="83"/>
  <c r="C87" i="83" s="1"/>
  <c r="D78" i="83"/>
  <c r="H77" i="83"/>
  <c r="D77" i="83"/>
  <c r="C77" i="83" s="1"/>
  <c r="C76" i="83"/>
  <c r="D68" i="83"/>
  <c r="F59" i="83"/>
  <c r="E59" i="83"/>
  <c r="N56" i="83"/>
  <c r="M56" i="83"/>
  <c r="K56" i="83"/>
  <c r="J56" i="83"/>
  <c r="F56" i="83"/>
  <c r="O55" i="83"/>
  <c r="N55" i="83"/>
  <c r="K55" i="83"/>
  <c r="J55" i="83"/>
  <c r="J57" i="83" s="1"/>
  <c r="J59" i="83" s="1"/>
  <c r="J61" i="83" s="1"/>
  <c r="I55" i="83"/>
  <c r="F55" i="83"/>
  <c r="O53" i="83" s="1"/>
  <c r="O54" i="83"/>
  <c r="N54" i="83"/>
  <c r="F54" i="83"/>
  <c r="N53" i="83"/>
  <c r="F53" i="83"/>
  <c r="F52" i="83"/>
  <c r="K49" i="83"/>
  <c r="F48" i="83"/>
  <c r="O52" i="83" s="1"/>
  <c r="E48" i="83"/>
  <c r="N52" i="83" s="1"/>
  <c r="D48" i="83"/>
  <c r="M52" i="83" s="1"/>
  <c r="M47" i="83"/>
  <c r="F33" i="83"/>
  <c r="D27" i="83"/>
  <c r="C25" i="83"/>
  <c r="C24" i="83"/>
  <c r="M19" i="83"/>
  <c r="C118" i="83" s="1"/>
  <c r="L19" i="83"/>
  <c r="M18" i="83"/>
  <c r="B118" i="83" s="1"/>
  <c r="L18" i="83"/>
  <c r="D17" i="83"/>
  <c r="C17" i="83"/>
  <c r="L4" i="83"/>
  <c r="K4" i="83"/>
  <c r="A2" i="83"/>
  <c r="H1" i="83"/>
  <c r="I37" i="34"/>
  <c r="G37" i="34"/>
  <c r="E37" i="34"/>
  <c r="C37" i="34"/>
  <c r="I7" i="34"/>
  <c r="G7" i="34"/>
  <c r="E7" i="34"/>
  <c r="D34" i="83"/>
  <c r="D35" i="83"/>
  <c r="C18" i="83" l="1"/>
  <c r="D18" i="83" s="1"/>
  <c r="K120" i="83"/>
  <c r="D121" i="83"/>
  <c r="C74" i="83"/>
  <c r="C92" i="83"/>
  <c r="C94" i="83"/>
  <c r="H109" i="83"/>
  <c r="H112" i="83"/>
  <c r="D41" i="43"/>
  <c r="G44" i="43"/>
  <c r="D33" i="43"/>
  <c r="G84" i="43"/>
  <c r="G85" i="43"/>
  <c r="G86" i="43"/>
  <c r="G87" i="43"/>
  <c r="G88" i="43"/>
  <c r="G89" i="43"/>
  <c r="G90" i="43"/>
  <c r="G83" i="43"/>
  <c r="G13" i="4"/>
  <c r="Q72" i="82"/>
  <c r="Q59" i="82"/>
  <c r="K59" i="82"/>
  <c r="P74" i="82" s="1"/>
  <c r="Q58" i="82"/>
  <c r="Q51" i="82"/>
  <c r="J50" i="82"/>
  <c r="J51" i="82" s="1"/>
  <c r="M47" i="82"/>
  <c r="D46" i="82"/>
  <c r="F34" i="82"/>
  <c r="F62" i="82" s="1"/>
  <c r="F33" i="82"/>
  <c r="F61" i="82" s="1"/>
  <c r="F32" i="82"/>
  <c r="F60" i="82" s="1"/>
  <c r="F28" i="82"/>
  <c r="C28" i="82" s="1"/>
  <c r="F23" i="82"/>
  <c r="D23" i="82" s="1"/>
  <c r="F21" i="82"/>
  <c r="M20" i="82"/>
  <c r="F20" i="82"/>
  <c r="M19" i="82"/>
  <c r="M18" i="82"/>
  <c r="F18" i="82"/>
  <c r="F17" i="82"/>
  <c r="F15" i="82"/>
  <c r="G1" i="82"/>
  <c r="AM7" i="1"/>
  <c r="AL7" i="1"/>
  <c r="AK7" i="1"/>
  <c r="Y7" i="1"/>
  <c r="Y6" i="1"/>
  <c r="N7" i="1"/>
  <c r="N6" i="1"/>
  <c r="L7" i="1"/>
  <c r="B59" i="1"/>
  <c r="G20" i="6"/>
  <c r="F19" i="6"/>
  <c r="I15" i="3"/>
  <c r="I13" i="3"/>
  <c r="C14" i="82"/>
  <c r="F16" i="82"/>
  <c r="M9" i="82"/>
  <c r="F6" i="82"/>
  <c r="D124" i="83" l="1"/>
  <c r="D125" i="83" s="1"/>
  <c r="H110" i="83"/>
  <c r="C18" i="82"/>
  <c r="C15" i="82"/>
  <c r="D24" i="82"/>
  <c r="P61" i="82"/>
  <c r="D22" i="82"/>
  <c r="B10" i="74"/>
  <c r="F42" i="82"/>
  <c r="M26" i="82"/>
  <c r="F8" i="82"/>
  <c r="M28" i="82"/>
  <c r="M23" i="82"/>
  <c r="F37" i="82"/>
  <c r="M22" i="82"/>
  <c r="M27" i="82"/>
  <c r="J15" i="82"/>
  <c r="F7" i="82"/>
  <c r="F43" i="82"/>
  <c r="M6" i="82"/>
  <c r="F38" i="82"/>
  <c r="F40" i="82"/>
  <c r="F13" i="82"/>
  <c r="F36" i="82"/>
  <c r="M24" i="82"/>
  <c r="C76" i="82"/>
  <c r="M29" i="82"/>
  <c r="C16" i="82"/>
  <c r="M8" i="82"/>
  <c r="F9" i="82"/>
  <c r="F26" i="82"/>
  <c r="C27" i="82" l="1"/>
  <c r="F65" i="82"/>
  <c r="F51" i="82"/>
  <c r="C6" i="82"/>
  <c r="F68" i="82"/>
  <c r="F71" i="82"/>
  <c r="F64" i="82"/>
  <c r="F66" i="82"/>
  <c r="F50" i="82"/>
  <c r="M7" i="82"/>
  <c r="M17" i="82" s="1"/>
  <c r="F31" i="82"/>
  <c r="Q71" i="82"/>
  <c r="AH5" i="7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17" i="82"/>
  <c r="C49" i="82" l="1"/>
  <c r="C19" i="82"/>
  <c r="F59" i="82"/>
  <c r="C33" i="82"/>
  <c r="C32" i="82"/>
  <c r="J6" i="82"/>
  <c r="C61" i="82"/>
  <c r="C6" i="78"/>
  <c r="C7" i="78"/>
  <c r="C5" i="78"/>
  <c r="F13" i="1"/>
  <c r="D13" i="1"/>
  <c r="D12" i="1"/>
  <c r="D11" i="1"/>
  <c r="D10" i="1"/>
  <c r="D9" i="1"/>
  <c r="D8" i="1"/>
  <c r="D7" i="1"/>
  <c r="D6" i="1"/>
  <c r="L47" i="82"/>
  <c r="N59" i="82" l="1"/>
  <c r="M59" i="82"/>
  <c r="L59" i="82"/>
  <c r="J19" i="82"/>
  <c r="J18" i="82"/>
  <c r="C20" i="82"/>
  <c r="C26" i="82" s="1"/>
  <c r="I2" i="43"/>
  <c r="M1" i="43" s="1"/>
  <c r="Q61" i="82" l="1"/>
  <c r="Q74" i="82"/>
  <c r="F116" i="43"/>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0" i="79"/>
  <c r="AA30" i="79"/>
  <c r="Z30" i="79"/>
  <c r="W30" i="79"/>
  <c r="N30" i="79"/>
  <c r="M30" i="79"/>
  <c r="P30" i="79" s="1"/>
  <c r="L30" i="79"/>
  <c r="I30" i="79"/>
  <c r="AD30" i="79" s="1"/>
  <c r="AB29" i="79"/>
  <c r="AA29" i="79"/>
  <c r="Z29" i="79"/>
  <c r="N29" i="79"/>
  <c r="U29" i="79" s="1"/>
  <c r="M29" i="79"/>
  <c r="T29" i="79" s="1"/>
  <c r="W29" i="79" s="1"/>
  <c r="L29" i="79"/>
  <c r="S29" i="79" s="1"/>
  <c r="I29" i="79"/>
  <c r="AD29" i="79" s="1"/>
  <c r="AB28" i="79"/>
  <c r="AA28" i="79"/>
  <c r="Z28" i="79"/>
  <c r="N28" i="79"/>
  <c r="U28" i="79" s="1"/>
  <c r="M28" i="79"/>
  <c r="T28" i="79" s="1"/>
  <c r="W28" i="79" s="1"/>
  <c r="L28" i="79"/>
  <c r="S28" i="79" s="1"/>
  <c r="I28" i="79"/>
  <c r="AD28" i="79" s="1"/>
  <c r="AB27" i="79"/>
  <c r="AA27" i="79"/>
  <c r="Z27" i="79"/>
  <c r="N27" i="79"/>
  <c r="U27" i="79" s="1"/>
  <c r="M27" i="79"/>
  <c r="T27" i="79" s="1"/>
  <c r="W27" i="79" s="1"/>
  <c r="L27" i="79"/>
  <c r="S27" i="79" s="1"/>
  <c r="I27" i="79"/>
  <c r="AD27" i="79" s="1"/>
  <c r="AB26" i="79"/>
  <c r="AA26" i="79"/>
  <c r="Z26" i="79"/>
  <c r="N26" i="79"/>
  <c r="U26" i="79" s="1"/>
  <c r="M26" i="79"/>
  <c r="T26" i="79" s="1"/>
  <c r="W26" i="79" s="1"/>
  <c r="L26" i="79"/>
  <c r="S26" i="79" s="1"/>
  <c r="I26" i="79"/>
  <c r="AD26" i="79" s="1"/>
  <c r="AB25" i="79"/>
  <c r="AA25" i="79"/>
  <c r="Z25" i="79"/>
  <c r="N25" i="79"/>
  <c r="U25" i="79" s="1"/>
  <c r="M25" i="79"/>
  <c r="T25" i="79" s="1"/>
  <c r="W25" i="79" s="1"/>
  <c r="L25" i="79"/>
  <c r="S25" i="79" s="1"/>
  <c r="I25" i="79"/>
  <c r="AD25" i="79" s="1"/>
  <c r="AB24" i="79"/>
  <c r="AA24" i="79"/>
  <c r="Z24" i="79"/>
  <c r="N24" i="79"/>
  <c r="U24" i="79" s="1"/>
  <c r="M24" i="79"/>
  <c r="L24" i="79"/>
  <c r="S24" i="79" s="1"/>
  <c r="I24" i="79"/>
  <c r="AD24" i="79" s="1"/>
  <c r="AB23" i="79"/>
  <c r="AA23" i="79"/>
  <c r="Z23" i="79"/>
  <c r="Z20" i="79" s="1"/>
  <c r="N23" i="79"/>
  <c r="U23" i="79" s="1"/>
  <c r="M23" i="79"/>
  <c r="L23" i="79"/>
  <c r="I23" i="79"/>
  <c r="AD23" i="79" s="1"/>
  <c r="AB22" i="79"/>
  <c r="AA22" i="79"/>
  <c r="Z22" i="79"/>
  <c r="N22" i="79"/>
  <c r="U22" i="79" s="1"/>
  <c r="M22" i="79"/>
  <c r="T22" i="79" s="1"/>
  <c r="W22" i="79" s="1"/>
  <c r="L22" i="79"/>
  <c r="I22" i="79"/>
  <c r="AD22" i="79" s="1"/>
  <c r="AB20" i="79"/>
  <c r="AA20" i="79"/>
  <c r="AD20" i="79" s="1"/>
  <c r="U20" i="79"/>
  <c r="T20" i="79"/>
  <c r="W20" i="79" s="1"/>
  <c r="S20" i="79"/>
  <c r="N20" i="79"/>
  <c r="M20" i="79"/>
  <c r="P20" i="79" s="1"/>
  <c r="L20" i="79"/>
  <c r="G20" i="79"/>
  <c r="F20" i="79"/>
  <c r="I20" i="79" s="1"/>
  <c r="E20" i="79"/>
  <c r="AC13" i="79"/>
  <c r="AB13" i="79"/>
  <c r="AA13" i="79"/>
  <c r="AD13" i="79" s="1"/>
  <c r="Z13" i="79"/>
  <c r="Y13" i="79"/>
  <c r="W13" i="79"/>
  <c r="P13" i="79"/>
  <c r="O13" i="79"/>
  <c r="N13" i="79"/>
  <c r="M13" i="79"/>
  <c r="L13" i="79"/>
  <c r="K13" i="79"/>
  <c r="I13" i="79"/>
  <c r="AC12" i="79"/>
  <c r="AB12" i="79"/>
  <c r="AA12" i="79"/>
  <c r="AD12" i="79" s="1"/>
  <c r="Z12" i="79"/>
  <c r="Y12" i="79"/>
  <c r="O12" i="79"/>
  <c r="V12" i="79" s="1"/>
  <c r="N12" i="79"/>
  <c r="U12" i="79" s="1"/>
  <c r="M12" i="79"/>
  <c r="P12" i="79" s="1"/>
  <c r="L12" i="79"/>
  <c r="S12" i="79" s="1"/>
  <c r="K12" i="79"/>
  <c r="R12" i="79" s="1"/>
  <c r="I12" i="79"/>
  <c r="AD11" i="79"/>
  <c r="AC11" i="79"/>
  <c r="AB11" i="79"/>
  <c r="AA11" i="79"/>
  <c r="Z11" i="79"/>
  <c r="Y11" i="79"/>
  <c r="P11" i="79"/>
  <c r="O11" i="79"/>
  <c r="V11" i="79" s="1"/>
  <c r="N11" i="79"/>
  <c r="U11" i="79" s="1"/>
  <c r="M11" i="79"/>
  <c r="T11" i="79" s="1"/>
  <c r="W11" i="79" s="1"/>
  <c r="L11" i="79"/>
  <c r="S11" i="79" s="1"/>
  <c r="K11" i="79"/>
  <c r="R11" i="79" s="1"/>
  <c r="I11" i="79"/>
  <c r="AC10" i="79"/>
  <c r="AB10" i="79"/>
  <c r="AA10" i="79"/>
  <c r="AD10" i="79" s="1"/>
  <c r="Z10" i="79"/>
  <c r="Y10" i="79"/>
  <c r="O10" i="79"/>
  <c r="V10" i="79" s="1"/>
  <c r="N10" i="79"/>
  <c r="U10" i="79" s="1"/>
  <c r="M10" i="79"/>
  <c r="P10" i="79" s="1"/>
  <c r="L10" i="79"/>
  <c r="S10" i="79" s="1"/>
  <c r="K10" i="79"/>
  <c r="R10" i="79" s="1"/>
  <c r="I10" i="79"/>
  <c r="AD9" i="79"/>
  <c r="AC9" i="79"/>
  <c r="AB9" i="79"/>
  <c r="AA9" i="79"/>
  <c r="Z9" i="79"/>
  <c r="Y9" i="79"/>
  <c r="P9" i="79"/>
  <c r="O9" i="79"/>
  <c r="V9" i="79" s="1"/>
  <c r="N9" i="79"/>
  <c r="U9" i="79" s="1"/>
  <c r="M9" i="79"/>
  <c r="T9" i="79" s="1"/>
  <c r="W9" i="79" s="1"/>
  <c r="L9" i="79"/>
  <c r="S9" i="79" s="1"/>
  <c r="K9" i="79"/>
  <c r="R9" i="79" s="1"/>
  <c r="I9" i="79"/>
  <c r="AC8" i="79"/>
  <c r="AB8" i="79"/>
  <c r="AA8" i="79"/>
  <c r="AD8" i="79" s="1"/>
  <c r="Z8" i="79"/>
  <c r="Y8" i="79"/>
  <c r="O8" i="79"/>
  <c r="V8" i="79" s="1"/>
  <c r="N8" i="79"/>
  <c r="U8" i="79" s="1"/>
  <c r="M8" i="79"/>
  <c r="P8" i="79" s="1"/>
  <c r="L8" i="79"/>
  <c r="S8" i="79" s="1"/>
  <c r="K8" i="79"/>
  <c r="R8" i="79" s="1"/>
  <c r="I8" i="79"/>
  <c r="AC7" i="79"/>
  <c r="AB7" i="79"/>
  <c r="AA7" i="79"/>
  <c r="AD7" i="79" s="1"/>
  <c r="Z7" i="79"/>
  <c r="Y7" i="79"/>
  <c r="O7" i="79"/>
  <c r="V7" i="79" s="1"/>
  <c r="N7" i="79"/>
  <c r="U7" i="79" s="1"/>
  <c r="M7" i="79"/>
  <c r="T7" i="79" s="1"/>
  <c r="W7" i="79" s="1"/>
  <c r="L7" i="79"/>
  <c r="S7" i="79" s="1"/>
  <c r="K7" i="79"/>
  <c r="R7" i="79" s="1"/>
  <c r="I7" i="79"/>
  <c r="AC6" i="79"/>
  <c r="AB6" i="79"/>
  <c r="AA6" i="79"/>
  <c r="AD6" i="79" s="1"/>
  <c r="Z6" i="79"/>
  <c r="Y6" i="79"/>
  <c r="O6" i="79"/>
  <c r="V6" i="79" s="1"/>
  <c r="N6" i="79"/>
  <c r="U6" i="79" s="1"/>
  <c r="M6" i="79"/>
  <c r="P6" i="79" s="1"/>
  <c r="L6" i="79"/>
  <c r="S6" i="79" s="1"/>
  <c r="K6" i="79"/>
  <c r="R6" i="79" s="1"/>
  <c r="I6" i="79"/>
  <c r="AC5" i="79"/>
  <c r="AB5" i="79"/>
  <c r="AA5" i="79"/>
  <c r="AD5" i="79" s="1"/>
  <c r="Z5" i="79"/>
  <c r="Y5" i="79"/>
  <c r="P5" i="79"/>
  <c r="O5" i="79"/>
  <c r="V5" i="79" s="1"/>
  <c r="N5" i="79"/>
  <c r="U5" i="79" s="1"/>
  <c r="M5" i="79"/>
  <c r="T5" i="79" s="1"/>
  <c r="W5" i="79" s="1"/>
  <c r="L5" i="79"/>
  <c r="S5" i="79" s="1"/>
  <c r="K5" i="79"/>
  <c r="R5" i="79" s="1"/>
  <c r="I5" i="79"/>
  <c r="AC3" i="79"/>
  <c r="AB3" i="79"/>
  <c r="AA3" i="79"/>
  <c r="AD3" i="79" s="1"/>
  <c r="Z3" i="79"/>
  <c r="Y3" i="79"/>
  <c r="V3" i="79"/>
  <c r="U3" i="79"/>
  <c r="T3" i="79"/>
  <c r="W3" i="79" s="1"/>
  <c r="S3" i="79"/>
  <c r="R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3" i="79" l="1"/>
  <c r="T24" i="79"/>
  <c r="W24" i="79" s="1"/>
  <c r="S22" i="79"/>
  <c r="T23" i="79"/>
  <c r="W23" i="79" s="1"/>
  <c r="P7"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6" i="79"/>
  <c r="W6" i="79" s="1"/>
  <c r="T8" i="79"/>
  <c r="W8" i="79" s="1"/>
  <c r="T10" i="79"/>
  <c r="W10" i="79" s="1"/>
  <c r="T12" i="79"/>
  <c r="W12" i="79" s="1"/>
  <c r="P22" i="79"/>
  <c r="P24" i="79"/>
  <c r="P26" i="79"/>
  <c r="P28" i="79"/>
  <c r="P23" i="79"/>
  <c r="P25" i="79"/>
  <c r="P27" i="79"/>
  <c r="P2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B66" i="72" s="1"/>
  <c r="A22" i="51"/>
  <c r="A21" i="51"/>
  <c r="A20" i="51"/>
  <c r="A15" i="62"/>
  <c r="A14" i="62"/>
  <c r="A13" i="62"/>
  <c r="B59" i="72" s="1"/>
  <c r="A19" i="62"/>
  <c r="A12" i="62"/>
  <c r="B58" i="72" s="1"/>
  <c r="A120" i="9"/>
  <c r="H2" i="52"/>
  <c r="A1" i="52"/>
  <c r="A3" i="53"/>
  <c r="Q26" i="71"/>
  <c r="P26" i="71"/>
  <c r="O26" i="71"/>
  <c r="N26"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4"/>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E7" i="1" s="1"/>
  <c r="A8" i="1"/>
  <c r="B8" i="1" s="1"/>
  <c r="E8" i="1" s="1"/>
  <c r="A9" i="1"/>
  <c r="A10" i="1"/>
  <c r="A11" i="1"/>
  <c r="B11" i="1" s="1"/>
  <c r="E11" i="1" s="1"/>
  <c r="A12" i="1"/>
  <c r="A13" i="1"/>
  <c r="A6" i="1"/>
  <c r="F3" i="35"/>
  <c r="B13" i="1"/>
  <c r="E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F19" i="34"/>
  <c r="AA19" i="34" s="1"/>
  <c r="H17" i="34"/>
  <c r="U17" i="34" s="1"/>
  <c r="F15" i="34"/>
  <c r="AA15" i="34" s="1"/>
  <c r="J15" i="34"/>
  <c r="AC15" i="34" s="1"/>
  <c r="H15" i="34"/>
  <c r="AB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F17" i="34"/>
  <c r="AA17" i="34" s="1"/>
  <c r="J17" i="34"/>
  <c r="W17" i="34" s="1"/>
  <c r="AB17"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E12" i="1"/>
  <c r="B10" i="1"/>
  <c r="E10" i="1"/>
  <c r="AZ80" i="3"/>
  <c r="AZ84" i="3"/>
  <c r="AZ88" i="3"/>
  <c r="AZ107" i="3"/>
  <c r="AZ111" i="3"/>
  <c r="K12" i="1"/>
  <c r="M12" i="1" s="1"/>
  <c r="S13" i="1"/>
  <c r="AR13" i="1" s="1"/>
  <c r="R13" i="1"/>
  <c r="J51" i="67"/>
  <c r="C42"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G5" i="3" s="1"/>
  <c r="B3" i="3" s="1"/>
  <c r="E510" i="3" s="1"/>
  <c r="BA13" i="3"/>
  <c r="BA5" i="3" s="1"/>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H67" i="43"/>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AB33" i="34"/>
  <c r="AC45" i="34"/>
  <c r="AA31" i="34"/>
  <c r="AA30" i="34"/>
  <c r="AB45" i="34"/>
  <c r="AB47" i="34"/>
  <c r="U25" i="34"/>
  <c r="AB36" i="34"/>
  <c r="W33" i="34"/>
  <c r="AC14" i="34"/>
  <c r="AC32" i="34"/>
  <c r="AC29" i="34"/>
  <c r="W29" i="34"/>
  <c r="W46" i="34"/>
  <c r="AC46" i="34"/>
  <c r="S32" i="34"/>
  <c r="AA32" i="34"/>
  <c r="U30" i="34"/>
  <c r="AB30" i="34"/>
  <c r="S37" i="34"/>
  <c r="U38" i="34"/>
  <c r="AC40" i="34"/>
  <c r="W40" i="34"/>
  <c r="S19" i="34"/>
  <c r="AA36" i="34"/>
  <c r="S36" i="34"/>
  <c r="AA8" i="34"/>
  <c r="S8" i="34"/>
  <c r="AB9" i="34"/>
  <c r="U9" i="34"/>
  <c r="S46" i="34"/>
  <c r="AA46" i="34"/>
  <c r="U32" i="34"/>
  <c r="AB32" i="34"/>
  <c r="U14" i="34"/>
  <c r="AB14" i="34"/>
  <c r="AC43" i="34"/>
  <c r="W4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H111" i="9"/>
  <c r="D126" i="9" s="1"/>
  <c r="AD3" i="71"/>
  <c r="J1" i="73"/>
  <c r="H69" i="4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D3" i="73"/>
  <c r="B12" i="76"/>
  <c r="F40" i="15"/>
  <c r="L48" i="67"/>
  <c r="E13" i="76"/>
  <c r="L48" i="15"/>
  <c r="M8" i="67"/>
  <c r="F13" i="67"/>
  <c r="M22" i="15"/>
  <c r="M9" i="67"/>
  <c r="F37" i="67"/>
  <c r="E7" i="76"/>
  <c r="F43" i="15"/>
  <c r="F37" i="15"/>
  <c r="L47" i="15"/>
  <c r="F16" i="15"/>
  <c r="F40" i="67"/>
  <c r="M23" i="15"/>
  <c r="F7" i="67"/>
  <c r="B7" i="76"/>
  <c r="M28" i="15"/>
  <c r="F26" i="15"/>
  <c r="M23" i="67"/>
  <c r="M8" i="15"/>
  <c r="B11" i="76"/>
  <c r="F5" i="73"/>
  <c r="M6" i="15"/>
  <c r="B8" i="76"/>
  <c r="M9" i="15"/>
  <c r="E2" i="69"/>
  <c r="F4" i="73"/>
  <c r="F43" i="67"/>
  <c r="AO13" i="1"/>
  <c r="M24" i="15"/>
  <c r="F26" i="67"/>
  <c r="F36" i="15"/>
  <c r="F6" i="73"/>
  <c r="E12" i="76"/>
  <c r="B9" i="76"/>
  <c r="J15" i="67"/>
  <c r="E8" i="76"/>
  <c r="L48" i="82"/>
  <c r="F7" i="73"/>
  <c r="M24" i="67"/>
  <c r="F16" i="67"/>
  <c r="M26" i="15"/>
  <c r="E9" i="76"/>
  <c r="M6" i="67"/>
  <c r="M29" i="67"/>
  <c r="D5" i="73"/>
  <c r="F38" i="15"/>
  <c r="B13" i="76"/>
  <c r="F7" i="15"/>
  <c r="F8" i="67"/>
  <c r="B10" i="76"/>
  <c r="D35" i="9"/>
  <c r="D4" i="73"/>
  <c r="F3" i="73"/>
  <c r="F6" i="15"/>
  <c r="C76" i="67"/>
  <c r="F8" i="15"/>
  <c r="F9" i="15"/>
  <c r="E11" i="76"/>
  <c r="E10" i="76"/>
  <c r="F36" i="67"/>
  <c r="M29" i="15"/>
  <c r="M28" i="67"/>
  <c r="D6" i="73"/>
  <c r="C76" i="15"/>
  <c r="D34" i="9"/>
  <c r="F13" i="15"/>
  <c r="F38" i="67"/>
  <c r="M22" i="67"/>
  <c r="M26" i="67"/>
  <c r="F6" i="67"/>
  <c r="L47" i="67"/>
  <c r="F42" i="67"/>
  <c r="F20" i="31"/>
  <c r="D7" i="73"/>
  <c r="F9" i="67"/>
  <c r="F42" i="15"/>
  <c r="E2" i="68"/>
  <c r="J15" i="15"/>
  <c r="S15" i="34" l="1"/>
  <c r="J23" i="34"/>
  <c r="F86" i="34"/>
  <c r="G86" i="34" s="1"/>
  <c r="H23" i="34"/>
  <c r="U23" i="34" s="1"/>
  <c r="F23" i="34"/>
  <c r="AA23" i="34" s="1"/>
  <c r="S23" i="34"/>
  <c r="S21" i="34"/>
  <c r="J19" i="34"/>
  <c r="U19" i="34"/>
  <c r="AC17" i="34"/>
  <c r="L57" i="82"/>
  <c r="I54" i="82"/>
  <c r="J60" i="82"/>
  <c r="Q48" i="82" s="1"/>
  <c r="J57" i="82"/>
  <c r="J55" i="82" s="1"/>
  <c r="J58" i="82" s="1"/>
  <c r="Q50" i="82" s="1"/>
  <c r="L56" i="82"/>
  <c r="L60" i="82"/>
  <c r="J53" i="82"/>
  <c r="J59" i="82"/>
  <c r="L58" i="82"/>
  <c r="G7" i="1"/>
  <c r="C28" i="67"/>
  <c r="C21" i="68"/>
  <c r="C40" i="69"/>
  <c r="BL5" i="3"/>
  <c r="AZ15" i="3"/>
  <c r="G28" i="6"/>
  <c r="F29" i="6"/>
  <c r="F30" i="6" s="1"/>
  <c r="D19" i="53"/>
  <c r="B38" i="72" s="1"/>
  <c r="D21" i="53"/>
  <c r="B39" i="72"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E29" i="6"/>
  <c r="K15" i="1" s="1"/>
  <c r="G30" i="6"/>
  <c r="G31" i="6" s="1"/>
  <c r="E28" i="6"/>
  <c r="L19" i="6"/>
  <c r="L27" i="6" s="1"/>
  <c r="M6" i="1"/>
  <c r="O6" i="1"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D88" i="43" s="1"/>
  <c r="J89" i="43"/>
  <c r="J90" i="43"/>
  <c r="D83" i="43"/>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6" i="1"/>
  <c r="C13" i="12" s="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H26" i="43"/>
  <c r="F26" i="43"/>
  <c r="J26" i="43"/>
  <c r="G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D9" i="69"/>
  <c r="F27" i="69"/>
  <c r="C36" i="69"/>
  <c r="G1" i="73"/>
  <c r="C16" i="15"/>
  <c r="D9" i="68"/>
  <c r="C36" i="68"/>
  <c r="C16" i="67"/>
  <c r="AB23" i="34" l="1"/>
  <c r="AC23" i="34"/>
  <c r="W23" i="34"/>
  <c r="AC19" i="34"/>
  <c r="W19" i="34"/>
  <c r="E83" i="43"/>
  <c r="B81" i="43" s="1"/>
  <c r="L46" i="82"/>
  <c r="Q57" i="82"/>
  <c r="Q66" i="82"/>
  <c r="Q73" i="82"/>
  <c r="Q60" i="82"/>
  <c r="Q52" i="82"/>
  <c r="F1" i="82"/>
  <c r="F11" i="82"/>
  <c r="M11" i="82"/>
  <c r="J10" i="82" s="1"/>
  <c r="J5" i="82" s="1"/>
  <c r="D18" i="53"/>
  <c r="B35" i="72" s="1"/>
  <c r="C7" i="74"/>
  <c r="F7" i="36"/>
  <c r="J7" i="37"/>
  <c r="W7" i="37" s="1"/>
  <c r="H7" i="36"/>
  <c r="E61" i="43"/>
  <c r="B59" i="43" s="1"/>
  <c r="C28" i="43" s="1"/>
  <c r="B116" i="43"/>
  <c r="Z7" i="43"/>
  <c r="E30" i="6"/>
  <c r="E56" i="39"/>
  <c r="H7" i="34"/>
  <c r="AB7"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F59" i="67"/>
  <c r="H7" i="37"/>
  <c r="AB7" i="37" s="1"/>
  <c r="T42" i="37" s="1"/>
  <c r="G42" i="37" s="1"/>
  <c r="B40" i="1"/>
  <c r="S10" i="39"/>
  <c r="AA10" i="39"/>
  <c r="H7" i="33"/>
  <c r="J7" i="33"/>
  <c r="D65" i="40"/>
  <c r="E63" i="40"/>
  <c r="F48" i="35"/>
  <c r="S7" i="36"/>
  <c r="AA7" i="36"/>
  <c r="R36" i="36" s="1"/>
  <c r="AC7" i="37"/>
  <c r="V42" i="37" s="1"/>
  <c r="I42" i="37" s="1"/>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AE8" i="1"/>
  <c r="AE12" i="1"/>
  <c r="AE10" i="1"/>
  <c r="AE7" i="1"/>
  <c r="AE6" i="1"/>
  <c r="F27" i="68"/>
  <c r="F41" i="67"/>
  <c r="T49" i="34" l="1"/>
  <c r="G49" i="34" s="1"/>
  <c r="J26" i="82"/>
  <c r="J24" i="82"/>
  <c r="L36" i="43"/>
  <c r="L37" i="43" s="1"/>
  <c r="F24" i="82"/>
  <c r="C53" i="82"/>
  <c r="C48" i="82" s="1"/>
  <c r="C10" i="82"/>
  <c r="C5" i="82" s="1"/>
  <c r="E65"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F41" i="82"/>
  <c r="F41" i="15"/>
  <c r="M27" i="15"/>
  <c r="G54" i="34" l="1"/>
  <c r="H54" i="34" s="1"/>
  <c r="F69" i="82"/>
  <c r="J29" i="82"/>
  <c r="Q36" i="43"/>
  <c r="M36" i="43"/>
  <c r="P36" i="43"/>
  <c r="O36" i="43"/>
  <c r="N36" i="43"/>
  <c r="C38" i="82"/>
  <c r="C24" i="82"/>
  <c r="C23" i="82"/>
  <c r="C66" i="82"/>
  <c r="C60" i="82"/>
  <c r="D116" i="43"/>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6" i="11"/>
  <c r="D22" i="11" s="1"/>
  <c r="C66" i="67"/>
  <c r="C60" i="67"/>
  <c r="D10" i="69"/>
  <c r="C34" i="69"/>
  <c r="C17" i="67"/>
  <c r="D10" i="68"/>
  <c r="C17" i="15"/>
  <c r="C14" i="67"/>
  <c r="C29" i="82" l="1"/>
  <c r="C57" i="82" s="1"/>
  <c r="C64" i="82" s="1"/>
  <c r="C25" i="11"/>
  <c r="C22" i="11" s="1"/>
  <c r="C31" i="11" s="1"/>
  <c r="D30" i="6"/>
  <c r="H24" i="6"/>
  <c r="H22" i="6"/>
  <c r="R22" i="6" s="1"/>
  <c r="R9" i="1" s="1"/>
  <c r="H25" i="6"/>
  <c r="C18" i="67"/>
  <c r="C15" i="67"/>
  <c r="H23" i="6"/>
  <c r="C30" i="43"/>
  <c r="B2"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C15" i="12"/>
  <c r="C12" i="12"/>
  <c r="R23" i="6"/>
  <c r="R10" i="1" s="1"/>
  <c r="D27" i="6"/>
  <c r="D8" i="74"/>
  <c r="D7" i="74"/>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B6" i="76"/>
  <c r="C34" i="68"/>
  <c r="E6" i="76"/>
  <c r="C14" i="15"/>
  <c r="B3" i="43" l="1"/>
  <c r="C7" i="68"/>
  <c r="C18" i="12"/>
  <c r="Q49" i="82"/>
  <c r="J14" i="82"/>
  <c r="J13" i="82" s="1"/>
  <c r="J23" i="82" s="1"/>
  <c r="C13" i="82"/>
  <c r="Q70" i="82" s="1"/>
  <c r="C36" i="82"/>
  <c r="D31" i="6"/>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C21" i="12" l="1"/>
  <c r="C22" i="12" s="1"/>
  <c r="C5" i="68"/>
  <c r="C23" i="68" s="1"/>
  <c r="J22" i="82"/>
  <c r="C75" i="82"/>
  <c r="C37" i="82"/>
  <c r="C56" i="82"/>
  <c r="C65" i="82" s="1"/>
  <c r="J7" i="21"/>
  <c r="D7" i="71"/>
  <c r="C6" i="71"/>
  <c r="C23" i="67"/>
  <c r="C29" i="67" s="1"/>
  <c r="J59" i="67" s="1"/>
  <c r="J60" i="67" s="1"/>
  <c r="Q48" i="67" s="1"/>
  <c r="C19" i="15"/>
  <c r="C20" i="15" s="1"/>
  <c r="C26" i="15" s="1"/>
  <c r="C33" i="68"/>
  <c r="C39" i="68" s="1"/>
  <c r="C30" i="12"/>
  <c r="C28" i="12" s="1"/>
  <c r="C38" i="11"/>
  <c r="C35" i="11"/>
  <c r="H27" i="6"/>
  <c r="R19" i="6"/>
  <c r="C20" i="69"/>
  <c r="C28" i="69" s="1"/>
  <c r="C27" i="69"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C20" i="68" l="1"/>
  <c r="C28" i="68" s="1"/>
  <c r="C27" i="68" s="1"/>
  <c r="C27" i="12"/>
  <c r="C25" i="12" s="1"/>
  <c r="C32" i="12" s="1"/>
  <c r="B2" i="12" s="1"/>
  <c r="B3" i="12"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15"/>
  <c r="F35" i="82"/>
  <c r="M21" i="67"/>
  <c r="F35" i="67"/>
  <c r="M21" i="82"/>
  <c r="J20" i="82" l="1"/>
  <c r="J17" i="82" s="1"/>
  <c r="J16" i="82" s="1"/>
  <c r="J25" i="82" s="1"/>
  <c r="F63" i="82"/>
  <c r="C62" i="82" s="1"/>
  <c r="C59" i="82" s="1"/>
  <c r="C58" i="82" s="1"/>
  <c r="C67" i="82" s="1"/>
  <c r="C68" i="82" s="1"/>
  <c r="C34" i="82"/>
  <c r="C31" i="82" s="1"/>
  <c r="C30" i="82" s="1"/>
  <c r="C39" i="82"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19" i="9"/>
  <c r="C102" i="9" l="1"/>
  <c r="C21" i="9"/>
  <c r="Q69" i="82"/>
  <c r="Q68" i="82" s="1"/>
  <c r="C40" i="82"/>
  <c r="C46" i="82" s="1"/>
  <c r="C80" i="82"/>
  <c r="C79" i="82" s="1"/>
  <c r="C71" i="82"/>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B3" i="68"/>
  <c r="L51" i="67"/>
  <c r="L51" i="82"/>
  <c r="D2" i="21"/>
  <c r="C20" i="9"/>
  <c r="C103" i="9" l="1"/>
  <c r="Q67" i="82"/>
  <c r="Q47" i="82"/>
  <c r="Q53" i="82" s="1"/>
  <c r="B2" i="82"/>
  <c r="B3" i="82" s="1"/>
  <c r="Q65" i="82"/>
  <c r="Q75" i="82" s="1"/>
  <c r="Q56" i="82"/>
  <c r="Q62" i="82" s="1"/>
  <c r="C43" i="82"/>
  <c r="C83" i="82"/>
  <c r="C82" i="82" s="1"/>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 i="34"/>
  <c r="D2" i="37"/>
  <c r="L51" i="15"/>
  <c r="D2" i="36"/>
  <c r="D2" i="35"/>
  <c r="Q75" i="67" l="1"/>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AO8" i="1"/>
  <c r="AO9" i="1"/>
  <c r="AO10" i="1"/>
  <c r="AO11" i="1"/>
  <c r="C19" i="83"/>
  <c r="AO12" i="1"/>
  <c r="AO6" i="1"/>
  <c r="AO7" i="1"/>
  <c r="C102" i="83" l="1"/>
  <c r="C21" i="83"/>
  <c r="B3" i="34"/>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83"/>
  <c r="C103" i="83" l="1"/>
  <c r="B2" i="70"/>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83"/>
  <c r="D19" i="9"/>
  <c r="D21" i="83" l="1"/>
  <c r="D102" i="83"/>
  <c r="G19" i="83"/>
  <c r="G21" i="83" s="1"/>
  <c r="D22" i="83"/>
  <c r="D102" i="9"/>
  <c r="D21" i="9"/>
  <c r="D22" i="9"/>
  <c r="G19" i="9"/>
  <c r="G21" i="9" s="1"/>
  <c r="B3" i="70"/>
  <c r="C42" i="40"/>
  <c r="C43" i="40"/>
  <c r="E47" i="40"/>
  <c r="F47" i="40" s="1"/>
  <c r="E46" i="40"/>
  <c r="F46" i="40" s="1"/>
  <c r="I47" i="40"/>
  <c r="J47" i="40" s="1"/>
  <c r="D20" i="9"/>
  <c r="D20" i="83"/>
  <c r="D103" i="83" l="1"/>
  <c r="G20" i="83"/>
  <c r="C32" i="83" s="1"/>
  <c r="D103" i="9"/>
  <c r="G20" i="9"/>
  <c r="C32" i="9" s="1"/>
  <c r="C35" i="9" s="1"/>
  <c r="C34" i="9" s="1"/>
  <c r="B58" i="40"/>
  <c r="F58" i="40" s="1"/>
  <c r="B54" i="40"/>
  <c r="F54" i="40" s="1"/>
  <c r="B53" i="40"/>
  <c r="F53" i="40" s="1"/>
  <c r="B59" i="40"/>
  <c r="F59" i="40" s="1"/>
  <c r="B52" i="40"/>
  <c r="F52" i="40" s="1"/>
  <c r="B56" i="40"/>
  <c r="F56" i="40" s="1"/>
  <c r="B60" i="40"/>
  <c r="F60" i="40" s="1"/>
  <c r="B57" i="40"/>
  <c r="F57" i="40" s="1"/>
  <c r="B51" i="40"/>
  <c r="F51" i="40" s="1"/>
  <c r="F61" i="40"/>
  <c r="B2" i="40" s="1"/>
  <c r="B3" i="40" s="1"/>
  <c r="C35" i="83" l="1"/>
  <c r="C34" i="83" s="1"/>
  <c r="B6" i="74" l="1"/>
  <c r="D6" i="74" s="1"/>
  <c r="F118" i="9"/>
  <c r="D118" i="9"/>
  <c r="H118" i="9"/>
  <c r="D15" i="74" s="1"/>
  <c r="F15" i="74" l="1"/>
  <c r="E15" i="74"/>
  <c r="G118" i="9"/>
  <c r="G4" i="52" s="1"/>
  <c r="B52" i="72" s="1"/>
  <c r="F119" i="9"/>
  <c r="F5" i="52" s="1"/>
  <c r="B53" i="72" s="1"/>
  <c r="H4" i="52"/>
  <c r="C104" i="9"/>
  <c r="H119" i="9"/>
  <c r="H5" i="52" s="1"/>
  <c r="I118" i="9"/>
  <c r="H101" i="9"/>
  <c r="D4" i="52"/>
  <c r="B47" i="72" s="1"/>
  <c r="D119" i="9"/>
  <c r="D5" i="52" s="1"/>
  <c r="B49" i="72" s="1"/>
  <c r="F4" i="52"/>
  <c r="B51" i="72" s="1"/>
  <c r="C105" i="9" l="1"/>
  <c r="I4" i="52"/>
  <c r="E118" i="9"/>
  <c r="E4" i="52" s="1"/>
  <c r="B48" i="72" s="1"/>
  <c r="H102" i="9"/>
  <c r="M48" i="9"/>
  <c r="D5" i="53"/>
  <c r="H107" i="9"/>
  <c r="D45" i="9"/>
  <c r="H108" i="9" l="1"/>
  <c r="M49" i="9"/>
  <c r="D13" i="53"/>
  <c r="D122" i="9"/>
  <c r="D52" i="9"/>
  <c r="C93" i="9"/>
  <c r="C86" i="9" s="1"/>
  <c r="D53" i="9"/>
  <c r="C78" i="9"/>
  <c r="C73" i="9" s="1"/>
  <c r="C64" i="9"/>
  <c r="C63" i="9" s="1"/>
  <c r="C67" i="9" s="1"/>
  <c r="D55" i="9"/>
  <c r="M53" i="9" s="1"/>
  <c r="C85" i="9"/>
  <c r="C72" i="9"/>
  <c r="C79" i="9" s="1"/>
  <c r="B20" i="72"/>
  <c r="D6" i="53"/>
  <c r="B22" i="72" s="1"/>
  <c r="D7" i="53"/>
  <c r="B21" i="72" s="1"/>
  <c r="C95" i="9" l="1"/>
  <c r="C80" i="9"/>
  <c r="E80" i="9" s="1"/>
  <c r="E81" i="9" s="1"/>
  <c r="D123" i="9"/>
  <c r="D9" i="52" s="1"/>
  <c r="D8" i="52"/>
  <c r="L65" i="9"/>
  <c r="M65" i="9" s="1"/>
  <c r="L68" i="9"/>
  <c r="M68" i="9" s="1"/>
  <c r="L66" i="9"/>
  <c r="M66" i="9" s="1"/>
  <c r="L67" i="9"/>
  <c r="M67" i="9" s="1"/>
  <c r="L63" i="9"/>
  <c r="M63" i="9" s="1"/>
  <c r="L64" i="9"/>
  <c r="M64" i="9" s="1"/>
  <c r="C96" i="9"/>
  <c r="E96" i="9" s="1"/>
  <c r="E97" i="9" s="1"/>
  <c r="C68" i="9"/>
  <c r="D54" i="9" s="1"/>
  <c r="D59" i="9"/>
  <c r="M55" i="9" s="1"/>
  <c r="D14" i="53"/>
  <c r="B32" i="72" s="1"/>
  <c r="B30" i="72"/>
  <c r="D15" i="53"/>
  <c r="B31" i="72" s="1"/>
  <c r="C6" i="74"/>
  <c r="C81" i="9" l="1"/>
  <c r="C97" i="9"/>
  <c r="D58" i="9" s="1"/>
  <c r="D56" i="9" s="1"/>
  <c r="M54" i="9" s="1"/>
  <c r="N57" i="9" s="1"/>
  <c r="N58" i="9" s="1"/>
  <c r="M69" i="9"/>
  <c r="N69" i="9" s="1"/>
  <c r="N59" i="9" l="1"/>
  <c r="N60" i="9" s="1"/>
  <c r="P57" i="9"/>
  <c r="N61" i="9"/>
  <c r="F118" i="83"/>
  <c r="F119" i="83" s="1"/>
  <c r="D118" i="83"/>
  <c r="D119" i="83" s="1"/>
  <c r="H118" i="83"/>
  <c r="I118" i="83" s="1"/>
  <c r="C105" i="83" s="1"/>
  <c r="H101" i="83" l="1"/>
  <c r="D45" i="83" s="1"/>
  <c r="D52" i="83" s="1"/>
  <c r="H119" i="83"/>
  <c r="D14" i="74"/>
  <c r="C104" i="83"/>
  <c r="G118" i="83"/>
  <c r="C93" i="83"/>
  <c r="C86" i="83" s="1"/>
  <c r="C72" i="83"/>
  <c r="C78" i="83"/>
  <c r="C73" i="83" s="1"/>
  <c r="C64" i="83"/>
  <c r="C63" i="83" s="1"/>
  <c r="C67" i="83" s="1"/>
  <c r="H102" i="83"/>
  <c r="E118" i="83"/>
  <c r="H107" i="83" l="1"/>
  <c r="H108" i="83" s="1"/>
  <c r="M48" i="83"/>
  <c r="C85" i="83"/>
  <c r="D53" i="83"/>
  <c r="D55" i="83"/>
  <c r="M53" i="83" s="1"/>
  <c r="F14" i="74"/>
  <c r="E14" i="74"/>
  <c r="B5" i="74"/>
  <c r="C68" i="83"/>
  <c r="D54" i="83" s="1"/>
  <c r="D59" i="83"/>
  <c r="M55" i="83" s="1"/>
  <c r="C79" i="83"/>
  <c r="D122" i="83"/>
  <c r="D123" i="83" s="1"/>
  <c r="C95" i="83"/>
  <c r="M49" i="83" l="1"/>
  <c r="L68" i="83" s="1"/>
  <c r="M68" i="83" s="1"/>
  <c r="D5" i="74"/>
  <c r="C5" i="74"/>
  <c r="L65" i="83"/>
  <c r="M65" i="83" s="1"/>
  <c r="L63" i="83"/>
  <c r="M63" i="83" s="1"/>
  <c r="L67" i="83"/>
  <c r="M67" i="83" s="1"/>
  <c r="C96" i="83"/>
  <c r="E96" i="83" s="1"/>
  <c r="E97" i="83" s="1"/>
  <c r="C80" i="83"/>
  <c r="E80" i="83" s="1"/>
  <c r="E81" i="83" s="1"/>
  <c r="L64" i="83" l="1"/>
  <c r="M64" i="83" s="1"/>
  <c r="L66" i="83"/>
  <c r="M66" i="83" s="1"/>
  <c r="C81" i="83"/>
  <c r="C97" i="83"/>
  <c r="D58" i="83" s="1"/>
  <c r="D56" i="83" s="1"/>
  <c r="M54" i="83" s="1"/>
  <c r="N57" i="83" s="1"/>
  <c r="M69" i="83"/>
  <c r="N69" i="83" s="1"/>
  <c r="P57" i="83" l="1"/>
  <c r="N58" i="83"/>
  <c r="N59" i="83"/>
  <c r="N60" i="83" l="1"/>
  <c r="N61" i="83"/>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<sst xmlns="http://schemas.openxmlformats.org/spreadsheetml/2006/main" count="8551" uniqueCount="3410">
  <si>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</si>
  <si>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</si>
  <si>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</si>
  <si>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</si>
  <si>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</si>
  <si>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</si>
  <si>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</si>
  <si>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</si>
  <si>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</si>
  <si>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</si>
  <si>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</si>
  <si>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</si>
  <si>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</si>
  <si>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</si>
  <si>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</si>
  <si>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</si>
  <si>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</si>
  <si>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</si>
  <si>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</si>
  <si>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</si>
  <si>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</si>
  <si>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</si>
  <si>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</si>
  <si>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</si>
  <si>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</si>
  <si>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</si>
  <si>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</si>
  <si>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</si>
  <si>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</si>
  <si>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</si>
  <si>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</si>
  <si>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</si>
  <si>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</si>
  <si>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</si>
  <si>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</si>
  <si>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</si>
  <si>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</si>
  <si>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</si>
  <si>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</si>
  <si>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</si>
  <si>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</si>
  <si>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</si>
  <si>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</si>
  <si>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</si>
  <si>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</si>
  <si>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</si>
  <si>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</si>
  <si>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</si>
  <si>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</si>
  <si>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</si>
  <si>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</si>
  <si>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</si>
  <si>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</si>
  <si>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</si>
  <si>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</si>
  <si>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</si>
  <si>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</si>
  <si>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</si>
  <si>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</si>
  <si>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</si>
  <si>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</si>
  <si>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</si>
  <si>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</si>
  <si>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</si>
  <si>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</si>
  <si>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</si>
  <si>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</si>
  <si>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</si>
  <si>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</si>
  <si>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</si>
  <si>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</si>
  <si>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</si>
  <si>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</si>
  <si>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</si>
  <si>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</si>
  <si>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</si>
  <si>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</si>
  <si>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</si>
  <si>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</si>
  <si>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</si>
  <si>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</si>
  <si>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</si>
  <si>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</si>
  <si>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</si>
  <si>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</si>
  <si>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</si>
  <si>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</si>
  <si>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</si>
  <si>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</si>
  <si>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</si>
  <si>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</si>
  <si>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</si>
  <si>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</si>
  <si>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</si>
  <si>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</si>
  <si>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</si>
  <si>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</si>
  <si>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</si>
  <si>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</si>
  <si>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</si>
  <si>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</si>
  <si>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</si>
  <si>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</si>
  <si>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</si>
  <si>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</si>
  <si>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</si>
  <si>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</si>
  <si>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</si>
  <si>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</si>
  <si>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</si>
  <si>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</si>
  <si>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</si>
  <si>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</si>
  <si>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</si>
  <si>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</si>
  <si>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</si>
  <si>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</si>
  <si>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</si>
  <si>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</si>
  <si>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</si>
  <si>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</si>
  <si>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</si>
  <si>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</si>
  <si>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</si>
  <si>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</si>
  <si>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</si>
  <si>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</si>
  <si>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</si>
  <si>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</si>
  <si>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</si>
  <si>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</si>
  <si>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</si>
  <si>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</si>
  <si>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</si>
  <si>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</si>
  <si>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</si>
  <si>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</si>
  <si>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</si>
  <si>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</si>
  <si>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</si>
  <si>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</si>
  <si>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</si>
  <si>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</si>
  <si>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</si>
  <si>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</si>
  <si>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</si>
  <si>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</si>
  <si>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</si>
  <si>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</si>
  <si>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</si>
  <si>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</si>
  <si>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</si>
  <si>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</si>
  <si>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</si>
  <si>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</si>
  <si>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</si>
  <si>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</si>
  <si>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</si>
  <si>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</si>
  <si>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</si>
  <si>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</si>
  <si>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</si>
  <si>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</si>
  <si>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</si>
  <si>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</si>
  <si>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</si>
  <si>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</si>
  <si>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</si>
  <si>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</si>
  <si>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</si>
  <si>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</si>
  <si>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</si>
  <si>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</si>
  <si>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</si>
  <si>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</si>
  <si>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</si>
  <si>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</si>
  <si>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</si>
  <si>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</si>
  <si>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</si>
  <si>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</si>
  <si>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</si>
  <si>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</si>
  <si>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</si>
  <si>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</si>
  <si>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</si>
  <si>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</si>
  <si>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</si>
  <si>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</si>
  <si>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</si>
  <si>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</si>
  <si>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</si>
  <si>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</si>
  <si>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</si>
  <si>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</si>
  <si>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</si>
  <si>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</si>
  <si>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</si>
  <si>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</si>
  <si>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</si>
  <si>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</si>
  <si>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</si>
  <si>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</si>
  <si>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</si>
  <si>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</si>
  <si>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</si>
  <si>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</si>
  <si>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</si>
  <si>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</si>
  <si>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</si>
  <si>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</si>
  <si>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</si>
  <si>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</si>
  <si>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</si>
  <si>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</si>
  <si>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</si>
  <si>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</si>
  <si>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</si>
  <si>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</si>
  <si>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</si>
  <si>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</si>
  <si>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</si>
  <si>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</si>
  <si>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</si>
  <si>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</si>
  <si>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</si>
  <si>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</si>
  <si>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</si>
  <si>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</si>
  <si>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</si>
  <si>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</si>
  <si>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</si>
  <si>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</si>
  <si>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</si>
  <si>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</si>
  <si>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</si>
  <si>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</si>
  <si>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</si>
  <si>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</si>
  <si>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</si>
  <si>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</si>
  <si>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</si>
  <si>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</si>
  <si>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</si>
  <si>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</si>
  <si>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</si>
  <si>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</si>
  <si>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</si>
  <si>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</si>
  <si>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</si>
  <si>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</si>
  <si>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</si>
  <si>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</si>
  <si>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</si>
  <si>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</si>
  <si>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</si>
  <si>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</si>
  <si>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</si>
  <si>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</si>
  <si>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</si>
  <si>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</si>
  <si>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</si>
  <si>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</si>
  <si>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</si>
  <si>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</si>
  <si>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</si>
  <si>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</si>
  <si>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</si>
  <si>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</si>
  <si>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</si>
  <si>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</si>
  <si>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</si>
  <si>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</si>
  <si>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</si>
  <si>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</si>
  <si>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</si>
  <si>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</si>
  <si>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</si>
  <si>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</si>
  <si>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</si>
  <si>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</si>
  <si>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</si>
  <si>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</si>
  <si>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</si>
  <si>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</si>
  <si>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</si>
  <si>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</si>
  <si>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</si>
  <si>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</si>
  <si>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</si>
  <si>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</si>
  <si>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</si>
  <si>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</si>
  <si>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</si>
  <si>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</si>
  <si>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</si>
  <si>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</si>
  <si>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</si>
  <si>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</si>
  <si>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</si>
  <si>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</si>
  <si>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</si>
  <si>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</si>
  <si>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</si>
  <si>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</si>
  <si>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</si>
  <si>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</si>
  <si>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</si>
  <si>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</si>
  <si>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</si>
  <si>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</si>
  <si>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</si>
  <si>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</si>
  <si>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</si>
  <si>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</si>
  <si>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</si>
  <si>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</si>
  <si>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</si>
  <si>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</si>
  <si>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</si>
  <si>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</si>
  <si>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</si>
  <si>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</si>
  <si>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</si>
  <si>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</si>
  <si>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</si>
  <si>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</si>
  <si>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</si>
  <si>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</si>
  <si>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</si>
  <si>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</si>
  <si>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</si>
  <si>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</si>
  <si>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</si>
  <si>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</si>
  <si>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</si>
  <si>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</si>
  <si>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</si>
  <si>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</si>
  <si>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</si>
  <si>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</si>
  <si>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</si>
  <si>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</si>
  <si>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</si>
  <si>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</si>
  <si>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</si>
  <si>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</si>
  <si>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</si>
  <si>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</si>
  <si>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</si>
  <si>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</si>
  <si>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</si>
  <si>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</si>
  <si>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</si>
  <si>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</si>
  <si>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</si>
  <si>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</si>
  <si>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</si>
  <si>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</si>
  <si>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</si>
  <si>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</si>
  <si>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</si>
  <si>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</si>
  <si>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</si>
  <si>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</si>
  <si>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</si>
  <si>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</si>
  <si>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</si>
  <si>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</si>
  <si>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</si>
  <si>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</si>
  <si>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</si>
  <si>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</si>
  <si>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</si>
  <si>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</si>
  <si>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</si>
  <si>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</si>
  <si>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</si>
  <si>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</si>
  <si>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</si>
  <si>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</si>
  <si>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</si>
  <si>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</si>
  <si>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</si>
  <si>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</si>
  <si>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</si>
  <si>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</si>
  <si>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</si>
  <si>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</si>
  <si>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</si>
  <si>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</si>
  <si>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</si>
  <si>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</si>
  <si>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</si>
  <si>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</si>
  <si>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</si>
  <si>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</si>
  <si>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</si>
  <si>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</si>
  <si>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</si>
  <si>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</si>
  <si>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</si>
  <si>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</si>
  <si>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</si>
  <si>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</si>
  <si>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</si>
  <si>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</si>
  <si>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</si>
  <si>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</si>
  <si>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</si>
  <si>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</si>
  <si>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</si>
  <si>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</si>
  <si>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</si>
  <si>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</si>
  <si>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</si>
  <si>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</si>
  <si>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</si>
  <si>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</si>
  <si>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</si>
  <si>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</si>
  <si>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</si>
  <si>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</si>
  <si>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</si>
  <si>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</si>
  <si>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</si>
  <si>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</si>
  <si>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</si>
  <si>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</si>
  <si>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</si>
  <si>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</si>
  <si>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</si>
  <si>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</si>
  <si>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</si>
  <si>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</si>
  <si>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</si>
  <si>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</si>
  <si>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</si>
  <si>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</si>
  <si>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</si>
  <si>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</si>
  <si>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</si>
  <si>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</si>
  <si>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</si>
  <si>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</si>
  <si>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</si>
  <si>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</si>
  <si>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</si>
  <si>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</si>
  <si>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</si>
  <si>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</si>
  <si>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</si>
  <si>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</si>
  <si>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</si>
  <si>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</si>
  <si>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</si>
  <si>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</si>
  <si>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</si>
  <si>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</si>
  <si>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</si>
  <si>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</si>
  <si>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</si>
  <si>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</si>
  <si>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</si>
  <si>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</si>
  <si>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</si>
  <si>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</si>
  <si>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</si>
  <si>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</si>
  <si>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</si>
  <si>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</si>
  <si>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</si>
  <si>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</si>
  <si>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</si>
  <si>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</si>
  <si>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</si>
  <si>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</si>
  <si>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</si>
  <si>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</si>
  <si>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</si>
  <si>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</si>
  <si>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</si>
  <si>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</si>
  <si>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</si>
  <si>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</si>
  <si>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</si>
  <si>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</si>
  <si>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</si>
  <si>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</si>
  <si>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</si>
  <si>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</si>
  <si>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</si>
  <si>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</si>
  <si>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</si>
  <si>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</si>
  <si>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</si>
  <si>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</si>
  <si>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</si>
  <si>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</si>
  <si>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</si>
  <si>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</si>
  <si>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</si>
  <si>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</si>
  <si>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</si>
  <si>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</si>
  <si>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</si>
  <si>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</si>
  <si>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</si>
  <si>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</si>
  <si>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</si>
  <si>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</si>
  <si>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</si>
  <si>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</si>
  <si>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</si>
  <si>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</si>
  <si>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</si>
  <si>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</si>
  <si>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</si>
  <si>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</si>
  <si>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</si>
  <si>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</si>
  <si>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</si>
  <si>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</si>
  <si>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</si>
  <si>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</si>
  <si>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</si>
  <si>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</si>
  <si>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</si>
  <si>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</si>
  <si>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</si>
  <si>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</si>
  <si>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</si>
  <si>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</si>
  <si>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</si>
  <si>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</si>
  <si>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</si>
  <si>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</si>
  <si>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</si>
  <si>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</si>
  <si>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</si>
  <si>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</si>
  <si>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</si>
  <si>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</si>
  <si>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</si>
  <si>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</si>
  <si>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</si>
  <si>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</si>
  <si>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</si>
  <si>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</si>
  <si>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</si>
  <si>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</si>
  <si>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</si>
  <si>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</si>
  <si>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</si>
  <si>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</si>
  <si>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</si>
  <si>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</si>
  <si>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</si>
  <si>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</si>
  <si>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</si>
  <si>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</si>
  <si>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</si>
  <si>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</si>
  <si>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</si>
  <si>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</si>
  <si>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</si>
  <si>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</si>
  <si>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</si>
  <si>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</si>
  <si>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</si>
  <si>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</si>
  <si>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</si>
  <si>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</si>
  <si>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</si>
  <si>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</si>
  <si>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</si>
  <si>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</si>
  <si>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</si>
  <si>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</si>
  <si>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</si>
  <si>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</si>
  <si>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</si>
  <si>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</si>
  <si>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</si>
  <si>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</si>
  <si>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</si>
  <si>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</si>
  <si>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</si>
  <si>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</si>
  <si>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</si>
  <si>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</si>
  <si>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</si>
  <si>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</si>
  <si>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</si>
  <si>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</si>
  <si>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</si>
  <si>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</si>
  <si>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</si>
  <si>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</si>
  <si>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</si>
  <si>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</si>
  <si>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</si>
  <si>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</si>
  <si>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</si>
  <si>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</si>
  <si>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</si>
  <si>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</si>
  <si>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</si>
  <si>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</si>
  <si>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</si>
  <si>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</si>
  <si>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</si>
  <si>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</si>
  <si>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</si>
  <si>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</si>
  <si>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</si>
  <si>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</si>
  <si>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</si>
  <si>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</si>
  <si>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</si>
  <si>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</si>
  <si>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</si>
  <si>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</si>
  <si>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</si>
  <si>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</si>
  <si>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</si>
  <si>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</si>
  <si>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</si>
  <si>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</si>
  <si>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</si>
  <si>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</si>
  <si>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</si>
  <si>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</si>
  <si>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</si>
  <si>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</si>
  <si>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</si>
  <si>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</si>
  <si>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</si>
  <si>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</si>
  <si>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</si>
  <si>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</si>
  <si>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</si>
  <si>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</si>
  <si>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</si>
  <si>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</si>
  <si>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</si>
  <si>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</si>
  <si>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</si>
  <si>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</si>
  <si>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</si>
  <si>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</si>
  <si>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</si>
  <si>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</si>
  <si>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</si>
  <si>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</si>
  <si>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</si>
  <si>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</si>
  <si>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</si>
  <si>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</si>
  <si>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</si>
  <si>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</si>
  <si>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</si>
  <si>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</si>
  <si>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</si>
  <si>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</si>
  <si>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</si>
  <si>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</si>
  <si>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</si>
  <si>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</si>
  <si>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</si>
  <si>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</si>
  <si>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</si>
  <si>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</si>
  <si>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</si>
  <si>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</si>
  <si>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</si>
  <si>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</si>
  <si>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</si>
  <si>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</si>
  <si>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</si>
  <si>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</si>
  <si>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</si>
  <si>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</si>
  <si>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</si>
  <si>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</si>
  <si>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</si>
  <si>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</si>
  <si>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</si>
  <si>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</si>
  <si>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</si>
  <si>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</si>
  <si>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</si>
  <si>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</si>
  <si>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</si>
  <si>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</si>
  <si>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</si>
  <si>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</si>
  <si>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</si>
  <si>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</si>
  <si>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</si>
  <si>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</si>
  <si>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</si>
  <si>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</si>
  <si>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</si>
  <si>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</si>
  <si>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</si>
  <si>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</si>
  <si>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</si>
  <si>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</si>
  <si>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</si>
  <si>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</si>
  <si>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</si>
  <si>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</si>
  <si>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</si>
  <si>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</si>
  <si>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</si>
  <si>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</si>
  <si>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</si>
  <si>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</si>
  <si>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</si>
  <si>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</si>
  <si>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</si>
  <si>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</si>
  <si>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</si>
  <si>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</si>
  <si>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</si>
  <si>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</si>
  <si>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</si>
  <si>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</si>
  <si>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</si>
  <si>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</si>
  <si>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</si>
  <si>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</si>
  <si>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</si>
  <si>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</si>
  <si>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</si>
  <si>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</si>
  <si>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</si>
  <si>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</si>
  <si>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</si>
  <si>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</si>
  <si>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</si>
  <si>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</si>
  <si>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</si>
  <si>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</si>
  <si>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</si>
  <si>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</si>
  <si>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</si>
  <si>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</si>
  <si>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</si>
  <si>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</si>
  <si>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</si>
  <si>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</si>
  <si>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</si>
  <si>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</si>
  <si>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</si>
  <si>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</si>
  <si>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</si>
  <si>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</si>
  <si>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</si>
  <si>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</si>
  <si>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</si>
  <si>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</si>
  <si>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</si>
  <si>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</si>
  <si>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</si>
  <si>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</si>
  <si>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</si>
  <si>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</si>
  <si>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</si>
  <si>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</si>
  <si>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</si>
  <si>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</si>
  <si>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</si>
  <si>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</si>
  <si>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</si>
  <si>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</si>
  <si>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</si>
  <si>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</si>
  <si>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</si>
  <si>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</si>
  <si>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</si>
  <si>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</si>
  <si>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</si>
  <si>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</si>
  <si>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</si>
  <si>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</si>
  <si>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</si>
  <si>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</si>
  <si>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</si>
  <si>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</si>
  <si>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</si>
  <si>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</si>
  <si>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</si>
  <si>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</si>
  <si>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</si>
  <si>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</si>
  <si>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</si>
  <si>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</si>
  <si>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</si>
  <si>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</si>
  <si>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</si>
  <si>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</si>
  <si>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</si>
  <si>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</si>
  <si>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</si>
  <si>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</si>
  <si>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</si>
  <si>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</si>
  <si>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</si>
  <si>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</si>
  <si>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</si>
  <si>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</si>
  <si>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</si>
  <si>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</si>
  <si>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</si>
  <si>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</si>
  <si>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</si>
  <si>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</si>
  <si>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</si>
  <si>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</si>
  <si>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</si>
  <si>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</si>
  <si>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</si>
  <si>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</si>
  <si>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</si>
  <si>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</si>
  <si>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</si>
  <si>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</si>
  <si>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</si>
  <si>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</si>
  <si>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</si>
  <si>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</si>
  <si>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</si>
  <si>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</si>
  <si>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</si>
  <si>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</si>
  <si>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</si>
  <si>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</si>
  <si>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</si>
  <si>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</si>
  <si>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</si>
  <si>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</si>
  <si>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</si>
  <si>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</si>
  <si>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</si>
  <si>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</si>
  <si>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</si>
  <si>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</si>
  <si>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</si>
  <si>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</si>
  <si>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</si>
  <si>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</si>
  <si>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</si>
  <si>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</si>
  <si>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</si>
  <si>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</si>
  <si>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</si>
  <si>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</si>
  <si>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</si>
  <si>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</si>
  <si>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</si>
  <si>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</si>
  <si>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</si>
  <si>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</si>
  <si>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</si>
  <si>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</si>
  <si>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</si>
  <si>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</si>
  <si>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</si>
  <si>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</si>
  <si>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</si>
  <si>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</si>
  <si>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</si>
  <si>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</si>
  <si>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</si>
  <si>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</si>
  <si>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</si>
  <si>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</si>
  <si>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</si>
  <si>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</si>
  <si>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</si>
  <si>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</si>
  <si>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</si>
  <si>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</si>
  <si>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</si>
  <si>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</si>
  <si>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</si>
  <si>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</si>
  <si>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</si>
  <si>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</si>
  <si>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</si>
  <si>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</si>
  <si>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</si>
  <si>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</si>
  <si>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</si>
  <si>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</si>
  <si>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</si>
  <si>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</si>
  <si>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</si>
  <si>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</si>
  <si>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</si>
  <si>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</si>
  <si>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</si>
  <si>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</si>
  <si>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</si>
  <si>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</si>
  <si>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</si>
  <si>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</si>
  <si>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</si>
  <si>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</si>
  <si>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</si>
  <si>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</si>
  <si>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</si>
  <si>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</si>
  <si>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</si>
  <si>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</si>
  <si>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</si>
  <si>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</si>
  <si>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</si>
  <si>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</si>
  <si>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</si>
  <si>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</si>
  <si>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</si>
  <si>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</si>
  <si>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</si>
  <si>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</si>
  <si>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</si>
  <si>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</si>
  <si>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</si>
  <si>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</si>
  <si>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</si>
  <si>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</si>
  <si>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</si>
  <si>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</si>
  <si>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</si>
  <si>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</si>
  <si>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</si>
  <si>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</si>
  <si>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</si>
  <si>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</si>
  <si>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</si>
  <si>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</si>
  <si>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</si>
  <si>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</si>
  <si>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</si>
  <si>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</si>
  <si>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</si>
  <si>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</si>
  <si>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</si>
  <si>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</si>
  <si>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</si>
  <si>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</si>
  <si>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</si>
  <si>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</si>
  <si>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</si>
  <si>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</si>
  <si>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</si>
  <si>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</si>
  <si>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</si>
  <si>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</si>
  <si>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</si>
  <si>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</si>
  <si>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</si>
  <si>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</si>
  <si>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</si>
  <si>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</si>
  <si>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</si>
  <si>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</si>
  <si>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</si>
  <si>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</si>
  <si>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</si>
  <si>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</si>
  <si>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</si>
  <si>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</si>
  <si>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</si>
  <si>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</si>
  <si>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</si>
  <si>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</si>
  <si>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</si>
  <si>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</si>
  <si>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</si>
  <si>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</si>
  <si>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</si>
  <si>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</si>
  <si>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</si>
  <si>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</si>
  <si>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</si>
  <si>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</si>
  <si>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</si>
  <si>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</si>
  <si>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</si>
  <si>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</si>
  <si>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</si>
  <si>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</si>
  <si>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</si>
  <si>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</si>
  <si>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</si>
  <si>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</si>
  <si>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</si>
  <si>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</si>
  <si>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</si>
  <si>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</si>
  <si>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</si>
  <si>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</si>
  <si>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</si>
  <si>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</si>
  <si>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</si>
  <si>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</si>
  <si>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</si>
  <si>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</si>
  <si>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</si>
  <si>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</si>
  <si>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</si>
  <si>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</si>
  <si>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</si>
  <si>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</si>
  <si>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</si>
  <si>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</si>
  <si>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</si>
  <si>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</si>
  <si>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</si>
  <si>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</si>
  <si>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</si>
  <si>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</si>
  <si>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</si>
  <si>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</si>
  <si>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</si>
  <si>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</si>
  <si>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</si>
  <si>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</si>
  <si>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</si>
  <si>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</si>
  <si>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</si>
  <si>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</si>
  <si>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</si>
  <si>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</si>
  <si>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</si>
  <si>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</si>
  <si>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</si>
  <si>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</si>
  <si>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</si>
  <si>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</si>
  <si>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</si>
  <si>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</si>
  <si>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</si>
  <si>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</si>
  <si>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</si>
  <si>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</si>
  <si>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</si>
  <si>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</si>
  <si>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</si>
  <si>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</si>
  <si>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</si>
  <si>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</si>
  <si>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</si>
  <si>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</si>
  <si>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</si>
  <si>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</si>
  <si>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</si>
  <si>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</si>
  <si>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</si>
  <si>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</si>
  <si>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</si>
  <si>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</si>
  <si>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</si>
  <si>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</si>
  <si>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</si>
  <si>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</si>
  <si>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</si>
  <si>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</si>
  <si>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</si>
  <si>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</si>
  <si>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</si>
  <si>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</si>
  <si>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</si>
  <si>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</si>
  <si>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</si>
  <si>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</si>
  <si>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</si>
  <si>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</si>
  <si>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</si>
  <si>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</si>
  <si>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</si>
  <si>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</si>
  <si>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</si>
  <si>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</si>
  <si>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</si>
  <si>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</si>
  <si>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</si>
  <si>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</si>
  <si>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</si>
  <si>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</si>
  <si>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</si>
  <si>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</si>
  <si>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</si>
  <si>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</si>
  <si>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</si>
  <si>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</si>
  <si>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</si>
  <si>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</si>
  <si>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</si>
  <si>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</si>
  <si>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</si>
  <si>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</si>
  <si>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</si>
  <si>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</si>
  <si>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</si>
  <si>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</si>
  <si>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</si>
  <si>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</si>
  <si>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</si>
  <si>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</si>
  <si>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</si>
  <si>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</si>
  <si>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</si>
  <si>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</si>
  <si>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</si>
  <si>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</si>
  <si>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</si>
  <si>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</si>
  <si>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</si>
  <si>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</si>
  <si>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</si>
  <si>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</si>
  <si>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</si>
  <si>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</si>
  <si>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</si>
  <si>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</si>
  <si>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</si>
  <si>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</si>
  <si>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</si>
  <si>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</si>
  <si>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</si>
  <si>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</si>
  <si>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</si>
  <si>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</si>
  <si>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</si>
  <si>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</si>
  <si>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</si>
  <si>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</si>
  <si>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</si>
  <si>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</si>
  <si>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</si>
  <si>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</si>
  <si>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</si>
  <si>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</si>
  <si>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</si>
  <si>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</si>
  <si>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</si>
  <si>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</si>
  <si>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</si>
  <si>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</si>
  <si>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</si>
  <si>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</si>
  <si>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</si>
  <si>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</si>
  <si>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</si>
  <si>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</si>
  <si>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</si>
  <si>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</si>
  <si>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</si>
  <si>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</si>
  <si>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</si>
  <si>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</si>
  <si>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</si>
  <si>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</si>
  <si>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</si>
  <si>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</si>
  <si>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</si>
  <si>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</si>
  <si>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</si>
  <si>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</si>
  <si>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</si>
  <si>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</si>
  <si>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</si>
  <si>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</si>
  <si>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</si>
  <si>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</si>
  <si>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</si>
  <si>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</si>
  <si>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</si>
  <si>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</si>
  <si>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</si>
  <si>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</si>
  <si>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</si>
  <si>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</si>
  <si>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</si>
  <si>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</si>
  <si>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</si>
  <si>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</si>
  <si>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</si>
  <si>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</si>
  <si>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</si>
  <si>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</si>
  <si>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</si>
  <si>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</si>
  <si>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</si>
  <si>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</si>
  <si>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</si>
  <si>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</si>
  <si>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</si>
  <si>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</si>
  <si>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</si>
  <si>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</si>
  <si>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</si>
  <si>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</si>
  <si>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</si>
  <si>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</si>
  <si>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</si>
  <si>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</si>
  <si>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</si>
  <si>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</si>
  <si>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</si>
  <si>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</si>
  <si>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</si>
  <si>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</si>
  <si>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</si>
  <si>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</si>
  <si>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</si>
  <si>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</si>
  <si>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</si>
  <si>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</si>
  <si>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</si>
  <si>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</si>
  <si>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</si>
  <si>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</si>
  <si>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</si>
  <si>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</si>
  <si>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</si>
  <si>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</si>
  <si>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</si>
  <si>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</si>
  <si>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</si>
  <si>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</si>
  <si>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</si>
  <si>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</si>
  <si>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</si>
  <si>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</si>
  <si>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</si>
  <si>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</si>
  <si>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</si>
  <si>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</si>
  <si>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</si>
  <si>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</si>
  <si>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</si>
  <si>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</si>
  <si>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</si>
  <si>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</si>
  <si>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</si>
  <si>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</si>
  <si>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</si>
  <si>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</si>
  <si>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</si>
  <si>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</si>
  <si>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</si>
  <si>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</si>
  <si>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</si>
  <si>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</si>
  <si>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</si>
  <si>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</si>
  <si>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</si>
  <si>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</si>
  <si>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</si>
  <si>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</si>
  <si>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</si>
  <si>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</si>
  <si>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</si>
  <si>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</si>
  <si>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</si>
  <si>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</si>
  <si>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</si>
  <si>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</si>
  <si>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</si>
  <si>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</si>
  <si>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</si>
  <si>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</si>
  <si>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</si>
  <si>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</si>
  <si>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</si>
  <si>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</si>
  <si>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</si>
  <si>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</si>
  <si>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</si>
  <si>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</si>
  <si>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</si>
  <si>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</si>
  <si>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</si>
  <si>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</si>
  <si>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</si>
  <si>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</si>
  <si>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</si>
  <si>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</si>
  <si>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</si>
  <si>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</si>
  <si>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</si>
  <si>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</si>
  <si>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</si>
  <si>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</si>
  <si>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</si>
  <si>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</si>
  <si>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</si>
  <si>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</si>
  <si>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</si>
  <si>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</si>
  <si>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</si>
  <si>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</si>
  <si>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</si>
  <si>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</si>
  <si>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</si>
  <si>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</si>
  <si>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</si>
  <si>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</si>
  <si>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</si>
  <si>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</si>
  <si>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</si>
  <si>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</si>
  <si>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</si>
  <si>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</si>
  <si>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</si>
  <si>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</si>
  <si>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</si>
  <si>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</si>
  <si>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</si>
  <si>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</si>
  <si>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</si>
  <si>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</si>
  <si>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</si>
  <si>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</si>
  <si>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</si>
  <si>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</si>
  <si>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</si>
  <si>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</si>
  <si>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</si>
  <si>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</si>
  <si>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</si>
  <si>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</si>
  <si>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</si>
  <si>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</si>
  <si>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</si>
  <si>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</si>
  <si>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</si>
  <si>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</si>
  <si>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</si>
  <si>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</si>
  <si>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</si>
  <si>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</si>
  <si>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</si>
  <si>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</si>
  <si>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</si>
  <si>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</si>
  <si>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</si>
  <si>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</si>
  <si>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</si>
  <si>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</si>
  <si>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</si>
  <si>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</si>
  <si>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</si>
  <si>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</si>
  <si>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</si>
  <si>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</si>
  <si>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</si>
  <si>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</si>
  <si>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</si>
  <si>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</si>
  <si>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</si>
  <si>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</si>
  <si>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</si>
  <si>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</si>
  <si>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</si>
  <si>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</si>
  <si>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</si>
  <si>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</si>
  <si>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</si>
  <si>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</si>
  <si>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</si>
  <si>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</si>
  <si>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</si>
  <si>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</si>
  <si>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</si>
  <si>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</si>
  <si>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</si>
  <si>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</si>
  <si>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</si>
  <si>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</si>
  <si>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</si>
  <si>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</si>
  <si>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</si>
  <si>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</si>
  <si>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</si>
  <si>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</si>
  <si>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</si>
  <si>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</si>
  <si>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</si>
  <si>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</si>
  <si>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</si>
  <si>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</si>
  <si>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</si>
  <si>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</si>
  <si>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</si>
  <si>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</si>
  <si>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</si>
  <si>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</si>
  <si>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</si>
  <si>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</si>
  <si>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</si>
  <si>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</si>
  <si>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</si>
  <si>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</si>
  <si>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</si>
  <si>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</si>
  <si>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</si>
  <si>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</si>
  <si>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</si>
  <si>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</si>
  <si>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</si>
  <si>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</si>
  <si>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</si>
  <si>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</si>
  <si>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</si>
  <si>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</si>
  <si>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</si>
  <si>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</si>
  <si>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</si>
  <si>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</si>
  <si>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</si>
  <si>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</si>
  <si>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</si>
  <si>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</si>
  <si>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</si>
  <si>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</si>
  <si>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</si>
  <si>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</si>
  <si>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</si>
  <si>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</si>
  <si>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</si>
  <si>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</si>
  <si>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</si>
  <si>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</si>
  <si>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</si>
  <si>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</si>
  <si>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</si>
  <si>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</si>
  <si>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</si>
  <si>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</si>
  <si>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</si>
  <si>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</si>
  <si>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</si>
  <si>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</si>
  <si>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</si>
  <si>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</si>
  <si>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</si>
  <si>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</si>
  <si>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</si>
  <si>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</si>
  <si>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</si>
  <si>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</si>
  <si>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</si>
  <si>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</si>
  <si>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</si>
  <si>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</si>
  <si>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</si>
  <si>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</si>
  <si>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</si>
  <si>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</si>
  <si>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</si>
  <si>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</si>
  <si>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</si>
  <si>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</si>
  <si>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</si>
  <si>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</si>
  <si>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</si>
  <si>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</si>
  <si>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</si>
  <si>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</si>
  <si>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</si>
  <si>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</si>
  <si>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</si>
  <si>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</si>
  <si>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</si>
  <si>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</si>
  <si>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</si>
  <si>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</si>
  <si>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</si>
  <si>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</si>
  <si>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</si>
  <si>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</si>
  <si>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</si>
  <si>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</si>
  <si>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</si>
  <si>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</si>
  <si>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</si>
  <si>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</si>
  <si>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</si>
  <si>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</si>
  <si>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</si>
  <si>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</si>
  <si>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</si>
  <si>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</si>
  <si>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</si>
  <si>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</si>
  <si>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</si>
  <si>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</si>
  <si>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</si>
  <si>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</si>
  <si>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</si>
  <si>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</si>
  <si>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</si>
  <si>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</si>
  <si>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</si>
  <si>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</si>
  <si>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</si>
  <si>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</si>
  <si>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</si>
  <si>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</si>
  <si>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</si>
  <si>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</si>
  <si>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</si>
  <si>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</si>
  <si>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</si>
  <si>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</si>
  <si>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</si>
  <si>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</si>
  <si>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</si>
  <si>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</si>
  <si>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</si>
  <si>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</si>
  <si>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</si>
  <si>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</si>
  <si>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</si>
  <si>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</si>
  <si>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</si>
  <si>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</si>
  <si>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</si>
  <si>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</si>
  <si>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</si>
  <si>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</si>
  <si>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</si>
  <si>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</si>
  <si>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</si>
  <si>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</si>
  <si>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</si>
  <si>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</si>
  <si>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</si>
  <si>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</si>
  <si>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</si>
  <si>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</si>
  <si>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</si>
  <si>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</si>
  <si>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</si>
  <si>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</si>
  <si>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</si>
  <si>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</si>
  <si>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</si>
  <si>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</si>
  <si>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</si>
  <si>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</si>
  <si>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</si>
  <si>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</si>
  <si>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</si>
  <si>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</si>
  <si>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</si>
  <si>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</si>
  <si>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</si>
  <si>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</si>
  <si>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</si>
  <si>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</si>
  <si>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</si>
  <si>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</si>
  <si>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</si>
  <si>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</si>
  <si>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</si>
  <si>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</si>
  <si>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</si>
  <si>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</si>
  <si>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</si>
  <si>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</si>
  <si>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</si>
  <si>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</si>
  <si>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</si>
  <si>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</si>
  <si>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</si>
  <si>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</si>
  <si>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</si>
  <si>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</si>
  <si>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</si>
  <si>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</si>
  <si>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</si>
  <si>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</si>
  <si>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</si>
  <si>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</si>
  <si>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</si>
  <si>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</si>
  <si>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</si>
  <si>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</si>
  <si>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</si>
  <si>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</si>
  <si>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</si>
  <si>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</si>
  <si>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</si>
  <si>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</si>
  <si>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</si>
  <si>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</si>
  <si>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</si>
  <si>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</si>
  <si>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</si>
  <si>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</si>
  <si>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</si>
  <si>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</si>
  <si>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</si>
  <si>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</si>
  <si>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</si>
  <si>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</si>
  <si>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</si>
  <si>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</si>
  <si>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</si>
  <si>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</si>
  <si>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</si>
  <si>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</si>
  <si>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</si>
  <si>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</si>
  <si>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</si>
  <si>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</si>
  <si>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</si>
  <si>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</si>
  <si>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</si>
  <si>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</si>
  <si>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</si>
  <si>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</si>
  <si>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</si>
  <si>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</si>
  <si>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</si>
  <si>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</si>
  <si>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</si>
  <si>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</si>
  <si>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</si>
  <si>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</si>
  <si>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</si>
  <si>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</si>
  <si>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</si>
  <si>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</si>
  <si>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</si>
  <si>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</si>
  <si>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</si>
  <si>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</si>
  <si>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</si>
  <si>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</si>
  <si>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</si>
  <si>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</si>
  <si>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</si>
  <si>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</si>
  <si>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</si>
  <si>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</si>
  <si>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</si>
  <si>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</si>
  <si>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</si>
  <si>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</si>
  <si>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</si>
  <si>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</si>
  <si>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</si>
  <si>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</si>
  <si>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</si>
  <si>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</si>
  <si>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</si>
  <si>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</si>
  <si>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</si>
  <si>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</si>
  <si>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</si>
  <si>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</si>
  <si>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</si>
  <si>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</si>
  <si>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</si>
  <si>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</si>
  <si>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</si>
  <si>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</si>
  <si>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</si>
  <si>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</si>
  <si>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</si>
  <si>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</si>
  <si>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</si>
  <si>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</si>
  <si>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</si>
  <si>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</si>
  <si>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</si>
  <si>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</si>
  <si>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</si>
  <si>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</si>
  <si>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</si>
  <si>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</si>
  <si>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</si>
  <si>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</si>
  <si>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</si>
  <si>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</si>
  <si>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</si>
  <si>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</si>
  <si>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</si>
  <si>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</si>
  <si>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</si>
  <si>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</si>
  <si>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</si>
  <si>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</si>
  <si>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</si>
  <si>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</si>
  <si>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</si>
  <si>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</si>
  <si>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</si>
  <si>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</si>
  <si>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</si>
  <si>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</si>
  <si>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</si>
  <si>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</si>
  <si>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</si>
  <si>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</si>
  <si>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</si>
  <si>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</si>
  <si>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</si>
  <si>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</si>
  <si>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</si>
  <si>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</si>
  <si>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</si>
  <si>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</si>
  <si>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</si>
  <si>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</si>
  <si>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</si>
  <si>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</si>
  <si>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</si>
  <si>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</si>
  <si>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</si>
  <si>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</si>
  <si>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</si>
  <si>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</si>
  <si>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</si>
  <si>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</si>
  <si>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</si>
  <si>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</si>
  <si>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</si>
  <si>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</si>
  <si>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</si>
  <si>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</si>
  <si>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</si>
  <si>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</si>
  <si>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</si>
  <si>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</si>
  <si>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</si>
  <si>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</si>
  <si>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</si>
  <si>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</si>
  <si>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</si>
  <si>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</si>
  <si>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</si>
  <si>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</si>
  <si>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</si>
  <si>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</si>
  <si>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</si>
  <si>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</si>
  <si>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</si>
  <si>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</si>
  <si>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</si>
  <si>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</si>
  <si>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</si>
  <si>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</si>
  <si>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</si>
  <si>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</si>
  <si>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</si>
  <si>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</si>
  <si>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</si>
  <si>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</si>
  <si>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</si>
  <si>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</si>
  <si>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</si>
  <si>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</si>
  <si>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</si>
  <si>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</si>
  <si>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</si>
  <si>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</si>
  <si>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</si>
  <si>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</si>
  <si>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</si>
  <si>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</si>
  <si>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</si>
  <si>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</si>
  <si>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</si>
  <si>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</si>
  <si>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</si>
  <si>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</si>
  <si>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</si>
  <si>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</si>
  <si>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</si>
  <si>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</si>
  <si>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</si>
  <si>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</si>
  <si>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</si>
  <si>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</si>
  <si>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</si>
  <si>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</si>
  <si>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</si>
  <si>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</si>
  <si>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</si>
  <si>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</si>
  <si>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</si>
  <si>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</si>
  <si>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</si>
  <si>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</si>
  <si>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</si>
  <si>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</si>
  <si>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</si>
  <si>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</si>
  <si>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</si>
  <si>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</si>
  <si>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</si>
  <si>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</si>
  <si>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</si>
  <si>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</si>
  <si>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</si>
  <si>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</si>
  <si>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</si>
  <si>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</si>
  <si>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</si>
  <si>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</si>
  <si>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</si>
  <si>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</si>
  <si>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</si>
  <si>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</si>
  <si>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</si>
  <si>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</si>
  <si>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</si>
  <si>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</si>
  <si>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</si>
  <si>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</si>
  <si>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</si>
  <si>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</si>
  <si>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</si>
  <si>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</si>
  <si>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</si>
  <si>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</si>
  <si>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</si>
  <si>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</si>
  <si>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</si>
  <si>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</si>
  <si>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</si>
  <si>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</si>
  <si>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</si>
  <si>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</si>
  <si>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</si>
  <si>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</si>
  <si>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</si>
  <si>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</si>
  <si>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</si>
  <si>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</si>
  <si>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</si>
  <si>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</si>
  <si>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</si>
  <si>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</si>
  <si>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</si>
  <si>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</si>
  <si>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</si>
  <si>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</si>
  <si>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</si>
  <si>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</si>
  <si>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</si>
  <si>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</si>
  <si>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</si>
  <si>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</si>
  <si>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</si>
  <si>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</si>
  <si>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</si>
  <si>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</si>
  <si>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</si>
  <si>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</si>
  <si>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</si>
  <si>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</si>
  <si>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</si>
  <si>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</si>
  <si>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</si>
  <si>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</si>
  <si>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</si>
  <si>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</si>
  <si>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</si>
  <si>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</si>
  <si>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</si>
  <si>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</si>
  <si>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</si>
  <si>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</si>
  <si>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</si>
  <si>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</si>
  <si>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</si>
  <si>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</si>
  <si>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</si>
  <si>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</si>
  <si>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</si>
  <si>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</si>
  <si>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</si>
  <si>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</si>
  <si>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</si>
  <si>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</si>
  <si>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</si>
  <si>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</si>
  <si>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</si>
  <si>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</si>
  <si>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</si>
  <si>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</si>
  <si>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</si>
  <si>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</si>
  <si>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</si>
  <si>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</si>
  <si>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</si>
  <si>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</si>
  <si>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</si>
  <si>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</si>
  <si>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</si>
  <si>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</si>
  <si>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</si>
  <si>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</si>
  <si>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</si>
  <si>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</si>
  <si>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</si>
  <si>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</si>
  <si>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</si>
  <si>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</si>
  <si>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</si>
  <si>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</si>
  <si>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</si>
  <si>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</si>
  <si>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</si>
  <si>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</si>
  <si>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</si>
  <si>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</si>
  <si>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</si>
  <si>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</si>
  <si>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</si>
  <si>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</si>
  <si>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</si>
  <si>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</si>
  <si>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</si>
  <si>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</si>
  <si>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</si>
  <si>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</si>
  <si>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</si>
  <si>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</si>
  <si>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</si>
  <si>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</si>
  <si>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</si>
  <si>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</si>
  <si>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</si>
  <si>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</si>
  <si>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</si>
  <si>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</si>
  <si>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</si>
  <si>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</si>
  <si>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</si>
  <si>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</si>
  <si>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</si>
  <si>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</si>
  <si>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</si>
  <si>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</si>
  <si>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</si>
  <si>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</si>
  <si>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</si>
  <si>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</si>
  <si>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</si>
  <si>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</si>
  <si>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</si>
  <si>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</si>
  <si>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</si>
  <si>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</si>
  <si>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</si>
  <si>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</si>
  <si>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</si>
  <si>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</si>
  <si>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</si>
  <si>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</si>
  <si>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</si>
  <si>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</si>
  <si>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</si>
  <si>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</si>
  <si>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</si>
  <si>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</si>
  <si>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</si>
  <si>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</si>
  <si>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</si>
  <si>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</si>
  <si>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</si>
  <si>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</si>
  <si>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</si>
  <si>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</si>
  <si>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</si>
  <si>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</si>
  <si>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</si>
  <si>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</si>
  <si>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</si>
  <si>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</si>
  <si>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</si>
  <si>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</si>
  <si>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</si>
  <si>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</si>
  <si>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</si>
  <si>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</si>
  <si>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</si>
  <si>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</si>
  <si>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</si>
  <si>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</si>
  <si>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</si>
  <si>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</si>
  <si>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</si>
  <si>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</si>
  <si>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</si>
  <si>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</si>
  <si>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</si>
  <si>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</si>
  <si>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</si>
  <si>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</si>
  <si>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</si>
  <si>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</si>
  <si>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</si>
  <si>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</si>
  <si>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</si>
  <si>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</si>
  <si>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</si>
  <si>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</si>
  <si>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</si>
  <si>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</si>
  <si>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</si>
  <si>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</si>
  <si>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</si>
  <si>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</si>
  <si>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</si>
  <si>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</si>
  <si>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</si>
  <si>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</si>
  <si>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</si>
  <si>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</si>
  <si>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</si>
  <si>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</si>
  <si>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</si>
  <si>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</si>
  <si>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</si>
  <si>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</si>
  <si>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</si>
  <si>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</si>
  <si>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</si>
  <si>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</si>
  <si>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</si>
  <si>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</si>
  <si>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</si>
  <si>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</si>
  <si>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</si>
  <si>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</si>
  <si>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</si>
  <si>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</si>
  <si>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</si>
  <si>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</si>
  <si>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</si>
  <si>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</si>
  <si>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</si>
  <si>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</si>
  <si>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</si>
  <si>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</si>
  <si>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</si>
  <si>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</si>
  <si>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</si>
  <si>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</si>
  <si>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</si>
  <si>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</si>
  <si>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</si>
  <si>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</si>
  <si>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</si>
  <si>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</si>
  <si>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</si>
  <si>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</si>
  <si>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</si>
  <si>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</si>
  <si>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</si>
  <si>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</si>
  <si>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</si>
  <si>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</si>
  <si>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</si>
  <si>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</si>
  <si>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</si>
  <si>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</si>
  <si>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</si>
  <si>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</si>
  <si>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</si>
  <si>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</si>
  <si>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</si>
  <si>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</si>
  <si>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</si>
  <si>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</si>
  <si>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</si>
  <si>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</si>
  <si>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</si>
  <si>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</si>
  <si>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</si>
  <si>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</si>
  <si>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</si>
  <si>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</si>
  <si>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</si>
  <si>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</si>
  <si>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</si>
  <si>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</si>
  <si>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</si>
  <si>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</si>
  <si>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</si>
  <si>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</si>
  <si>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</si>
  <si>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</si>
  <si>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</si>
  <si>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</si>
  <si>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</si>
  <si>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</si>
  <si>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</si>
  <si>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</si>
  <si>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</si>
  <si>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</si>
  <si>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</si>
  <si>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</si>
  <si>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</si>
  <si>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</si>
  <si>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</si>
  <si>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</si>
  <si>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</si>
  <si>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</si>
  <si>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</si>
  <si>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</si>
  <si>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</si>
  <si>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</si>
  <si>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</si>
  <si>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</si>
  <si>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</si>
  <si>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</si>
  <si>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</si>
  <si>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</si>
  <si>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</si>
  <si>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</si>
  <si>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</si>
  <si>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</si>
  <si>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</si>
  <si>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</si>
  <si>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</si>
  <si>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</si>
  <si>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</si>
  <si>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</si>
  <si>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</si>
  <si>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</si>
  <si>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</si>
  <si>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</si>
  <si>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</si>
  <si>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</si>
  <si>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</si>
  <si>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</si>
  <si>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</si>
  <si>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</si>
  <si>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</si>
  <si>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</si>
  <si>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</si>
  <si>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</si>
  <si>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</si>
  <si>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</si>
  <si>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</si>
  <si>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</si>
  <si>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</si>
  <si>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</si>
  <si>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</si>
  <si>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</si>
  <si>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</si>
  <si>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</si>
  <si>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</si>
  <si>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</si>
  <si>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</si>
  <si>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</si>
  <si>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</si>
  <si>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</si>
  <si>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</si>
  <si>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</si>
  <si>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</si>
  <si>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</si>
  <si>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</si>
  <si>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</si>
  <si>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</si>
  <si>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</si>
  <si>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</si>
  <si>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</si>
  <si>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</si>
  <si>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</si>
  <si>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</si>
  <si>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</si>
  <si>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</si>
  <si>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</si>
  <si>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</si>
  <si>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</si>
  <si>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</si>
  <si>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</si>
  <si>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</si>
  <si>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</si>
  <si>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</si>
  <si>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</si>
  <si>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</si>
  <si>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</si>
  <si>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</si>
  <si>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</si>
  <si>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</si>
  <si>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</si>
  <si>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</si>
  <si>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</si>
  <si>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</si>
  <si>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</si>
  <si>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</si>
  <si>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</si>
  <si>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</si>
  <si>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</si>
  <si>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</si>
  <si>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</si>
  <si>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</si>
  <si>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</si>
  <si>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</si>
  <si>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</si>
  <si>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</si>
  <si>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</si>
  <si>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</si>
  <si>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</si>
  <si>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</si>
  <si>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</si>
  <si>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</si>
  <si>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</si>
  <si>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</si>
  <si>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</si>
  <si>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</si>
  <si>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</si>
  <si>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</si>
  <si>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</si>
  <si>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</si>
  <si>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</si>
  <si>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</si>
  <si>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</si>
  <si>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</si>
  <si>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</si>
  <si>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</si>
  <si>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</si>
  <si>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</si>
  <si>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</si>
  <si>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</si>
  <si>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</si>
  <si>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</si>
  <si>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</si>
  <si>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</si>
  <si>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</si>
  <si>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</si>
  <si>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</si>
  <si>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</si>
  <si>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</si>
  <si>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</si>
  <si>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</si>
  <si>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</si>
  <si>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</si>
  <si>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</si>
  <si>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</si>
  <si>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</si>
  <si>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</si>
  <si>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</si>
  <si>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</si>
  <si>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</si>
  <si>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</si>
  <si>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</si>
  <si>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</si>
  <si>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</si>
  <si>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</si>
  <si>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</si>
  <si>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</si>
  <si>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</si>
  <si>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</si>
  <si>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</si>
  <si>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</si>
  <si>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</si>
  <si>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</si>
  <si>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</si>
  <si>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</si>
  <si>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</si>
  <si>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</si>
  <si>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</si>
  <si>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</si>
  <si>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</si>
  <si>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</si>
  <si>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</si>
  <si>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</si>
  <si>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</si>
  <si>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</si>
  <si>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</si>
  <si>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</si>
  <si>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</si>
  <si>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</si>
  <si>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</si>
  <si>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</si>
  <si>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</si>
  <si>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</si>
  <si>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</si>
  <si>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</si>
  <si>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</si>
  <si>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</si>
  <si>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</si>
  <si>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</si>
  <si>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</si>
  <si>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</si>
  <si>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</si>
  <si>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</si>
  <si>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</si>
  <si>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</si>
  <si>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</si>
  <si>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</si>
  <si>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</si>
  <si>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</si>
  <si>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</si>
  <si>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</si>
  <si>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</si>
  <si>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</si>
  <si>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</si>
  <si>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</si>
  <si>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</si>
  <si>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</si>
  <si>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</si>
  <si>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</si>
  <si>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</si>
  <si>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</si>
  <si>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</si>
  <si>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</si>
  <si>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</si>
  <si>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</si>
  <si>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</si>
  <si>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</si>
  <si>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</si>
  <si>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</si>
  <si>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</si>
  <si>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</si>
  <si>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</si>
  <si>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</si>
  <si>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</si>
  <si>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</si>
  <si>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</si>
  <si>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</si>
  <si>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</si>
  <si>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</si>
  <si>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</si>
  <si>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</si>
  <si>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</si>
  <si>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</si>
  <si>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</si>
  <si>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</si>
  <si>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</si>
  <si>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</si>
  <si>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</si>
  <si>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</si>
  <si>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</si>
  <si>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</si>
  <si>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</si>
  <si>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</si>
  <si>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</si>
  <si>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</si>
  <si>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</si>
  <si>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</si>
  <si>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</si>
  <si>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</si>
  <si>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</si>
  <si>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</si>
  <si>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</si>
  <si>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</si>
  <si>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</si>
  <si>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</si>
  <si>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</si>
  <si>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</si>
  <si>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</si>
  <si>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</si>
  <si>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</si>
  <si>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</si>
  <si>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</si>
  <si>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</si>
  <si>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</si>
  <si>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</si>
  <si>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</si>
  <si>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</si>
  <si>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</si>
  <si>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</si>
  <si>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</si>
  <si>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</si>
  <si>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</si>
  <si>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</si>
  <si>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</si>
  <si>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</si>
  <si>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</si>
  <si>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</si>
  <si>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</si>
  <si>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</si>
  <si>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</si>
  <si>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</si>
  <si>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</si>
  <si>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</si>
  <si>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</si>
  <si>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</si>
  <si>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</si>
  <si>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</si>
  <si>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</si>
  <si>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</si>
  <si>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</si>
  <si>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</si>
  <si>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</si>
  <si>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</si>
  <si>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</si>
  <si>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</si>
  <si>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</si>
  <si>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</si>
  <si>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</si>
  <si>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</si>
  <si>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</si>
  <si>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</si>
  <si>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</si>
  <si>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</si>
  <si>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</si>
  <si>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</si>
  <si>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</si>
  <si>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</si>
  <si>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</si>
  <si>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</si>
  <si>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</si>
  <si>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</si>
  <si>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</si>
  <si>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</si>
  <si>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</si>
  <si>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</si>
  <si>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</si>
  <si>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</si>
  <si>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</si>
  <si>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</si>
  <si>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</si>
  <si>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</si>
  <si>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</si>
  <si>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</si>
  <si>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</si>
  <si>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</si>
  <si>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</si>
  <si>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</si>
  <si>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</si>
  <si>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</si>
  <si>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</si>
  <si>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</si>
  <si>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</si>
  <si>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</si>
  <si>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</si>
  <si>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</si>
  <si>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</si>
  <si>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</si>
  <si>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</si>
  <si>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</si>
  <si>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</si>
  <si>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</si>
  <si>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</si>
  <si>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</si>
  <si>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</si>
  <si>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</si>
  <si>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</si>
  <si>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</si>
  <si>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</si>
  <si>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</si>
  <si>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</si>
  <si>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</si>
  <si>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</si>
  <si>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</si>
  <si>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</si>
  <si>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</si>
  <si>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</si>
  <si>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</si>
  <si>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</si>
  <si>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</si>
  <si>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</si>
  <si>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</si>
  <si>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</si>
  <si>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</si>
  <si>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</si>
  <si>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</si>
  <si>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</si>
  <si>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</si>
  <si>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</si>
  <si>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</si>
  <si>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</si>
  <si>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</si>
  <si>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</si>
  <si>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</si>
  <si>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</si>
  <si>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</si>
  <si>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</si>
  <si>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</si>
  <si>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</si>
  <si>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</si>
  <si>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</si>
  <si>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</si>
  <si>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</si>
  <si>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</si>
  <si>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</si>
  <si>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</si>
  <si>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</si>
  <si>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</si>
  <si>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</si>
  <si>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</si>
  <si>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</si>
  <si>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</si>
  <si>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</si>
  <si>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</si>
  <si>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</si>
  <si>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</si>
  <si>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</si>
  <si>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</si>
  <si>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</si>
  <si>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</si>
  <si>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</si>
  <si>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</si>
  <si>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</si>
  <si>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</si>
  <si>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</si>
  <si>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</si>
  <si>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</si>
  <si>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</si>
  <si>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</si>
  <si>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</si>
  <si>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</si>
  <si>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</si>
  <si>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</si>
  <si>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</si>
  <si>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</si>
  <si>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</si>
  <si>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</si>
  <si>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</si>
  <si>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</si>
  <si>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</si>
  <si>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</si>
  <si>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</si>
  <si>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</si>
  <si>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</si>
  <si>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</si>
  <si>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</si>
  <si>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</si>
  <si>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</si>
  <si>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</si>
  <si>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</si>
  <si>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</si>
  <si>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</si>
  <si>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</si>
  <si>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</si>
  <si>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</si>
  <si>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</si>
  <si>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</si>
  <si>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</si>
  <si>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</si>
  <si>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</si>
  <si>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</si>
  <si>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</si>
  <si>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</si>
  <si>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</si>
  <si>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</si>
  <si>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</si>
  <si>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</si>
  <si>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</si>
  <si>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</si>
  <si>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</si>
  <si>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</si>
  <si>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</si>
  <si>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</si>
  <si>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</si>
  <si>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</si>
  <si>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</si>
  <si>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</si>
  <si>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</si>
  <si>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</si>
  <si>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</si>
  <si>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</si>
  <si>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</si>
  <si>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</si>
  <si>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</si>
  <si>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</si>
  <si>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</si>
  <si>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</si>
  <si>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</si>
  <si>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</si>
  <si>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</si>
  <si>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</si>
  <si>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</si>
  <si>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</si>
  <si>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</si>
  <si>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</si>
  <si>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</si>
  <si>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</si>
  <si>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</si>
  <si>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</si>
  <si>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</si>
  <si>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</si>
  <si>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</si>
  <si>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</si>
  <si>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</si>
  <si>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</si>
  <si>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</si>
  <si>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</si>
  <si>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</si>
  <si>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</si>
  <si>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</si>
  <si>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</si>
  <si>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</si>
  <si>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</si>
  <si>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</si>
  <si>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</si>
  <si>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</si>
  <si>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</si>
  <si>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</si>
  <si>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</si>
  <si>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</si>
  <si>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</si>
  <si>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</si>
  <si>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</si>
  <si>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</si>
  <si>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</si>
  <si>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</si>
  <si>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</si>
  <si>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</si>
  <si>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</si>
  <si>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</si>
  <si>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</si>
  <si>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</si>
  <si>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</si>
  <si>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</si>
  <si>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</si>
  <si>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</si>
  <si>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</si>
  <si>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</si>
  <si>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</si>
  <si>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</si>
  <si>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</si>
  <si>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</si>
  <si>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</si>
  <si>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</si>
  <si>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</si>
  <si>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</si>
  <si>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</si>
  <si>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</si>
  <si>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</si>
  <si>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</si>
  <si>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</si>
  <si>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</si>
  <si>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</si>
  <si>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</si>
  <si>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</si>
  <si>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</si>
  <si>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</si>
  <si>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</si>
  <si>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</si>
  <si>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</si>
  <si>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</si>
  <si>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</si>
  <si>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</si>
  <si>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</si>
  <si>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</si>
  <si>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</si>
  <si>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</si>
  <si>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</si>
  <si>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</si>
  <si>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</si>
  <si>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</si>
  <si>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</si>
  <si>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</si>
  <si>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</si>
  <si>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</si>
  <si>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</si>
  <si>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</si>
  <si>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</si>
  <si>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</si>
  <si>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</si>
  <si>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</si>
  <si>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</si>
  <si>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</si>
  <si>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</si>
  <si>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</si>
  <si>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</si>
  <si>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</si>
  <si>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</si>
  <si>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</si>
  <si>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</si>
  <si>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</si>
  <si>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</si>
  <si>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</si>
  <si>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</si>
  <si>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</si>
  <si>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</si>
  <si>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</si>
  <si>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</si>
  <si>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</si>
  <si>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</si>
  <si>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</si>
  <si>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</si>
  <si>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</si>
  <si>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</si>
  <si>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</si>
  <si>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</si>
  <si>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</si>
  <si>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</si>
  <si>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</si>
  <si>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</si>
  <si>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</si>
  <si>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</si>
  <si>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</si>
  <si>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</si>
  <si>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</si>
  <si>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</si>
  <si>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</si>
  <si>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</si>
  <si>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</si>
  <si>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</si>
  <si>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</si>
  <si>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</si>
  <si>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</si>
  <si>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</si>
  <si>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</si>
  <si>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</si>
  <si>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</si>
  <si>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</si>
  <si>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</si>
  <si>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</si>
  <si>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</si>
  <si>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</si>
  <si>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</si>
  <si>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</si>
  <si>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</si>
  <si>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</si>
  <si>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</si>
  <si>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</si>
  <si>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</si>
  <si>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</si>
  <si>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</si>
  <si>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</si>
  <si>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</si>
  <si>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</si>
  <si>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</si>
  <si>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</si>
  <si>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</si>
  <si>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</si>
  <si>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</si>
  <si>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</si>
  <si>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</si>
  <si>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</si>
  <si>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</si>
  <si>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</si>
  <si>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</si>
  <si>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</si>
  <si>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</si>
  <si>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</si>
  <si>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</si>
  <si>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</si>
  <si>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</si>
  <si>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</si>
  <si>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</si>
  <si>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</si>
  <si>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</si>
  <si>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</si>
  <si>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</si>
  <si>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</si>
  <si>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</si>
  <si>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</si>
  <si>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</si>
  <si>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</si>
  <si>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</si>
  <si>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</si>
  <si>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</si>
  <si>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</si>
  <si>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</si>
  <si>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</si>
  <si>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</si>
  <si>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</si>
  <si>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</si>
  <si>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</si>
  <si>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</si>
  <si>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</si>
  <si>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</si>
  <si>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</si>
  <si>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</si>
  <si>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</si>
  <si>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</si>
  <si>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</si>
  <si>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</si>
  <si>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</si>
  <si>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</si>
  <si>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</si>
  <si>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</si>
  <si>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</si>
  <si>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</si>
  <si>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</si>
  <si>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</si>
  <si>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</si>
  <si>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</si>
  <si>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</si>
  <si>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</si>
  <si>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</si>
  <si>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</si>
  <si>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</si>
  <si>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</si>
  <si>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</si>
  <si>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</si>
  <si>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</si>
  <si>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</si>
  <si>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</si>
  <si>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</si>
  <si>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</si>
  <si>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</si>
  <si>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</si>
  <si>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</si>
  <si>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</si>
  <si>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</si>
  <si>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</si>
  <si>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</si>
  <si>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</si>
  <si>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</si>
  <si>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</si>
  <si>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</si>
  <si>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</si>
  <si>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</si>
  <si>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</si>
  <si>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</si>
  <si>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</si>
  <si>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</si>
  <si>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</si>
  <si>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</si>
  <si>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</si>
  <si>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</si>
  <si>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</si>
  <si>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</si>
  <si>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</si>
  <si>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</si>
  <si>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</si>
  <si>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</si>
  <si>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</si>
  <si>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</si>
  <si>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</si>
  <si>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</si>
  <si>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</si>
  <si>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</si>
  <si>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</si>
  <si>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</si>
  <si>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</si>
  <si>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</si>
  <si>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</si>
  <si>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</si>
  <si>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</si>
  <si>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</si>
  <si>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</si>
  <si>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</si>
  <si>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</si>
  <si>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</si>
  <si>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</si>
  <si>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</si>
  <si>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</si>
  <si>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</si>
  <si>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</si>
  <si>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</si>
  <si>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</si>
  <si>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</si>
  <si>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</si>
  <si>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</si>
  <si>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</si>
  <si>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</si>
  <si>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</si>
  <si>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</si>
  <si>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</si>
  <si>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</si>
  <si>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</si>
  <si>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</si>
  <si>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</si>
  <si>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</si>
  <si>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</si>
  <si>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</si>
  <si>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</si>
  <si>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</si>
  <si>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</si>
  <si>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</si>
  <si>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</si>
  <si>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</si>
  <si>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</si>
  <si>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</si>
  <si>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</si>
  <si>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</si>
  <si>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</si>
  <si>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</si>
  <si>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</si>
  <si>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</si>
  <si>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</si>
  <si>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</si>
  <si>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</si>
  <si>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</si>
  <si>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</si>
  <si>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</si>
  <si>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</si>
  <si>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</si>
  <si>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</si>
  <si>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</si>
  <si>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</si>
  <si>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</si>
  <si>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</si>
  <si>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</si>
  <si>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</si>
  <si>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</si>
  <si>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</si>
  <si>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</si>
  <si>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</si>
  <si>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</si>
  <si>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</si>
  <si>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</si>
  <si>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</si>
  <si>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</si>
  <si>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</si>
  <si>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</si>
  <si>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</si>
  <si>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</si>
  <si>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</si>
  <si>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</si>
  <si>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</si>
  <si>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</si>
  <si>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</si>
  <si>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</si>
  <si>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</si>
  <si>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</si>
  <si>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</si>
  <si>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</si>
  <si>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</si>
  <si>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</si>
  <si>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</si>
  <si>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</si>
  <si>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</si>
  <si>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</si>
  <si>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</si>
  <si>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</si>
  <si>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</si>
  <si>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</si>
  <si>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</si>
  <si>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</si>
  <si>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</si>
  <si>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</si>
  <si>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</si>
  <si>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</si>
  <si>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</si>
  <si>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</si>
  <si>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</si>
  <si>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</si>
  <si>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</si>
  <si>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</si>
  <si>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</si>
  <si>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</si>
  <si>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</si>
  <si>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</si>
  <si>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</si>
  <si>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</si>
  <si>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</si>
  <si>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</si>
  <si>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</si>
  <si>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</si>
  <si>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</si>
  <si>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</si>
  <si>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</si>
  <si>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</si>
  <si>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</si>
  <si>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</si>
  <si>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</si>
  <si>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</si>
  <si>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</si>
  <si>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</si>
  <si>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</si>
  <si>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</si>
  <si>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</si>
  <si>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</si>
  <si>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</si>
  <si>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</si>
  <si>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</si>
  <si>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</si>
  <si>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</si>
  <si>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</si>
  <si>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</si>
  <si>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</si>
  <si>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</si>
  <si>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</si>
  <si>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</si>
  <si>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</si>
  <si>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</si>
  <si>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</si>
  <si>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</si>
  <si>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</si>
  <si>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</si>
  <si>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</si>
  <si>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</si>
  <si>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</si>
  <si>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</si>
  <si>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</si>
  <si>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</si>
  <si>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</si>
  <si>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</si>
  <si>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</si>
  <si>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</si>
  <si>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</si>
  <si>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</si>
  <si>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</si>
  <si>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</si>
  <si>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</si>
  <si>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</si>
  <si>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</si>
  <si>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</si>
  <si>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</si>
  <si>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</si>
  <si>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</si>
  <si>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</si>
  <si>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</si>
  <si>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</si>
  <si>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</si>
  <si>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</si>
  <si>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</si>
  <si>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</si>
  <si>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</si>
  <si>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</si>
  <si>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</si>
  <si>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</si>
  <si>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</si>
  <si>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</si>
  <si>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</si>
  <si>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</si>
  <si>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</si>
  <si>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</si>
  <si>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</si>
  <si>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</si>
  <si>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</si>
  <si>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</si>
  <si>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</si>
  <si>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</si>
  <si>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</si>
  <si>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</si>
  <si>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</si>
  <si>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</si>
  <si>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</si>
  <si>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</si>
  <si>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</si>
  <si>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</si>
  <si>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</si>
  <si>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</si>
  <si>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</si>
  <si>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</si>
  <si>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</si>
  <si>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</si>
  <si>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</si>
  <si>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</si>
  <si>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</si>
  <si>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</si>
  <si>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</si>
  <si>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</si>
  <si>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</si>
  <si>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</si>
  <si>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</si>
  <si>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</si>
  <si>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</si>
  <si>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</si>
  <si>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</si>
  <si>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</si>
  <si>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</si>
  <si>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</si>
  <si>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</si>
  <si>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</si>
  <si>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</si>
  <si>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</si>
  <si>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</si>
  <si>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</si>
  <si>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</si>
  <si>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</si>
  <si>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</si>
  <si>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</si>
  <si>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</si>
  <si>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</si>
  <si>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</si>
  <si>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</si>
  <si>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</si>
  <si>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</si>
  <si>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</si>
  <si>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</si>
  <si>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</si>
  <si>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</si>
  <si>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</si>
  <si>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</si>
  <si>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</si>
  <si>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</si>
  <si>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</si>
  <si>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</si>
  <si>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</si>
  <si>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</si>
  <si>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</si>
  <si>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</si>
  <si>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</si>
  <si>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</si>
  <si>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</si>
  <si>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</si>
  <si>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</si>
  <si>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</si>
  <si>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</si>
  <si>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</si>
  <si>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</si>
  <si>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</si>
  <si>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</si>
  <si>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</si>
  <si>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</si>
  <si>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</si>
  <si>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</si>
  <si>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</si>
  <si>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</si>
  <si>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</si>
  <si>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</si>
  <si>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</si>
  <si>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</si>
  <si>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</si>
  <si>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</si>
  <si>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</si>
  <si>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</si>
  <si>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</si>
  <si>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</si>
  <si>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</si>
  <si>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</si>
  <si>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</si>
  <si>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</si>
  <si>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</si>
  <si>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</si>
  <si>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</si>
  <si>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</si>
  <si>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</si>
  <si>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</si>
  <si>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</si>
  <si>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</si>
  <si>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</si>
  <si>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</si>
  <si>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</si>
  <si>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</si>
  <si>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</si>
  <si>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</si>
  <si>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</si>
  <si>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</si>
  <si>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</si>
  <si>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</si>
  <si>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</si>
  <si>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</si>
  <si>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</si>
  <si>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</si>
  <si>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</si>
  <si>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</si>
  <si>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</si>
  <si>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</si>
  <si>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</si>
  <si>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</si>
  <si>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</si>
  <si>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</si>
  <si>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</si>
  <si>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</si>
  <si>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</si>
  <si>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</si>
  <si>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</si>
  <si>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</si>
  <si>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</si>
  <si>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</si>
  <si>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</si>
  <si>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</si>
  <si>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</si>
  <si>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</si>
  <si>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</si>
  <si>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</si>
  <si>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</si>
  <si>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</si>
  <si>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</si>
  <si>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</si>
  <si>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</si>
  <si>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</si>
  <si>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</si>
  <si>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</si>
  <si>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</si>
  <si>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</si>
  <si>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</si>
  <si>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</si>
  <si>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</si>
  <si>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</si>
  <si>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</si>
  <si>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</si>
  <si>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</si>
  <si>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</si>
  <si>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</si>
  <si>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</si>
  <si>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</si>
  <si>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</si>
  <si>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</si>
  <si>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</si>
  <si>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</si>
  <si>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</si>
  <si>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</si>
  <si>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</si>
  <si>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</si>
  <si>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</si>
  <si>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</si>
  <si>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</si>
  <si>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</si>
  <si>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</si>
  <si>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</si>
  <si>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</si>
  <si>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</si>
  <si>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</si>
  <si>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</si>
  <si>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</si>
  <si>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</si>
  <si>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</si>
  <si>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</si>
  <si>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</si>
  <si>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</si>
  <si>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</si>
  <si>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</si>
  <si>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</si>
  <si>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</si>
  <si>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</si>
  <si>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</si>
  <si>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</si>
  <si>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</si>
  <si>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</si>
  <si>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</si>
  <si>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</si>
  <si>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</si>
  <si>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</si>
  <si>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</si>
  <si>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</si>
  <si>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</si>
  <si>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</si>
  <si>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</si>
  <si>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</si>
  <si>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</si>
  <si>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</si>
  <si>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</si>
  <si>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</si>
  <si>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</si>
  <si>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</si>
  <si>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</si>
  <si>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</si>
  <si>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</si>
  <si>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</si>
  <si>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</si>
  <si>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</si>
  <si>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</si>
  <si>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</si>
  <si>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</si>
  <si>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</si>
  <si>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</si>
  <si>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</si>
  <si>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</si>
  <si>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</si>
  <si>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</si>
  <si>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</si>
  <si>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</si>
  <si>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</si>
  <si>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</si>
  <si>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</si>
  <si>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</si>
  <si>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</si>
  <si>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</si>
  <si>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</si>
  <si>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</si>
  <si>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</si>
  <si>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</si>
  <si>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</si>
  <si>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</si>
  <si>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</si>
  <si>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</si>
  <si>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</si>
  <si>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</si>
  <si>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</si>
  <si>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</si>
  <si>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</si>
  <si>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</si>
  <si>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</si>
  <si>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</si>
  <si>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</si>
  <si>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</si>
  <si>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</si>
  <si>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</si>
  <si>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</si>
  <si>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</si>
  <si>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</si>
  <si>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</si>
  <si>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</si>
  <si>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</si>
  <si>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</si>
  <si>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</si>
  <si>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</si>
  <si>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</si>
  <si>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</si>
  <si>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</si>
  <si>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</si>
  <si>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</si>
  <si>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</si>
  <si>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</si>
  <si>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</si>
  <si>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</si>
  <si>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</si>
  <si>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</si>
  <si>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</si>
  <si>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</si>
  <si>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</si>
  <si>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</si>
  <si>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</si>
  <si>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</si>
  <si>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</si>
  <si>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</si>
  <si>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</si>
  <si>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</si>
  <si>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</si>
  <si>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</si>
  <si>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</si>
  <si>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</si>
  <si>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</si>
  <si>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</si>
  <si>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</si>
  <si>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</si>
  <si>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</si>
  <si>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</si>
  <si>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</si>
  <si>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</si>
  <si>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</si>
  <si>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</si>
  <si>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</si>
  <si>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</si>
  <si>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</si>
  <si>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</si>
  <si>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</si>
  <si>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</si>
  <si>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</si>
  <si>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</si>
  <si>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</si>
  <si>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</si>
  <si>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</si>
  <si>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</si>
  <si>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</si>
  <si>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</si>
  <si>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</si>
  <si>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</si>
  <si>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</si>
  <si>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</si>
  <si>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</si>
  <si>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</si>
  <si>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</si>
  <si>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</si>
  <si>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</si>
  <si>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</si>
  <si>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</si>
  <si>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</si>
  <si>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</si>
  <si>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</si>
  <si>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</si>
  <si>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</si>
  <si>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</si>
  <si>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</si>
  <si>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</si>
  <si>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</si>
  <si>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</si>
  <si>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</si>
  <si>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</si>
  <si>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</si>
  <si>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</si>
  <si>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</si>
  <si>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</si>
  <si>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</si>
  <si>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</si>
  <si>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2022-3</t>
    <phoneticPr fontId="3" type="noConversion"/>
  </si>
  <si>
    <t>2022-2</t>
    <phoneticPr fontId="3" type="noConversion"/>
  </si>
  <si>
    <t>2022-3</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</si>
  <si>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</si>
  <si>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</si>
  <si>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</si>
  <si>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</si>
  <si>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</si>
  <si>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</si>
  <si>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</si>
  <si>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</si>
  <si>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抵押</t>
  </si>
  <si>
    <t>房地产抵押价值</t>
  </si>
  <si>
    <t>北京市</t>
  </si>
  <si>
    <r>
      <t>1</t>
    </r>
    <r>
      <rPr>
        <sz val="10"/>
        <color indexed="8"/>
        <rFont val="宋体"/>
        <family val="3"/>
        <charset val="134"/>
      </rPr>
      <t>号楼</t>
    </r>
    <phoneticPr fontId="3" type="noConversion"/>
  </si>
  <si>
    <t>地上</t>
  </si>
  <si>
    <t>地下</t>
  </si>
  <si>
    <r>
      <t>2</t>
    </r>
    <r>
      <rPr>
        <sz val="10"/>
        <color indexed="8"/>
        <rFont val="宋体"/>
        <family val="3"/>
        <charset val="134"/>
      </rPr>
      <t>号楼</t>
    </r>
    <phoneticPr fontId="3" type="noConversion"/>
  </si>
  <si>
    <r>
      <t>6</t>
    </r>
    <r>
      <rPr>
        <sz val="10"/>
        <color indexed="8"/>
        <rFont val="宋体"/>
        <family val="3"/>
        <charset val="134"/>
      </rPr>
      <t>号楼</t>
    </r>
    <phoneticPr fontId="3" type="noConversion"/>
  </si>
  <si>
    <t>工业</t>
    <phoneticPr fontId="7" type="noConversion"/>
  </si>
  <si>
    <t>仓储</t>
    <phoneticPr fontId="7" type="noConversion"/>
  </si>
  <si>
    <t>是</t>
  </si>
  <si>
    <t>利息：取LPR加浮动点数</t>
  </si>
  <si>
    <t>成新度</t>
  </si>
  <si>
    <t>收益法</t>
  </si>
  <si>
    <t>押一</t>
  </si>
  <si>
    <t>钢混</t>
  </si>
  <si>
    <t>非生产用房</t>
  </si>
  <si>
    <t>收益法(仓储)</t>
  </si>
  <si>
    <t>收益法(仓储)</t>
    <phoneticPr fontId="16" type="noConversion"/>
  </si>
  <si>
    <t>M4科研用地</t>
  </si>
  <si>
    <t>与级别开发程度一致</t>
  </si>
  <si>
    <t>自定义容积率</t>
  </si>
  <si>
    <t>一般</t>
  </si>
  <si>
    <t>较好</t>
  </si>
  <si>
    <t>好</t>
  </si>
  <si>
    <t>未包含在土地购买价格中</t>
  </si>
  <si>
    <t>全部缴纳</t>
  </si>
  <si>
    <t>已包含在土地取得成本中</t>
  </si>
  <si>
    <t>成本法</t>
  </si>
  <si>
    <t>项目模式</t>
  </si>
  <si>
    <t>售价</t>
  </si>
  <si>
    <t>比较法-办公</t>
  </si>
  <si>
    <t>工业</t>
    <phoneticPr fontId="31" type="noConversion"/>
  </si>
  <si>
    <t>七通</t>
  </si>
  <si>
    <t>总价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</si>
</sst>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sz val="10"/>
      <color theme="0"/>
      <name val="Arial"/>
      <family val="2"/>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1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25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4" fillId="21" borderId="125" xfId="9" applyNumberFormat="1" applyFont="1" applyFill="1" applyBorder="1" applyAlignment="1" applyProtection="1">
      <alignment horizontal="left" vertical="center" wrapText="1"/>
    </xf>
    <xf numFmtId="0" fontId="254" fillId="21" borderId="126" xfId="9" applyNumberFormat="1" applyFont="1" applyFill="1" applyBorder="1" applyAlignment="1" applyProtection="1">
      <alignment horizontal="left" vertical="center" wrapText="1"/>
    </xf>
    <xf numFmtId="0" fontId="254" fillId="21" borderId="126" xfId="16" applyNumberFormat="1" applyFont="1" applyFill="1" applyBorder="1" applyAlignment="1" applyProtection="1">
      <alignment horizontal="left" vertical="center" wrapText="1"/>
    </xf>
    <xf numFmtId="0" fontId="254" fillId="21" borderId="135" xfId="16" applyNumberFormat="1" applyFont="1" applyFill="1" applyBorder="1" applyAlignment="1" applyProtection="1">
      <alignment horizontal="left" vertical="center" wrapText="1"/>
    </xf>
    <xf numFmtId="0" fontId="254"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6" fillId="6" borderId="47" xfId="0" applyNumberFormat="1" applyFont="1" applyFill="1" applyBorder="1" applyAlignment="1" applyProtection="1">
      <alignment vertical="center"/>
    </xf>
    <xf numFmtId="0" fontId="256" fillId="6" borderId="43" xfId="0" applyNumberFormat="1" applyFont="1" applyFill="1" applyBorder="1" applyAlignment="1" applyProtection="1">
      <alignment horizontal="right" vertical="center"/>
    </xf>
    <xf numFmtId="0" fontId="256" fillId="6" borderId="9" xfId="0" applyNumberFormat="1" applyFont="1" applyFill="1" applyBorder="1" applyAlignment="1" applyProtection="1">
      <alignment horizontal="left" vertical="center" wrapText="1"/>
    </xf>
    <xf numFmtId="0" fontId="257" fillId="6" borderId="19" xfId="0" applyNumberFormat="1" applyFont="1" applyFill="1" applyBorder="1" applyAlignment="1" applyProtection="1">
      <alignment horizontal="left" vertical="center"/>
    </xf>
    <xf numFmtId="0" fontId="255" fillId="6" borderId="28" xfId="0" applyNumberFormat="1" applyFont="1" applyFill="1" applyBorder="1" applyAlignment="1" applyProtection="1">
      <alignment horizontal="left" vertical="center"/>
    </xf>
    <xf numFmtId="0" fontId="257" fillId="6" borderId="18" xfId="0" applyNumberFormat="1" applyFont="1" applyFill="1" applyBorder="1" applyAlignment="1" applyProtection="1">
      <alignment horizontal="left" vertical="center"/>
    </xf>
    <xf numFmtId="0" fontId="256" fillId="6" borderId="1" xfId="0" applyNumberFormat="1" applyFont="1" applyFill="1" applyBorder="1" applyAlignment="1" applyProtection="1">
      <alignment horizontal="left" vertical="center" wrapText="1"/>
    </xf>
    <xf numFmtId="0" fontId="256" fillId="6" borderId="2" xfId="0" applyNumberFormat="1" applyFont="1" applyFill="1" applyBorder="1" applyAlignment="1" applyProtection="1">
      <alignment horizontal="left" vertical="center" wrapText="1"/>
    </xf>
    <xf numFmtId="0" fontId="257" fillId="6" borderId="0" xfId="0" applyNumberFormat="1" applyFont="1" applyFill="1" applyAlignment="1" applyProtection="1">
      <alignment horizontal="left" vertical="center"/>
    </xf>
    <xf numFmtId="0" fontId="255" fillId="6" borderId="32" xfId="0" applyNumberFormat="1" applyFont="1" applyFill="1" applyBorder="1" applyAlignment="1" applyProtection="1">
      <alignment horizontal="left" vertical="center"/>
    </xf>
    <xf numFmtId="0" fontId="255" fillId="6" borderId="33" xfId="0" applyNumberFormat="1" applyFont="1" applyFill="1" applyBorder="1" applyAlignment="1" applyProtection="1">
      <alignment horizontal="left" vertical="center"/>
    </xf>
    <xf numFmtId="0" fontId="256" fillId="6" borderId="40" xfId="0" applyNumberFormat="1" applyFont="1" applyFill="1" applyBorder="1" applyAlignment="1" applyProtection="1">
      <alignment horizontal="left" vertical="center" wrapText="1"/>
    </xf>
    <xf numFmtId="0" fontId="256" fillId="6" borderId="74" xfId="0" applyNumberFormat="1" applyFont="1" applyFill="1" applyBorder="1" applyAlignment="1" applyProtection="1">
      <alignment horizontal="left" vertical="center" wrapText="1"/>
    </xf>
    <xf numFmtId="0" fontId="256" fillId="6" borderId="32" xfId="0" applyNumberFormat="1" applyFont="1" applyFill="1" applyBorder="1" applyAlignment="1" applyProtection="1">
      <alignment horizontal="left" vertical="center" wrapText="1"/>
    </xf>
    <xf numFmtId="0" fontId="256" fillId="6" borderId="14" xfId="0" applyNumberFormat="1" applyFont="1" applyFill="1" applyBorder="1" applyAlignment="1" applyProtection="1">
      <alignment horizontal="left" vertical="center" wrapText="1"/>
    </xf>
    <xf numFmtId="0" fontId="256" fillId="6" borderId="1" xfId="18" applyNumberFormat="1" applyFont="1" applyFill="1" applyBorder="1" applyAlignment="1" applyProtection="1">
      <alignment horizontal="left" vertical="center" wrapText="1"/>
    </xf>
    <xf numFmtId="0" fontId="256" fillId="6" borderId="15" xfId="0" applyNumberFormat="1" applyFont="1" applyFill="1" applyBorder="1" applyAlignment="1" applyProtection="1">
      <alignment horizontal="left" vertical="center" wrapText="1"/>
    </xf>
    <xf numFmtId="0" fontId="256" fillId="6" borderId="13" xfId="0" applyNumberFormat="1" applyFont="1" applyFill="1" applyBorder="1" applyAlignment="1" applyProtection="1">
      <alignment horizontal="left" vertical="center" wrapText="1"/>
    </xf>
    <xf numFmtId="0" fontId="256" fillId="6" borderId="10" xfId="0" applyNumberFormat="1" applyFont="1" applyFill="1" applyBorder="1" applyAlignment="1" applyProtection="1">
      <alignment horizontal="left" vertical="center" wrapText="1"/>
    </xf>
    <xf numFmtId="0" fontId="256" fillId="6" borderId="24" xfId="0" applyNumberFormat="1" applyFont="1" applyFill="1" applyBorder="1" applyAlignment="1" applyProtection="1">
      <alignment horizontal="left" vertical="center" wrapText="1"/>
    </xf>
    <xf numFmtId="0" fontId="256" fillId="6" borderId="12" xfId="0" applyNumberFormat="1" applyFont="1" applyFill="1" applyBorder="1" applyAlignment="1" applyProtection="1">
      <alignment horizontal="left" vertical="center" wrapText="1"/>
    </xf>
    <xf numFmtId="0" fontId="256" fillId="6" borderId="49" xfId="0" applyNumberFormat="1" applyFont="1" applyFill="1" applyBorder="1" applyAlignment="1" applyProtection="1">
      <alignment horizontal="left" vertical="center" wrapText="1"/>
    </xf>
    <xf numFmtId="0" fontId="256" fillId="6" borderId="61" xfId="0" applyNumberFormat="1" applyFont="1" applyFill="1" applyBorder="1" applyAlignment="1" applyProtection="1">
      <alignment horizontal="left" vertical="center" wrapText="1"/>
    </xf>
    <xf numFmtId="0" fontId="256" fillId="6" borderId="6" xfId="0" applyNumberFormat="1" applyFont="1" applyFill="1" applyBorder="1" applyAlignment="1" applyProtection="1">
      <alignment horizontal="left" vertical="center" wrapText="1"/>
    </xf>
    <xf numFmtId="0" fontId="256" fillId="6" borderId="23" xfId="0" applyNumberFormat="1" applyFont="1" applyFill="1" applyBorder="1" applyAlignment="1" applyProtection="1">
      <alignment horizontal="left" vertical="center" wrapText="1"/>
    </xf>
    <xf numFmtId="0" fontId="256"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9" fillId="6" borderId="9" xfId="0" applyFont="1" applyFill="1" applyBorder="1" applyAlignment="1" applyProtection="1">
      <alignment horizontal="left" vertical="center" wrapText="1"/>
    </xf>
    <xf numFmtId="10" fontId="260" fillId="6" borderId="9" xfId="0" applyNumberFormat="1" applyFont="1" applyFill="1" applyBorder="1" applyAlignment="1">
      <alignment horizontal="left" vertical="center" wrapText="1"/>
    </xf>
    <xf numFmtId="10" fontId="260"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9" fillId="6" borderId="1" xfId="0" applyFont="1" applyFill="1" applyBorder="1" applyAlignment="1" applyProtection="1">
      <alignment horizontal="left" vertical="center" wrapText="1"/>
    </xf>
    <xf numFmtId="10" fontId="260" fillId="6" borderId="1" xfId="0" applyNumberFormat="1" applyFont="1" applyFill="1" applyBorder="1" applyAlignment="1">
      <alignment horizontal="left" vertical="center" wrapText="1"/>
    </xf>
    <xf numFmtId="10" fontId="260"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9" fillId="6" borderId="13" xfId="0" applyFont="1" applyFill="1" applyBorder="1" applyAlignment="1" applyProtection="1">
      <alignment horizontal="left" vertical="center" wrapText="1"/>
    </xf>
    <xf numFmtId="10" fontId="260"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0" fillId="6" borderId="61" xfId="0" applyNumberFormat="1" applyFont="1" applyFill="1" applyBorder="1" applyAlignment="1">
      <alignment horizontal="left" vertical="center" wrapText="1"/>
    </xf>
    <xf numFmtId="0" fontId="261" fillId="6" borderId="1" xfId="0" applyFont="1" applyFill="1" applyBorder="1" applyAlignment="1">
      <alignment horizontal="left" vertical="center" wrapText="1"/>
    </xf>
    <xf numFmtId="0" fontId="261" fillId="6" borderId="13" xfId="0" applyFont="1" applyFill="1" applyBorder="1" applyAlignment="1">
      <alignment horizontal="left" vertical="center" wrapText="1"/>
    </xf>
    <xf numFmtId="0" fontId="259" fillId="6" borderId="6" xfId="0" applyFont="1" applyFill="1" applyBorder="1" applyAlignment="1" applyProtection="1">
      <alignment horizontal="left" vertical="center" wrapText="1"/>
    </xf>
    <xf numFmtId="0" fontId="259"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9"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9" fillId="6" borderId="1" xfId="18" applyFont="1" applyFill="1" applyBorder="1" applyAlignment="1" applyProtection="1">
      <alignment horizontal="left" vertical="center" wrapText="1"/>
    </xf>
    <xf numFmtId="0" fontId="259" fillId="6" borderId="25" xfId="0" applyFont="1" applyFill="1" applyBorder="1" applyAlignment="1" applyProtection="1">
      <alignment horizontal="left" vertical="center" wrapText="1"/>
    </xf>
    <xf numFmtId="0" fontId="259" fillId="6" borderId="32" xfId="0" applyFont="1" applyFill="1" applyBorder="1" applyAlignment="1" applyProtection="1">
      <alignment horizontal="left" vertical="center" wrapText="1"/>
    </xf>
    <xf numFmtId="10" fontId="260" fillId="6" borderId="32" xfId="0" applyNumberFormat="1" applyFont="1" applyFill="1" applyBorder="1" applyAlignment="1">
      <alignment horizontal="left" vertical="center" wrapText="1"/>
    </xf>
    <xf numFmtId="10" fontId="260"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4"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5"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0" fontId="266" fillId="0" borderId="1" xfId="0" applyNumberFormat="1" applyFont="1" applyFill="1" applyBorder="1" applyAlignment="1">
      <alignment horizontal="left" vertical="center"/>
    </xf>
    <xf numFmtId="0" fontId="267"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10" fontId="53" fillId="7" borderId="0" xfId="0" applyNumberFormat="1" applyFont="1" applyFill="1" applyAlignment="1" applyProtection="1">
      <alignment horizontal="left" vertical="center" wrapText="1"/>
      <protection locked="0"/>
    </xf>
    <xf numFmtId="0" fontId="47" fillId="6" borderId="35" xfId="0" applyFont="1" applyFill="1" applyBorder="1" applyAlignment="1" applyProtection="1">
      <alignment horizontal="left" vertical="center"/>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4"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28" fillId="0" borderId="51"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5" fillId="6" borderId="6"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center" vertical="center"/>
    </xf>
    <xf numFmtId="0" fontId="255"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4" fillId="0" borderId="0" xfId="0" applyNumberFormat="1" applyFont="1" applyFill="1" applyAlignment="1">
      <alignment horizontal="center" vertical="center"/>
    </xf>
    <xf numFmtId="0" fontId="264"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47">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285750</xdr:colOff>
      <xdr:row>0</xdr:row>
      <xdr:rowOff>47625</xdr:rowOff>
    </xdr:from>
    <xdr:to>
      <xdr:col>8</xdr:col>
      <xdr:colOff>676275</xdr:colOff>
      <xdr:row>29</xdr:row>
      <xdr:rowOff>144518</xdr:rowOff>
    </xdr:to>
    <xdr:pic>
      <xdr:nvPicPr>
        <xdr:cNvPr id="2" name="图片 1"/>
        <xdr:cNvPicPr>
          <a:picLocks noChangeAspect="1"/>
        </xdr:cNvPicPr>
      </xdr:nvPicPr>
      <xdr:blipFill>
        <a:blip xmlns:r="http://schemas.openxmlformats.org/officeDocument/2006/relationships" r:embed="rId1"/>
        <a:stretch>
          <a:fillRect/>
        </a:stretch>
      </xdr:blipFill>
      <xdr:spPr>
        <a:xfrm>
          <a:off x="285750" y="47625"/>
          <a:ext cx="5876925" cy="5068943"/>
        </a:xfrm>
        <a:prstGeom prst="rect">
          <a:avLst/>
        </a:prstGeom>
      </xdr:spPr>
    </xdr:pic>
    <xdr:clientData/>
  </xdr:twoCellAnchor>
  <xdr:twoCellAnchor editAs="oneCell">
    <xdr:from>
      <xdr:col>9</xdr:col>
      <xdr:colOff>142875</xdr:colOff>
      <xdr:row>0</xdr:row>
      <xdr:rowOff>95250</xdr:rowOff>
    </xdr:from>
    <xdr:to>
      <xdr:col>19</xdr:col>
      <xdr:colOff>94399</xdr:colOff>
      <xdr:row>29</xdr:row>
      <xdr:rowOff>8915</xdr:rowOff>
    </xdr:to>
    <xdr:pic>
      <xdr:nvPicPr>
        <xdr:cNvPr id="3" name="图片 2"/>
        <xdr:cNvPicPr>
          <a:picLocks noChangeAspect="1"/>
        </xdr:cNvPicPr>
      </xdr:nvPicPr>
      <xdr:blipFill>
        <a:blip xmlns:r="http://schemas.openxmlformats.org/officeDocument/2006/relationships" r:embed="rId2"/>
        <a:stretch>
          <a:fillRect/>
        </a:stretch>
      </xdr:blipFill>
      <xdr:spPr>
        <a:xfrm>
          <a:off x="6315075" y="95250"/>
          <a:ext cx="6809524" cy="4885715"/>
        </a:xfrm>
        <a:prstGeom prst="rect">
          <a:avLst/>
        </a:prstGeom>
      </xdr:spPr>
    </xdr:pic>
    <xdr:clientData/>
  </xdr:twoCellAnchor>
  <xdr:twoCellAnchor editAs="oneCell">
    <xdr:from>
      <xdr:col>0</xdr:col>
      <xdr:colOff>381000</xdr:colOff>
      <xdr:row>30</xdr:row>
      <xdr:rowOff>161925</xdr:rowOff>
    </xdr:from>
    <xdr:to>
      <xdr:col>15</xdr:col>
      <xdr:colOff>589239</xdr:colOff>
      <xdr:row>54</xdr:row>
      <xdr:rowOff>170935</xdr:rowOff>
    </xdr:to>
    <xdr:pic>
      <xdr:nvPicPr>
        <xdr:cNvPr id="4" name="图片 3"/>
        <xdr:cNvPicPr>
          <a:picLocks noChangeAspect="1"/>
        </xdr:cNvPicPr>
      </xdr:nvPicPr>
      <xdr:blipFill>
        <a:blip xmlns:r="http://schemas.openxmlformats.org/officeDocument/2006/relationships" r:embed="rId3"/>
        <a:stretch>
          <a:fillRect/>
        </a:stretch>
      </xdr:blipFill>
      <xdr:spPr>
        <a:xfrm>
          <a:off x="381000" y="5305425"/>
          <a:ext cx="10495239" cy="412381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12</xdr:col>
      <xdr:colOff>303820</xdr:colOff>
      <xdr:row>27</xdr:row>
      <xdr:rowOff>132777</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171450"/>
          <a:ext cx="7847620" cy="4590477"/>
        </a:xfrm>
        <a:prstGeom prst="rect">
          <a:avLst/>
        </a:prstGeom>
      </xdr:spPr>
    </xdr:pic>
    <xdr:clientData/>
  </xdr:twoCellAnchor>
  <xdr:twoCellAnchor editAs="oneCell">
    <xdr:from>
      <xdr:col>1</xdr:col>
      <xdr:colOff>19050</xdr:colOff>
      <xdr:row>28</xdr:row>
      <xdr:rowOff>123825</xdr:rowOff>
    </xdr:from>
    <xdr:to>
      <xdr:col>12</xdr:col>
      <xdr:colOff>284774</xdr:colOff>
      <xdr:row>64</xdr:row>
      <xdr:rowOff>113530</xdr:rowOff>
    </xdr:to>
    <xdr:pic>
      <xdr:nvPicPr>
        <xdr:cNvPr id="3" name="图片 2"/>
        <xdr:cNvPicPr>
          <a:picLocks noChangeAspect="1"/>
        </xdr:cNvPicPr>
      </xdr:nvPicPr>
      <xdr:blipFill>
        <a:blip xmlns:r="http://schemas.openxmlformats.org/officeDocument/2006/relationships" r:embed="rId2"/>
        <a:stretch>
          <a:fillRect/>
        </a:stretch>
      </xdr:blipFill>
      <xdr:spPr>
        <a:xfrm>
          <a:off x="704850" y="4924425"/>
          <a:ext cx="7809524" cy="6161905"/>
        </a:xfrm>
        <a:prstGeom prst="rect">
          <a:avLst/>
        </a:prstGeom>
      </xdr:spPr>
    </xdr:pic>
    <xdr:clientData/>
  </xdr:twoCellAnchor>
  <xdr:twoCellAnchor editAs="oneCell">
    <xdr:from>
      <xdr:col>1</xdr:col>
      <xdr:colOff>0</xdr:colOff>
      <xdr:row>65</xdr:row>
      <xdr:rowOff>0</xdr:rowOff>
    </xdr:from>
    <xdr:to>
      <xdr:col>12</xdr:col>
      <xdr:colOff>608582</xdr:colOff>
      <xdr:row>75</xdr:row>
      <xdr:rowOff>104548</xdr:rowOff>
    </xdr:to>
    <xdr:pic>
      <xdr:nvPicPr>
        <xdr:cNvPr id="4" name="图片 3"/>
        <xdr:cNvPicPr>
          <a:picLocks noChangeAspect="1"/>
        </xdr:cNvPicPr>
      </xdr:nvPicPr>
      <xdr:blipFill>
        <a:blip xmlns:r="http://schemas.openxmlformats.org/officeDocument/2006/relationships" r:embed="rId3"/>
        <a:stretch>
          <a:fillRect/>
        </a:stretch>
      </xdr:blipFill>
      <xdr:spPr>
        <a:xfrm>
          <a:off x="685800" y="11144250"/>
          <a:ext cx="8152382" cy="1819048"/>
        </a:xfrm>
        <a:prstGeom prst="rect">
          <a:avLst/>
        </a:prstGeom>
      </xdr:spPr>
    </xdr:pic>
    <xdr:clientData/>
  </xdr:twoCellAnchor>
  <xdr:twoCellAnchor editAs="oneCell">
    <xdr:from>
      <xdr:col>1</xdr:col>
      <xdr:colOff>0</xdr:colOff>
      <xdr:row>76</xdr:row>
      <xdr:rowOff>0</xdr:rowOff>
    </xdr:from>
    <xdr:to>
      <xdr:col>16</xdr:col>
      <xdr:colOff>227286</xdr:colOff>
      <xdr:row>106</xdr:row>
      <xdr:rowOff>123167</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13030200"/>
          <a:ext cx="10514286" cy="52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row r="8">
          <cell r="B8">
            <v>0</v>
          </cell>
        </row>
      </sheetData>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2" Type="http://schemas.openxmlformats.org/officeDocument/2006/relationships/comments" Target="../comments23.xml"/><Relationship Id="rId1" Type="http://schemas.openxmlformats.org/officeDocument/2006/relationships/vmlDrawing" Target="../drawings/vmlDrawing28.v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估价对象为北京市房地产，为所有。根据《国有土地使用证》[]，估价对象（分摊）出让国有建设用地使用权面积为0平方米，建筑面积为10268.67平方米。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估价对象为北京市房地产,属开发建设的，该项目尚在开发建设中。根据《国有土地使用证》[]，估价对象（分摊）出让国有建设用地使用权面积为0平方米，规划建筑面积为10268.67平方米。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2023年1月11日</v>
      </c>
    </row>
    <row r="13" spans="1:2" s="1203" customFormat="1">
      <c r="A13" s="1201" t="s">
        <v>529</v>
      </c>
      <c r="B13" s="1202" t="str">
        <f>'预评函-1'!A18</f>
        <v>本次估价的“房地产价值”是指在正常市场情况下，在价值时点2023年1月11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2707</v>
      </c>
    </row>
    <row r="21" spans="1:2" s="1203" customFormat="1">
      <c r="A21" s="1201" t="s">
        <v>537</v>
      </c>
      <c r="B21" s="1202">
        <f ca="1">'预评函-2'!D7</f>
        <v>13345</v>
      </c>
    </row>
    <row r="22" spans="1:2" s="1203" customFormat="1">
      <c r="A22" s="1201" t="s">
        <v>538</v>
      </c>
      <c r="B22" s="1202" t="str">
        <f ca="1">'预评函-2'!D6</f>
        <v>贰仟柒佰零柒万元整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2707</v>
      </c>
    </row>
    <row r="31" spans="1:2" s="1203" customFormat="1">
      <c r="A31" s="1201" t="s">
        <v>576</v>
      </c>
      <c r="B31" s="1202">
        <f ca="1">'预评函-2'!D15</f>
        <v>13345</v>
      </c>
    </row>
    <row r="32" spans="1:2" s="1203" customFormat="1">
      <c r="A32" s="1201" t="s">
        <v>543</v>
      </c>
      <c r="B32" s="1202" t="str">
        <f ca="1">'预评函-2'!D14</f>
        <v>贰仟柒佰零柒万元整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10268.669999999998</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8" t="str">
        <f>项目基本情况!B1</f>
        <v>北京市房地产抵押价值预评估</v>
      </c>
      <c r="C37" s="3478"/>
      <c r="D37" s="3478"/>
      <c r="E37" s="3478"/>
      <c r="F37" s="3478"/>
      <c r="G37" s="3478"/>
      <c r="H37" s="3478"/>
      <c r="I37" s="3478"/>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估价对象为北京市房地产，为所有。根据《国有土地使用证》[]，估价对象（分摊）出让国有建设用地使用权面积为0平方米，建筑面积为10268.67平方米。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估价对象为北京市房地产,属开发建设的，该项目尚在开发建设中。根据《国有土地使用证》[]，估价对象（分摊）出让国有建设用地使用权面积为0平方米，规划建筑面积为10268.67平方米。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2023年1月11日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月11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8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3"/>
      <c r="C2" s="3483"/>
      <c r="D2" s="3483"/>
      <c r="E2" s="3483"/>
    </row>
    <row r="3" spans="1:5" ht="18">
      <c r="A3" s="3484" t="str">
        <f>IF(项目基本情况!B9="房地产市场价值","估价结果一览表（市场价值不需“结果表-1”）","估价结果一览表")</f>
        <v>估价结果一览表</v>
      </c>
      <c r="B3" s="3484"/>
      <c r="C3" s="3484"/>
      <c r="D3" s="3484"/>
      <c r="E3" s="3484"/>
    </row>
    <row r="4" spans="1:5" ht="19.5" thickBot="1">
      <c r="A4" s="1493"/>
      <c r="B4" s="3482" t="s">
        <v>917</v>
      </c>
      <c r="C4" s="3482"/>
      <c r="D4" s="3482"/>
      <c r="E4" s="1493"/>
    </row>
    <row r="5" spans="1:5" ht="16.5" thickTop="1">
      <c r="A5" s="1491"/>
      <c r="B5" s="3480" t="s">
        <v>909</v>
      </c>
      <c r="C5" s="1494" t="s">
        <v>910</v>
      </c>
      <c r="D5" s="850">
        <f ca="1">结果表!H101</f>
        <v>2707</v>
      </c>
      <c r="E5" s="1491"/>
    </row>
    <row r="6" spans="1:5" ht="15.75">
      <c r="A6" s="1491"/>
      <c r="B6" s="3480"/>
      <c r="C6" s="1494" t="s">
        <v>911</v>
      </c>
      <c r="D6" s="850" t="str">
        <f ca="1">NUMBERSTRING(INT(D5*10000),2)&amp;"元整"</f>
        <v>贰仟柒佰零柒万元整</v>
      </c>
      <c r="E6" s="1491"/>
    </row>
    <row r="7" spans="1:5" ht="15.75">
      <c r="A7" s="1491"/>
      <c r="B7" s="3485"/>
      <c r="C7" s="1495" t="s">
        <v>912</v>
      </c>
      <c r="D7" s="851">
        <f ca="1">结果表!H102</f>
        <v>13345</v>
      </c>
      <c r="E7" s="1491"/>
    </row>
    <row r="8" spans="1:5" ht="15.75">
      <c r="A8" s="1491"/>
      <c r="B8" s="3486" t="str">
        <f>结果表!E103</f>
        <v>2.估价师知悉的法定优先受偿款</v>
      </c>
      <c r="C8" s="1496" t="s">
        <v>913</v>
      </c>
      <c r="D8" s="851">
        <f>结果表!H103</f>
        <v>0</v>
      </c>
      <c r="E8" s="1491"/>
    </row>
    <row r="9" spans="1:5" ht="15.75">
      <c r="A9" s="1491"/>
      <c r="B9" s="3488"/>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79" t="str">
        <f>结果表!E107</f>
        <v>3.房地产抵押价值</v>
      </c>
      <c r="C13" s="1499" t="s">
        <v>910</v>
      </c>
      <c r="D13" s="853">
        <f ca="1">结果表!H107</f>
        <v>2707</v>
      </c>
      <c r="E13" s="1491"/>
    </row>
    <row r="14" spans="1:5" ht="15.75">
      <c r="A14" s="1491"/>
      <c r="B14" s="3480"/>
      <c r="C14" s="1494" t="s">
        <v>911</v>
      </c>
      <c r="D14" s="850" t="str">
        <f ca="1">NUMBERSTRING(INT(D13*10000),2)&amp;"元整"</f>
        <v>贰仟柒佰零柒万元整</v>
      </c>
      <c r="E14" s="1491"/>
    </row>
    <row r="15" spans="1:5" ht="15">
      <c r="A15" s="1491"/>
      <c r="B15" s="3485"/>
      <c r="C15" s="1495" t="s">
        <v>921</v>
      </c>
      <c r="D15" s="859">
        <f ca="1">结果表!H108</f>
        <v>13345</v>
      </c>
      <c r="E15" s="1491"/>
    </row>
    <row r="16" spans="1:5" ht="15">
      <c r="A16" s="1491"/>
      <c r="B16" s="3486" t="str">
        <f>结果表!E109</f>
        <v>——</v>
      </c>
      <c r="C16" s="1499" t="s">
        <v>922</v>
      </c>
      <c r="D16" s="1500" t="str">
        <f>结果表!H109</f>
        <v>——</v>
      </c>
      <c r="E16" s="1491"/>
    </row>
    <row r="17" spans="1:5" ht="15.75">
      <c r="A17" s="1491"/>
      <c r="B17" s="3487"/>
      <c r="C17" s="1494" t="s">
        <v>923</v>
      </c>
      <c r="D17" s="850" t="e">
        <f>NUMBERSTRING(INT(D16*10000),2)&amp;"元整"</f>
        <v>#VALUE!</v>
      </c>
      <c r="E17" s="1491"/>
    </row>
    <row r="18" spans="1:5" ht="15">
      <c r="A18" s="1491"/>
      <c r="B18" s="3488"/>
      <c r="C18" s="1495" t="s">
        <v>912</v>
      </c>
      <c r="D18" s="859" t="str">
        <f>结果表!H110</f>
        <v>——</v>
      </c>
      <c r="E18" s="1491"/>
    </row>
    <row r="19" spans="1:5" ht="15.75">
      <c r="A19" s="1491"/>
      <c r="B19" s="3479" t="str">
        <f>结果表!E111</f>
        <v>——</v>
      </c>
      <c r="C19" s="1499" t="s">
        <v>910</v>
      </c>
      <c r="D19" s="851" t="str">
        <f>结果表!H111</f>
        <v>——</v>
      </c>
      <c r="E19" s="1491"/>
    </row>
    <row r="20" spans="1:5" ht="15.75">
      <c r="A20" s="1491"/>
      <c r="B20" s="3480"/>
      <c r="C20" s="1494" t="s">
        <v>923</v>
      </c>
      <c r="D20" s="850" t="e">
        <f>NUMBERSTRING(INT(D19*10000),2)&amp;"元整"</f>
        <v>#VALUE!</v>
      </c>
      <c r="E20" s="1491"/>
    </row>
    <row r="21" spans="1:5" ht="15.75" thickBot="1">
      <c r="A21" s="1491"/>
      <c r="B21" s="3481"/>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96" t="str">
        <f>IF(项目基本情况!B9="房地产市场价值","估价结果一览表","结果表-2")</f>
        <v>结果表-2</v>
      </c>
      <c r="B1" s="3496"/>
      <c r="C1" s="3496"/>
      <c r="D1" s="3496"/>
      <c r="E1" s="3496"/>
      <c r="F1" s="3496"/>
      <c r="G1" s="3496"/>
      <c r="H1" s="3496"/>
      <c r="I1" s="3496"/>
    </row>
    <row r="2" spans="1:9" ht="30" customHeight="1" thickTop="1">
      <c r="A2" s="3497" t="s">
        <v>928</v>
      </c>
      <c r="B2" s="3497" t="s">
        <v>929</v>
      </c>
      <c r="C2" s="3497" t="s">
        <v>930</v>
      </c>
      <c r="D2" s="3497" t="str">
        <f>结果表!D116</f>
        <v>出让国有建设用地使用权价值</v>
      </c>
      <c r="E2" s="3497"/>
      <c r="F2" s="3497" t="str">
        <f>结果表!F116</f>
        <v>在建建筑物价值</v>
      </c>
      <c r="G2" s="3497"/>
      <c r="H2" s="3497" t="str">
        <f>IF(项目基本情况!B9="房地产市场价值","房地产市场价值","房地产价值")</f>
        <v>房地产价值</v>
      </c>
      <c r="I2" s="3497"/>
    </row>
    <row r="3" spans="1:9" ht="15">
      <c r="A3" s="3492"/>
      <c r="B3" s="3492"/>
      <c r="C3" s="3492"/>
      <c r="D3" s="854" t="s">
        <v>925</v>
      </c>
      <c r="E3" s="854" t="s">
        <v>931</v>
      </c>
      <c r="F3" s="854" t="s">
        <v>925</v>
      </c>
      <c r="G3" s="854" t="s">
        <v>926</v>
      </c>
      <c r="H3" s="854" t="s">
        <v>925</v>
      </c>
      <c r="I3" s="854" t="s">
        <v>926</v>
      </c>
    </row>
    <row r="4" spans="1:9" ht="15">
      <c r="A4" s="1505" t="str">
        <f>项目基本情况!S2</f>
        <v>北京市房地产</v>
      </c>
      <c r="B4" s="854">
        <f>项目基本情况!C17</f>
        <v>10268.669999999998</v>
      </c>
      <c r="C4" s="854">
        <f>项目基本情况!C18</f>
        <v>0</v>
      </c>
      <c r="D4" s="854" t="e">
        <f ca="1">结果表!D118</f>
        <v>#REF!</v>
      </c>
      <c r="E4" s="854" t="e">
        <f ca="1">结果表!E118</f>
        <v>#REF!</v>
      </c>
      <c r="F4" s="854" t="e">
        <f ca="1">结果表!F118</f>
        <v>#REF!</v>
      </c>
      <c r="G4" s="854" t="e">
        <f ca="1">结果表!G118</f>
        <v>#REF!</v>
      </c>
      <c r="H4" s="854">
        <f ca="1">结果表!H118</f>
        <v>2707</v>
      </c>
      <c r="I4" s="854">
        <f ca="1">结果表!I118</f>
        <v>13345</v>
      </c>
    </row>
    <row r="5" spans="1:9" ht="30" customHeight="1">
      <c r="A5" s="3492" t="s">
        <v>927</v>
      </c>
      <c r="B5" s="3492"/>
      <c r="C5" s="3492"/>
      <c r="D5" s="3492" t="e">
        <f ca="1">结果表!D119</f>
        <v>#REF!</v>
      </c>
      <c r="E5" s="3492"/>
      <c r="F5" s="3492" t="e">
        <f ca="1">结果表!F119</f>
        <v>#REF!</v>
      </c>
      <c r="G5" s="3492"/>
      <c r="H5" s="3492" t="str">
        <f ca="1">结果表!H119</f>
        <v>贰仟柒佰零柒万元整</v>
      </c>
      <c r="I5" s="3492"/>
    </row>
    <row r="6" spans="1:9" ht="15.75">
      <c r="A6" s="3491" t="str">
        <f>结果表!A120</f>
        <v>估价师知悉的法定优先受偿款</v>
      </c>
      <c r="B6" s="3491"/>
      <c r="C6" s="3491"/>
      <c r="D6" s="3491">
        <f>结果表!D120</f>
        <v>0</v>
      </c>
      <c r="E6" s="3491"/>
      <c r="F6" s="3491"/>
      <c r="G6" s="3491"/>
      <c r="H6" s="3491"/>
      <c r="I6" s="3491"/>
    </row>
    <row r="7" spans="1:9" ht="15">
      <c r="A7" s="3492" t="s">
        <v>927</v>
      </c>
      <c r="B7" s="3492"/>
      <c r="C7" s="3492"/>
      <c r="D7" s="3493" t="str">
        <f>结果表!D121</f>
        <v>零元整</v>
      </c>
      <c r="E7" s="3494"/>
      <c r="F7" s="3494"/>
      <c r="G7" s="3494"/>
      <c r="H7" s="3494"/>
      <c r="I7" s="3495"/>
    </row>
    <row r="8" spans="1:9" ht="15.75">
      <c r="A8" s="3491" t="str">
        <f>结果表!A122</f>
        <v>房地产抵押价值</v>
      </c>
      <c r="B8" s="3491"/>
      <c r="C8" s="3491"/>
      <c r="D8" s="3491">
        <f ca="1">结果表!D122</f>
        <v>2707</v>
      </c>
      <c r="E8" s="3491"/>
      <c r="F8" s="3491"/>
      <c r="G8" s="3491"/>
      <c r="H8" s="3491"/>
      <c r="I8" s="3491"/>
    </row>
    <row r="9" spans="1:9" ht="15">
      <c r="A9" s="3492" t="s">
        <v>927</v>
      </c>
      <c r="B9" s="3492"/>
      <c r="C9" s="3492"/>
      <c r="D9" s="3492" t="str">
        <f ca="1">结果表!D123</f>
        <v>贰仟柒佰零柒万元整</v>
      </c>
      <c r="E9" s="3492"/>
      <c r="F9" s="3492"/>
      <c r="G9" s="3492"/>
      <c r="H9" s="3492"/>
      <c r="I9" s="3492"/>
    </row>
    <row r="10" spans="1:9" ht="15.75">
      <c r="A10" s="3491" t="str">
        <f>结果表!A124</f>
        <v/>
      </c>
      <c r="B10" s="3491"/>
      <c r="C10" s="3491"/>
      <c r="D10" s="3491" t="str">
        <f>结果表!D124</f>
        <v>——</v>
      </c>
      <c r="E10" s="3491"/>
      <c r="F10" s="3491"/>
      <c r="G10" s="3491"/>
      <c r="H10" s="3491"/>
      <c r="I10" s="3491"/>
    </row>
    <row r="11" spans="1:9" ht="15">
      <c r="A11" s="3492" t="s">
        <v>927</v>
      </c>
      <c r="B11" s="3492"/>
      <c r="C11" s="3492"/>
      <c r="D11" s="3492" t="e">
        <f>结果表!D125</f>
        <v>#VALUE!</v>
      </c>
      <c r="E11" s="3492"/>
      <c r="F11" s="3492"/>
      <c r="G11" s="3492"/>
      <c r="H11" s="3492"/>
      <c r="I11" s="3492"/>
    </row>
    <row r="12" spans="1:9" ht="15.75">
      <c r="A12" s="3491" t="str">
        <f>结果表!A126</f>
        <v/>
      </c>
      <c r="B12" s="3491"/>
      <c r="C12" s="3491"/>
      <c r="D12" s="3491" t="str">
        <f>结果表!D126</f>
        <v>——</v>
      </c>
      <c r="E12" s="3491"/>
      <c r="F12" s="3491"/>
      <c r="G12" s="3491"/>
      <c r="H12" s="3491"/>
      <c r="I12" s="3491"/>
    </row>
    <row r="13" spans="1:9" ht="15.75" thickBot="1">
      <c r="A13" s="3489" t="s">
        <v>927</v>
      </c>
      <c r="B13" s="3489"/>
      <c r="C13" s="3489"/>
      <c r="D13" s="3489" t="e">
        <f>结果表!D127</f>
        <v>#VALUE!</v>
      </c>
      <c r="E13" s="3489"/>
      <c r="F13" s="3489"/>
      <c r="G13" s="3489"/>
      <c r="H13" s="3489"/>
      <c r="I13" s="3489"/>
    </row>
    <row r="14" spans="1:9" ht="15" thickTop="1">
      <c r="A14" s="3490" t="s">
        <v>932</v>
      </c>
      <c r="B14" s="3490"/>
      <c r="C14" s="3490"/>
      <c r="D14" s="3490"/>
      <c r="E14" s="3490"/>
      <c r="F14" s="3490"/>
      <c r="G14" s="3490"/>
      <c r="H14" s="3490"/>
      <c r="I14" s="3490"/>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04" t="s">
        <v>949</v>
      </c>
      <c r="B1" s="3504"/>
      <c r="C1" s="3504"/>
      <c r="D1" s="3504"/>
    </row>
    <row r="2" spans="1:4" ht="18">
      <c r="A2" s="3505" t="s">
        <v>933</v>
      </c>
      <c r="B2" s="3505"/>
      <c r="C2" s="3505"/>
      <c r="D2" s="3505"/>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05" t="s">
        <v>939</v>
      </c>
      <c r="B6" s="3505"/>
      <c r="C6" s="3505"/>
      <c r="D6" s="3505"/>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06" t="s">
        <v>942</v>
      </c>
      <c r="B11" s="3498"/>
      <c r="C11" s="3498"/>
      <c r="D11" s="3498"/>
    </row>
    <row r="12" spans="1:4" ht="15.75">
      <c r="A12" s="349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3"/>
      <c r="C12" s="3503"/>
      <c r="D12" s="3503"/>
    </row>
    <row r="13" spans="1:4" ht="30" customHeight="1">
      <c r="A13" s="349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3"/>
      <c r="C13" s="3503"/>
      <c r="D13" s="3503"/>
    </row>
    <row r="14" spans="1:4" ht="15.75" customHeight="1">
      <c r="A14" s="3498" t="str">
        <f>IF(项目基本情况!B8="抵押","4.本次评估估价师所知悉的法定优先受偿款情况说明如下：","——")</f>
        <v>4.本次评估估价师所知悉的法定优先受偿款情况说明如下：</v>
      </c>
      <c r="B14" s="3503"/>
      <c r="C14" s="3503"/>
      <c r="D14" s="3503"/>
    </row>
    <row r="15" spans="1:4" ht="42" customHeight="1">
      <c r="A15" s="349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8"/>
      <c r="C15" s="3498"/>
      <c r="D15" s="3498"/>
    </row>
    <row r="16" spans="1:4" ht="30" customHeight="1">
      <c r="A16" s="3500" t="s">
        <v>943</v>
      </c>
      <c r="B16" s="3500"/>
      <c r="C16" s="3500"/>
      <c r="D16" s="3500"/>
    </row>
    <row r="17" spans="1:4" ht="144" customHeight="1">
      <c r="A17" s="3500" t="s">
        <v>944</v>
      </c>
      <c r="B17" s="3500"/>
      <c r="C17" s="3500"/>
      <c r="D17" s="3500"/>
    </row>
    <row r="18" spans="1:4" ht="15.75" customHeight="1">
      <c r="A18" s="3498" t="str">
        <f>IF(项目基本情况!B8="抵押",结果表!K120,"——")</f>
        <v>故，本次评估不存在估价师知悉的法定优先受偿款</v>
      </c>
      <c r="B18" s="3498"/>
      <c r="C18" s="3498"/>
      <c r="D18" s="3498"/>
    </row>
    <row r="19" spans="1:4" ht="46.5" customHeight="1">
      <c r="A19" s="349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8"/>
      <c r="C19" s="3498"/>
      <c r="D19" s="3498"/>
    </row>
    <row r="20" spans="1:4" ht="57.75" customHeight="1">
      <c r="A20" s="349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8"/>
      <c r="C20" s="3498"/>
      <c r="D20" s="3498"/>
    </row>
    <row r="21" spans="1:4" ht="57.75" customHeight="1">
      <c r="A21" s="350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01"/>
      <c r="C21" s="3501"/>
      <c r="D21" s="3501"/>
    </row>
    <row r="22" spans="1:4" ht="18.75" customHeight="1">
      <c r="A22" s="3502" t="s">
        <v>945</v>
      </c>
      <c r="B22" s="3502"/>
      <c r="C22" s="3502"/>
      <c r="D22" s="3502"/>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99">
        <v>42551</v>
      </c>
      <c r="D31" s="349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12" t="s">
        <v>956</v>
      </c>
      <c r="B15" s="3507" t="s">
        <v>109</v>
      </c>
      <c r="C15" s="3508"/>
    </row>
    <row r="16" spans="1:7" ht="13.5">
      <c r="A16" s="3513"/>
      <c r="B16" s="3507" t="s">
        <v>42</v>
      </c>
      <c r="C16" s="3508"/>
    </row>
    <row r="17" spans="1:3" ht="13.5">
      <c r="A17" s="3513"/>
      <c r="B17" s="3510" t="s">
        <v>957</v>
      </c>
      <c r="C17" s="1532" t="s">
        <v>956</v>
      </c>
    </row>
    <row r="18" spans="1:3" ht="13.5">
      <c r="A18" s="3513"/>
      <c r="B18" s="3510"/>
      <c r="C18" s="1532" t="s">
        <v>958</v>
      </c>
    </row>
    <row r="19" spans="1:3" ht="13.5">
      <c r="A19" s="3513"/>
      <c r="B19" s="3510"/>
      <c r="C19" s="1532" t="s">
        <v>959</v>
      </c>
    </row>
    <row r="20" spans="1:3" ht="13.5">
      <c r="A20" s="3514"/>
      <c r="B20" s="3509" t="s">
        <v>960</v>
      </c>
      <c r="C20" s="3508"/>
    </row>
    <row r="21" spans="1:3" ht="13.5">
      <c r="A21" s="1533" t="s">
        <v>961</v>
      </c>
      <c r="B21" s="1534"/>
      <c r="C21" s="1535"/>
    </row>
    <row r="22" spans="1:3" ht="13.5">
      <c r="A22" s="3511" t="s">
        <v>962</v>
      </c>
      <c r="B22" s="3509" t="s">
        <v>963</v>
      </c>
      <c r="C22" s="3508"/>
    </row>
    <row r="23" spans="1:3" ht="13.5">
      <c r="A23" s="3511"/>
      <c r="B23" s="3509" t="s">
        <v>964</v>
      </c>
      <c r="C23" s="3508"/>
    </row>
    <row r="24" spans="1:3" ht="13.5">
      <c r="A24" s="3511"/>
      <c r="B24" s="3509" t="s">
        <v>965</v>
      </c>
      <c r="C24" s="3508"/>
    </row>
    <row r="25" spans="1:3" ht="13.5">
      <c r="A25" s="3511"/>
      <c r="B25" s="3510" t="s">
        <v>966</v>
      </c>
      <c r="C25" s="1532" t="s">
        <v>967</v>
      </c>
    </row>
    <row r="26" spans="1:3" ht="13.5">
      <c r="A26" s="3511"/>
      <c r="B26" s="3510"/>
      <c r="C26" s="1532" t="s">
        <v>968</v>
      </c>
    </row>
    <row r="27" spans="1:3" ht="13.5">
      <c r="A27" s="3511"/>
      <c r="B27" s="3510"/>
      <c r="C27" s="1532" t="s">
        <v>969</v>
      </c>
    </row>
    <row r="28" spans="1:3" ht="13.5">
      <c r="A28" s="3511"/>
      <c r="B28" s="3510"/>
      <c r="C28" s="1532" t="s">
        <v>970</v>
      </c>
    </row>
    <row r="29" spans="1:3" ht="13.5">
      <c r="A29" s="3511"/>
      <c r="B29" s="3510"/>
      <c r="C29" s="1532" t="s">
        <v>971</v>
      </c>
    </row>
    <row r="30" spans="1:3" ht="13.5">
      <c r="A30" s="3511"/>
      <c r="B30" s="3510"/>
      <c r="C30" s="1532" t="s">
        <v>972</v>
      </c>
    </row>
    <row r="31" spans="1:3" ht="13.5">
      <c r="A31" s="3511"/>
      <c r="B31" s="3510"/>
      <c r="C31" s="1532" t="s">
        <v>973</v>
      </c>
    </row>
    <row r="32" spans="1:3" ht="13.5">
      <c r="A32" s="3511"/>
      <c r="B32" s="3510"/>
      <c r="C32" s="1532" t="s">
        <v>974</v>
      </c>
    </row>
    <row r="33" spans="1:3" ht="13.5">
      <c r="A33" s="3511"/>
      <c r="B33" s="3510"/>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44938</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f ca="1">IF(C14&lt;B2,"已过期",1119980106)</f>
        <v>1119980106</v>
      </c>
      <c r="C14" s="2350">
        <v>44969</v>
      </c>
      <c r="D14" s="2346" t="str">
        <f t="shared" ca="1" si="0"/>
        <v>刘俊财（注册号：1119980106）</v>
      </c>
      <c r="E14" s="2347" t="s">
        <v>2158</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15" t="s">
        <v>2160</v>
      </c>
      <c r="B17" s="3515"/>
      <c r="C17" s="3515"/>
      <c r="D17" s="3515"/>
      <c r="E17" s="3515"/>
      <c r="F17" s="3515"/>
      <c r="G17" s="3515"/>
      <c r="H17" s="3515"/>
    </row>
    <row r="18" spans="1:8" ht="24" customHeight="1">
      <c r="A18" s="3516" t="s">
        <v>2161</v>
      </c>
      <c r="B18" s="3516"/>
      <c r="C18" s="3516"/>
      <c r="D18" s="2343"/>
      <c r="E18" s="3517" t="s">
        <v>2162</v>
      </c>
      <c r="F18" s="3516"/>
      <c r="G18" s="3516"/>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46" priority="53">
      <formula>AND($C4-TODAY()&lt;30,TODAY()&lt;$C4)</formula>
    </cfRule>
  </conditionalFormatting>
  <conditionalFormatting sqref="C20:D20">
    <cfRule type="expression" dxfId="245" priority="52">
      <formula>AND($C20-TODAY()&lt;30,TODAY()&lt;$C20)</formula>
    </cfRule>
  </conditionalFormatting>
  <conditionalFormatting sqref="C20:D20 G4 C4:D5 C13:D13">
    <cfRule type="cellIs" dxfId="244" priority="54" stopIfTrue="1" operator="lessThan">
      <formula>$B$2</formula>
    </cfRule>
  </conditionalFormatting>
  <conditionalFormatting sqref="G5 G7 G9">
    <cfRule type="cellIs" dxfId="243" priority="51" stopIfTrue="1" operator="lessThan">
      <formula>$B$2</formula>
    </cfRule>
  </conditionalFormatting>
  <conditionalFormatting sqref="C6:D6 D14 D16">
    <cfRule type="expression" dxfId="242" priority="49">
      <formula>AND($C6-TODAY()&lt;30,TODAY()&lt;$C6)</formula>
    </cfRule>
  </conditionalFormatting>
  <conditionalFormatting sqref="G6 G8 G10 C6:D6 D7:D12 D14 D16">
    <cfRule type="cellIs" dxfId="241" priority="50" stopIfTrue="1" operator="lessThan">
      <formula>$B$2</formula>
    </cfRule>
  </conditionalFormatting>
  <conditionalFormatting sqref="D12">
    <cfRule type="expression" dxfId="240" priority="47">
      <formula>AND($C12-TODAY()&lt;30,TODAY()&lt;$C12)</formula>
    </cfRule>
  </conditionalFormatting>
  <conditionalFormatting sqref="D12">
    <cfRule type="cellIs" dxfId="239" priority="48" stopIfTrue="1" operator="lessThan">
      <formula>$B$2</formula>
    </cfRule>
  </conditionalFormatting>
  <conditionalFormatting sqref="C13:D13">
    <cfRule type="expression" dxfId="238" priority="45">
      <formula>AND($C13-TODAY()&lt;30,TODAY()&lt;$C13)</formula>
    </cfRule>
  </conditionalFormatting>
  <conditionalFormatting sqref="C13:D13">
    <cfRule type="cellIs" dxfId="237" priority="46" stopIfTrue="1" operator="lessThan">
      <formula>$B$2</formula>
    </cfRule>
  </conditionalFormatting>
  <conditionalFormatting sqref="D14">
    <cfRule type="expression" dxfId="236" priority="43">
      <formula>AND($C14-TODAY()&lt;30,TODAY()&lt;$C14)</formula>
    </cfRule>
  </conditionalFormatting>
  <conditionalFormatting sqref="D14">
    <cfRule type="cellIs" dxfId="235" priority="44" stopIfTrue="1" operator="lessThan">
      <formula>$B$2</formula>
    </cfRule>
  </conditionalFormatting>
  <conditionalFormatting sqref="G13">
    <cfRule type="cellIs" dxfId="234" priority="42" stopIfTrue="1" operator="lessThan">
      <formula>$B$2</formula>
    </cfRule>
  </conditionalFormatting>
  <conditionalFormatting sqref="B4:B11 F4:F11 B13 F13:F14">
    <cfRule type="cellIs" dxfId="233" priority="41" stopIfTrue="1" operator="equal">
      <formula>"已过期"</formula>
    </cfRule>
  </conditionalFormatting>
  <conditionalFormatting sqref="C7">
    <cfRule type="cellIs" dxfId="232" priority="38" stopIfTrue="1" operator="lessThan">
      <formula>$B$2</formula>
    </cfRule>
  </conditionalFormatting>
  <conditionalFormatting sqref="C7">
    <cfRule type="expression" dxfId="231" priority="37">
      <formula>AND($C7-TODAY()&lt;30,TODAY()&lt;$C7)</formula>
    </cfRule>
  </conditionalFormatting>
  <conditionalFormatting sqref="C8">
    <cfRule type="expression" dxfId="230" priority="35">
      <formula>AND($C8-TODAY()&lt;30,TODAY()&lt;$C8)</formula>
    </cfRule>
  </conditionalFormatting>
  <conditionalFormatting sqref="C8">
    <cfRule type="cellIs" dxfId="229" priority="36" stopIfTrue="1" operator="lessThan">
      <formula>$B$2</formula>
    </cfRule>
  </conditionalFormatting>
  <conditionalFormatting sqref="C11">
    <cfRule type="expression" dxfId="228" priority="33">
      <formula>AND($C11-TODAY()&lt;30,TODAY()&lt;$C11)</formula>
    </cfRule>
  </conditionalFormatting>
  <conditionalFormatting sqref="C11">
    <cfRule type="cellIs" dxfId="227" priority="34" stopIfTrue="1" operator="lessThan">
      <formula>$B$2</formula>
    </cfRule>
  </conditionalFormatting>
  <conditionalFormatting sqref="A16:C16">
    <cfRule type="cellIs" dxfId="226" priority="32" stopIfTrue="1" operator="equal">
      <formula>"已过期"</formula>
    </cfRule>
  </conditionalFormatting>
  <conditionalFormatting sqref="E16:G16">
    <cfRule type="cellIs" dxfId="225" priority="31" stopIfTrue="1" operator="equal">
      <formula>"已过期"</formula>
    </cfRule>
  </conditionalFormatting>
  <conditionalFormatting sqref="G11">
    <cfRule type="cellIs" dxfId="224" priority="30" stopIfTrue="1" operator="lessThan">
      <formula>$B$2</formula>
    </cfRule>
  </conditionalFormatting>
  <conditionalFormatting sqref="F12">
    <cfRule type="cellIs" dxfId="223" priority="29" stopIfTrue="1" operator="equal">
      <formula>"已过期"</formula>
    </cfRule>
  </conditionalFormatting>
  <conditionalFormatting sqref="G12">
    <cfRule type="cellIs" dxfId="222" priority="28" stopIfTrue="1" operator="lessThan">
      <formula>$B$2</formula>
    </cfRule>
  </conditionalFormatting>
  <conditionalFormatting sqref="C12">
    <cfRule type="cellIs" dxfId="221" priority="27" stopIfTrue="1" operator="lessThan">
      <formula>$B$2</formula>
    </cfRule>
  </conditionalFormatting>
  <conditionalFormatting sqref="C12">
    <cfRule type="expression" dxfId="220" priority="25">
      <formula>AND($C12-TODAY()&lt;30,TODAY()&lt;$C12)</formula>
    </cfRule>
  </conditionalFormatting>
  <conditionalFormatting sqref="C12">
    <cfRule type="cellIs" dxfId="219" priority="26" stopIfTrue="1" operator="lessThan">
      <formula>$B$2</formula>
    </cfRule>
  </conditionalFormatting>
  <conditionalFormatting sqref="B12">
    <cfRule type="cellIs" dxfId="218" priority="24" stopIfTrue="1" operator="equal">
      <formula>"已过期"</formula>
    </cfRule>
  </conditionalFormatting>
  <conditionalFormatting sqref="C9:C10">
    <cfRule type="expression" dxfId="217" priority="22">
      <formula>AND($C9-TODAY()&lt;30,TODAY()&lt;$C9)</formula>
    </cfRule>
  </conditionalFormatting>
  <conditionalFormatting sqref="C9:C10">
    <cfRule type="cellIs" dxfId="216" priority="23" stopIfTrue="1" operator="lessThan">
      <formula>$B$2</formula>
    </cfRule>
  </conditionalFormatting>
  <conditionalFormatting sqref="G21">
    <cfRule type="expression" dxfId="215" priority="20" stopIfTrue="1">
      <formula>AND(#REF!-TODAY()&lt;30,TODAY()&lt;#REF!)</formula>
    </cfRule>
  </conditionalFormatting>
  <conditionalFormatting sqref="G21">
    <cfRule type="cellIs" dxfId="214" priority="21" stopIfTrue="1" operator="lessThan">
      <formula>$B$2</formula>
    </cfRule>
  </conditionalFormatting>
  <conditionalFormatting sqref="C14">
    <cfRule type="expression" dxfId="213" priority="18">
      <formula>AND($C14-TODAY()&lt;30,TODAY()&lt;$C14)</formula>
    </cfRule>
  </conditionalFormatting>
  <conditionalFormatting sqref="C14">
    <cfRule type="cellIs" dxfId="212" priority="19" stopIfTrue="1" operator="lessThan">
      <formula>$B$2</formula>
    </cfRule>
  </conditionalFormatting>
  <conditionalFormatting sqref="C14">
    <cfRule type="expression" dxfId="211" priority="16">
      <formula>AND($C14-TODAY()&lt;30,TODAY()&lt;$C14)</formula>
    </cfRule>
  </conditionalFormatting>
  <conditionalFormatting sqref="C14">
    <cfRule type="cellIs" dxfId="210" priority="17" stopIfTrue="1" operator="lessThan">
      <formula>$B$2</formula>
    </cfRule>
  </conditionalFormatting>
  <conditionalFormatting sqref="B14">
    <cfRule type="cellIs" dxfId="209" priority="15" stopIfTrue="1" operator="equal">
      <formula>"已过期"</formula>
    </cfRule>
  </conditionalFormatting>
  <conditionalFormatting sqref="G14">
    <cfRule type="cellIs" dxfId="208" priority="14" stopIfTrue="1" operator="lessThan">
      <formula>$B$2</formula>
    </cfRule>
  </conditionalFormatting>
  <conditionalFormatting sqref="D15">
    <cfRule type="expression" dxfId="207" priority="12">
      <formula>AND($C15-TODAY()&lt;30,TODAY()&lt;$C15)</formula>
    </cfRule>
  </conditionalFormatting>
  <conditionalFormatting sqref="D15">
    <cfRule type="cellIs" dxfId="206" priority="13" stopIfTrue="1" operator="lessThan">
      <formula>$B$2</formula>
    </cfRule>
  </conditionalFormatting>
  <conditionalFormatting sqref="D15">
    <cfRule type="expression" dxfId="205" priority="10">
      <formula>AND($C15-TODAY()&lt;30,TODAY()&lt;$C15)</formula>
    </cfRule>
  </conditionalFormatting>
  <conditionalFormatting sqref="D15">
    <cfRule type="cellIs" dxfId="204" priority="11" stopIfTrue="1" operator="lessThan">
      <formula>$B$2</formula>
    </cfRule>
  </conditionalFormatting>
  <conditionalFormatting sqref="F15">
    <cfRule type="cellIs" dxfId="203" priority="9" stopIfTrue="1" operator="equal">
      <formula>"已过期"</formula>
    </cfRule>
  </conditionalFormatting>
  <conditionalFormatting sqref="C15">
    <cfRule type="expression" dxfId="202" priority="7">
      <formula>AND($C15-TODAY()&lt;30,TODAY()&lt;$C15)</formula>
    </cfRule>
  </conditionalFormatting>
  <conditionalFormatting sqref="C15">
    <cfRule type="cellIs" dxfId="201" priority="8" stopIfTrue="1" operator="lessThan">
      <formula>$B$2</formula>
    </cfRule>
  </conditionalFormatting>
  <conditionalFormatting sqref="C15">
    <cfRule type="expression" dxfId="200" priority="5">
      <formula>AND($C15-TODAY()&lt;30,TODAY()&lt;$C15)</formula>
    </cfRule>
  </conditionalFormatting>
  <conditionalFormatting sqref="C15">
    <cfRule type="cellIs" dxfId="199" priority="6" stopIfTrue="1" operator="lessThan">
      <formula>$B$2</formula>
    </cfRule>
  </conditionalFormatting>
  <conditionalFormatting sqref="B15">
    <cfRule type="cellIs" dxfId="198" priority="4" stopIfTrue="1" operator="equal">
      <formula>"已过期"</formula>
    </cfRule>
  </conditionalFormatting>
  <conditionalFormatting sqref="G15">
    <cfRule type="cellIs" dxfId="197" priority="3" stopIfTrue="1" operator="lessThan">
      <formula>$B$2</formula>
    </cfRule>
  </conditionalFormatting>
  <conditionalFormatting sqref="G20">
    <cfRule type="expression" dxfId="196" priority="1" stopIfTrue="1">
      <formula>AND(#REF!-TODAY()&lt;30,TODAY()&lt;#REF!)</formula>
    </cfRule>
  </conditionalFormatting>
  <conditionalFormatting sqref="G20">
    <cfRule type="cellIs" dxfId="19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E19" sqref="E19"/>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3360</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3346</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3347</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3348</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3349</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3350</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3351</v>
      </c>
    </row>
    <row r="8" spans="1:23">
      <c r="A8" s="1546" t="s">
        <v>1026</v>
      </c>
      <c r="B8" s="1546" t="s">
        <v>1027</v>
      </c>
      <c r="C8" s="1547" t="s">
        <v>319</v>
      </c>
      <c r="F8" s="1548" t="s">
        <v>1028</v>
      </c>
      <c r="H8" s="1548" t="s">
        <v>2580</v>
      </c>
      <c r="I8" s="1548" t="s">
        <v>3352</v>
      </c>
    </row>
    <row r="9" spans="1:23">
      <c r="A9" s="1546" t="s">
        <v>1029</v>
      </c>
      <c r="B9" s="1546" t="s">
        <v>1030</v>
      </c>
      <c r="C9" s="1547" t="s">
        <v>320</v>
      </c>
      <c r="F9" s="1548" t="s">
        <v>1031</v>
      </c>
      <c r="H9" s="1548"/>
      <c r="I9" s="1551" t="s">
        <v>3353</v>
      </c>
    </row>
    <row r="10" spans="1:23">
      <c r="A10" s="1546" t="s">
        <v>1032</v>
      </c>
      <c r="B10" s="1546" t="s">
        <v>1033</v>
      </c>
      <c r="C10" s="1547" t="s">
        <v>321</v>
      </c>
      <c r="F10" s="1548" t="s">
        <v>2581</v>
      </c>
      <c r="I10" s="1551" t="s">
        <v>3354</v>
      </c>
    </row>
    <row r="11" spans="1:23">
      <c r="A11" s="1546" t="s">
        <v>1034</v>
      </c>
      <c r="B11" s="1546" t="s">
        <v>1035</v>
      </c>
      <c r="C11" s="1547" t="s">
        <v>322</v>
      </c>
      <c r="F11" s="1548" t="s">
        <v>13</v>
      </c>
      <c r="I11" s="1551" t="s">
        <v>3355</v>
      </c>
    </row>
    <row r="12" spans="1:23">
      <c r="A12" s="1546" t="s">
        <v>1036</v>
      </c>
      <c r="B12" s="1546" t="s">
        <v>1037</v>
      </c>
      <c r="C12" s="1547" t="s">
        <v>323</v>
      </c>
      <c r="I12" s="1551" t="s">
        <v>3356</v>
      </c>
    </row>
    <row r="13" spans="1:23">
      <c r="A13" s="1546" t="s">
        <v>1038</v>
      </c>
      <c r="B13" s="1546" t="s">
        <v>1039</v>
      </c>
      <c r="C13" s="1547" t="s">
        <v>324</v>
      </c>
      <c r="I13" s="1551" t="s">
        <v>3357</v>
      </c>
    </row>
    <row r="14" spans="1:23">
      <c r="A14" s="1546" t="s">
        <v>1040</v>
      </c>
      <c r="B14" s="1546" t="s">
        <v>1041</v>
      </c>
      <c r="C14" s="1548" t="s">
        <v>13</v>
      </c>
      <c r="I14" s="1551" t="s">
        <v>3358</v>
      </c>
    </row>
    <row r="15" spans="1:23">
      <c r="A15" s="1546" t="s">
        <v>1042</v>
      </c>
      <c r="B15" s="1546" t="s">
        <v>1043</v>
      </c>
      <c r="C15" s="1547"/>
      <c r="I15" s="1551" t="s">
        <v>3359</v>
      </c>
    </row>
    <row r="16" spans="1:23">
      <c r="A16" s="1546" t="s">
        <v>1044</v>
      </c>
      <c r="B16" s="1546" t="s">
        <v>312</v>
      </c>
      <c r="C16" s="1547"/>
    </row>
    <row r="17" spans="1:3">
      <c r="A17" s="1546" t="s">
        <v>1045</v>
      </c>
      <c r="B17" s="1546" t="s">
        <v>2293</v>
      </c>
      <c r="C17" s="1547"/>
    </row>
    <row r="18" spans="1:3">
      <c r="A18" s="1546" t="s">
        <v>1046</v>
      </c>
      <c r="B18" s="1546" t="s">
        <v>2436</v>
      </c>
      <c r="C18" s="1547"/>
    </row>
    <row r="19" spans="1:3">
      <c r="A19" s="1546" t="s">
        <v>1047</v>
      </c>
      <c r="B19" s="1546" t="s">
        <v>3393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18"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8"/>
      <c r="B54" s="1554" t="s">
        <v>385</v>
      </c>
      <c r="C54" s="1551" t="s">
        <v>583</v>
      </c>
    </row>
    <row r="55" spans="1:4">
      <c r="A55" s="3518"/>
      <c r="B55" s="1554" t="s">
        <v>386</v>
      </c>
      <c r="C55" s="1551" t="s">
        <v>584</v>
      </c>
    </row>
    <row r="56" spans="1:4">
      <c r="A56" s="3518"/>
      <c r="B56" s="1554" t="s">
        <v>387</v>
      </c>
      <c r="C56" s="1551" t="s">
        <v>588</v>
      </c>
    </row>
    <row r="57" spans="1:4">
      <c r="A57" s="3518"/>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8" t="s">
        <v>2596</v>
      </c>
      <c r="J1" s="3227"/>
      <c r="K1" s="3227"/>
      <c r="L1" s="3227"/>
      <c r="M1" s="3227"/>
      <c r="N1" s="3439"/>
      <c r="O1" s="3439"/>
      <c r="P1" s="3439"/>
      <c r="Q1" s="3439"/>
      <c r="R1" s="3439"/>
    </row>
    <row r="2" spans="1:18">
      <c r="A2" s="3017"/>
      <c r="B2" s="3018"/>
      <c r="C2" s="3018"/>
      <c r="D2" s="3018"/>
      <c r="E2" s="3018"/>
      <c r="F2" s="3019"/>
      <c r="I2" s="3519" t="s">
        <v>2583</v>
      </c>
      <c r="J2" s="3519"/>
      <c r="K2" s="3519"/>
      <c r="L2" s="3519"/>
      <c r="M2" s="3519"/>
      <c r="N2" s="3519"/>
      <c r="O2" s="3519"/>
      <c r="P2" s="3519"/>
      <c r="Q2" s="3519"/>
      <c r="R2" s="3519"/>
    </row>
    <row r="3" spans="1:18">
      <c r="A3" s="3020" t="s">
        <v>2504</v>
      </c>
      <c r="B3" s="3021">
        <f>项目基本情况!D3</f>
        <v>44937</v>
      </c>
      <c r="C3" s="3023"/>
      <c r="D3" s="3023"/>
      <c r="E3" s="3023"/>
      <c r="F3" s="3019"/>
      <c r="I3" s="3440"/>
      <c r="J3" s="3440" t="s">
        <v>2587</v>
      </c>
      <c r="K3" s="3440" t="s">
        <v>2588</v>
      </c>
      <c r="L3" s="3440" t="s">
        <v>2589</v>
      </c>
      <c r="M3" s="3440" t="s">
        <v>2590</v>
      </c>
      <c r="N3" s="3441" t="s">
        <v>2591</v>
      </c>
      <c r="O3" s="3441" t="s">
        <v>2592</v>
      </c>
      <c r="P3" s="3441" t="s">
        <v>2593</v>
      </c>
      <c r="Q3" s="3441" t="s">
        <v>2594</v>
      </c>
      <c r="R3" s="3441" t="s">
        <v>2595</v>
      </c>
    </row>
    <row r="4" spans="1:18">
      <c r="A4" s="3020" t="s">
        <v>2505</v>
      </c>
      <c r="B4" s="3023" t="s">
        <v>2506</v>
      </c>
      <c r="C4" s="3023" t="s">
        <v>2507</v>
      </c>
      <c r="D4" s="3023" t="s">
        <v>2508</v>
      </c>
      <c r="E4" s="3023" t="s">
        <v>2509</v>
      </c>
      <c r="F4" s="3019"/>
      <c r="I4" s="3440" t="s">
        <v>2584</v>
      </c>
      <c r="J4" s="3440">
        <v>80</v>
      </c>
      <c r="K4" s="3440">
        <v>70</v>
      </c>
      <c r="L4" s="3440">
        <v>20</v>
      </c>
      <c r="M4" s="3440">
        <v>30</v>
      </c>
      <c r="N4" s="3023">
        <v>45</v>
      </c>
      <c r="O4" s="3023">
        <v>60</v>
      </c>
      <c r="P4" s="3023">
        <v>50</v>
      </c>
      <c r="Q4" s="3023">
        <v>20</v>
      </c>
      <c r="R4" s="3023">
        <v>375</v>
      </c>
    </row>
    <row r="5" spans="1:18">
      <c r="A5" s="3024">
        <v>40</v>
      </c>
      <c r="B5" s="3021">
        <v>46375</v>
      </c>
      <c r="C5" s="3023">
        <f>ROUNDDOWN(MIN((B5-B3)/365,A5),2)</f>
        <v>3.93</v>
      </c>
      <c r="D5" s="3025">
        <f>IF(ISERROR(ROUND(POWER(1+E5,A5-C5)*(POWER(1+E5,C5)-1)/(POWER(1+E5,A5)-1),3)),0,ROUND(POWER(1+E5,A5-C5)*(POWER(1+E5,C5)-1)/(POWER(1+E5,A5)-1),4))</f>
        <v>0.1804</v>
      </c>
      <c r="E5" s="3026">
        <v>0.04</v>
      </c>
      <c r="F5" s="3019"/>
      <c r="I5" s="3440" t="s">
        <v>2585</v>
      </c>
      <c r="J5" s="3440">
        <v>70</v>
      </c>
      <c r="K5" s="3440">
        <v>60</v>
      </c>
      <c r="L5" s="3440">
        <v>15</v>
      </c>
      <c r="M5" s="3440">
        <v>25</v>
      </c>
      <c r="N5" s="3023">
        <v>40</v>
      </c>
      <c r="O5" s="3023">
        <v>50</v>
      </c>
      <c r="P5" s="3023">
        <v>40</v>
      </c>
      <c r="Q5" s="3023">
        <v>15</v>
      </c>
      <c r="R5" s="3023">
        <v>315</v>
      </c>
    </row>
    <row r="6" spans="1:18">
      <c r="A6" s="3024">
        <v>50</v>
      </c>
      <c r="B6" s="3021">
        <v>50028</v>
      </c>
      <c r="C6" s="3023">
        <f>ROUNDDOWN(MIN((B6-B3)/365,A6),2)</f>
        <v>13.94</v>
      </c>
      <c r="D6" s="3025">
        <f>IF(ISERROR(ROUND(POWER(1+E6,A6-C6)*(POWER(1+E6,C6)-1)/(POWER(1+E6,A6)-1),3)),0,ROUND(POWER(1+E6,A6-C6)*(POWER(1+E6,C6)-1)/(POWER(1+E6,A6)-1),4))</f>
        <v>0.49009999999999998</v>
      </c>
      <c r="E6" s="3026">
        <v>0.04</v>
      </c>
      <c r="F6" s="3019"/>
      <c r="I6" s="3440" t="s">
        <v>2586</v>
      </c>
      <c r="J6" s="3440">
        <v>60</v>
      </c>
      <c r="K6" s="3440">
        <v>50</v>
      </c>
      <c r="L6" s="3440">
        <v>10</v>
      </c>
      <c r="M6" s="3440">
        <v>20</v>
      </c>
      <c r="N6" s="3023">
        <v>35</v>
      </c>
      <c r="O6" s="3023">
        <v>40</v>
      </c>
      <c r="P6" s="3023">
        <v>30</v>
      </c>
      <c r="Q6" s="3023">
        <v>10</v>
      </c>
      <c r="R6" s="3023">
        <v>255</v>
      </c>
    </row>
    <row r="7" spans="1:18">
      <c r="A7" s="3024">
        <v>70</v>
      </c>
      <c r="B7" s="3021">
        <v>57333</v>
      </c>
      <c r="C7" s="3023">
        <f>ROUNDDOWN(MIN((B7-B3)/365,A7),2)</f>
        <v>33.96</v>
      </c>
      <c r="D7" s="3025">
        <f>IF(ISERROR(ROUND(POWER(1+E7,A7-C7)*(POWER(1+E7,C7)-1)/(POWER(1+E7,A7)-1),3)),0,ROUND(POWER(1+E7,A7-C7)*(POWER(1+E7,C7)-1)/(POWER(1+E7,A7)-1),4))</f>
        <v>0.78649999999999998</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37" sqref="G37"/>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28" t="str">
        <f>IF(B10="北京市","北京市",C10)&amp;F10&amp;IF(结果表!G1="在建","出让国有建设用地使用权及在建建筑物",IF(结果表!G1="土地","出让国有建设用地使用权",))&amp;B9&amp;"预评估"</f>
        <v>北京市房地产抵押价值预评估</v>
      </c>
      <c r="C1" s="3529"/>
      <c r="D1" s="3529"/>
      <c r="E1" s="3529"/>
      <c r="F1" s="3529"/>
      <c r="G1" s="3529"/>
      <c r="H1" s="3529"/>
      <c r="I1" s="3530"/>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c r="C3" s="2374" t="s">
        <v>2171</v>
      </c>
      <c r="D3" s="2373">
        <v>44937</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3375</v>
      </c>
      <c r="C8" s="2390"/>
      <c r="D8" s="3531" t="s">
        <v>2177</v>
      </c>
      <c r="E8" s="2391" t="s">
        <v>3376</v>
      </c>
      <c r="F8" s="2392"/>
      <c r="G8" s="2663"/>
      <c r="H8" s="2663"/>
      <c r="I8" s="2663"/>
      <c r="J8" s="2439"/>
      <c r="K8" s="2614"/>
      <c r="L8" s="2613"/>
      <c r="M8" s="2613"/>
      <c r="N8" s="2439"/>
      <c r="O8" s="2450"/>
      <c r="P8" s="2439"/>
      <c r="Q8" s="2439"/>
      <c r="R8" s="2439"/>
    </row>
    <row r="9" spans="1:30" ht="13.5" thickBot="1">
      <c r="A9" s="2393" t="s">
        <v>2178</v>
      </c>
      <c r="B9" s="2394" t="s">
        <v>3376</v>
      </c>
      <c r="C9" s="2395"/>
      <c r="D9" s="3532"/>
      <c r="E9" s="2394" t="s">
        <v>43</v>
      </c>
      <c r="F9" s="2396"/>
      <c r="G9" s="2665"/>
      <c r="H9" s="2665"/>
      <c r="I9" s="2665"/>
      <c r="J9" s="2439"/>
      <c r="K9" s="2616"/>
      <c r="L9" s="2613"/>
      <c r="M9" s="2613"/>
      <c r="N9" s="2439"/>
      <c r="O9" s="2450"/>
      <c r="P9" s="2439"/>
      <c r="Q9" s="2439"/>
      <c r="R9" s="2439"/>
    </row>
    <row r="10" spans="1:30" ht="13.5" thickTop="1">
      <c r="A10" s="2397" t="s">
        <v>2179</v>
      </c>
      <c r="B10" s="2398" t="s">
        <v>3377</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2579</v>
      </c>
      <c r="J12" s="3062"/>
      <c r="K12" s="2613"/>
      <c r="L12" s="2613"/>
      <c r="M12" s="2439"/>
      <c r="N12" s="2450"/>
      <c r="O12" s="2439"/>
      <c r="P12" s="2439"/>
      <c r="Q12" s="2439"/>
      <c r="AD12" s="1745"/>
    </row>
    <row r="13" spans="1:30">
      <c r="A13" s="3424" t="s">
        <v>3341</v>
      </c>
      <c r="B13" s="2407" t="s">
        <v>2190</v>
      </c>
      <c r="C13" s="856"/>
      <c r="D13" s="856"/>
      <c r="E13" s="856"/>
      <c r="F13" s="856"/>
      <c r="G13" s="856">
        <f>H13</f>
        <v>57131</v>
      </c>
      <c r="H13" s="856">
        <v>57131</v>
      </c>
      <c r="I13" s="856"/>
      <c r="J13" s="3062"/>
      <c r="K13" s="2613"/>
      <c r="L13" s="2613"/>
      <c r="M13" s="2439"/>
      <c r="N13" s="2450"/>
      <c r="O13" s="2439"/>
      <c r="P13" s="2439"/>
      <c r="Q13" s="2439"/>
      <c r="AD13" s="1745"/>
    </row>
    <row r="14" spans="1:30">
      <c r="A14" s="1081"/>
      <c r="B14" s="2407" t="s">
        <v>2191</v>
      </c>
      <c r="C14" s="2408"/>
      <c r="D14" s="2408"/>
      <c r="E14" s="2408"/>
      <c r="F14" s="2408"/>
      <c r="G14" s="2408">
        <v>50</v>
      </c>
      <c r="H14" s="2408">
        <v>50</v>
      </c>
      <c r="I14" s="2408"/>
      <c r="J14" s="3063"/>
      <c r="K14" s="2613"/>
      <c r="L14" s="2613"/>
      <c r="M14" s="2439"/>
      <c r="N14" s="2450"/>
      <c r="O14" s="2439"/>
      <c r="P14" s="2439"/>
      <c r="Q14" s="2439"/>
      <c r="AD14" s="1745"/>
    </row>
    <row r="15" spans="1:30">
      <c r="A15" s="320"/>
      <c r="B15" s="2409" t="s">
        <v>2192</v>
      </c>
      <c r="C15" s="2410" t="str">
        <f>IF(A13="出让",IF(C13="","",ROUNDDOWN(MIN((C13-$D$3)/365,C14),2)),C14)</f>
        <v/>
      </c>
      <c r="D15" s="2410" t="str">
        <f>IF(A13="出让",IF(D13="","",ROUNDDOWN(MIN((D13-$D$3)/365,D14),2)),D14)</f>
        <v/>
      </c>
      <c r="E15" s="2410" t="str">
        <f>IF(A13="出让",IF(E13="","",ROUNDDOWN(MIN((E13-$D$3)/365,E14),2)),E14)</f>
        <v/>
      </c>
      <c r="F15" s="2410" t="str">
        <f>IF(A13="出让",IF(F13="","",ROUNDDOWN(MIN((F13-$D$3)/365,F14),2)),F14)</f>
        <v/>
      </c>
      <c r="G15" s="2410">
        <f>IF(A13="出让",IF(G13="","",ROUNDDOWN(MIN((G13-$D$3)/365,G14),2)),G14)</f>
        <v>33.4</v>
      </c>
      <c r="H15" s="2410">
        <f>IF(A13="出让",IF(H13="","",ROUNDDOWN(MIN((H13-$D$3)/365,H14),2)),H14)</f>
        <v>33.4</v>
      </c>
      <c r="I15" s="2410" t="str">
        <f>IF(A13="出让",IF(I13="","",ROUNDDOWN(MIN((I13-$D$3)/365,I14),2)),I14)</f>
        <v/>
      </c>
      <c r="J15" s="3064"/>
      <c r="K15" s="2451"/>
      <c r="L15" s="2451"/>
      <c r="M15" s="2509"/>
      <c r="N15" s="2451"/>
      <c r="O15" s="2509"/>
      <c r="P15" s="2439"/>
      <c r="Q15" s="2439"/>
      <c r="AD15" s="1745"/>
    </row>
    <row r="16" spans="1:30">
      <c r="A16" s="2400" t="s">
        <v>2193</v>
      </c>
      <c r="B16" s="3538"/>
      <c r="C16" s="3539"/>
      <c r="D16" s="3540"/>
      <c r="E16" s="2413" t="s">
        <v>2194</v>
      </c>
      <c r="F16" s="3541"/>
      <c r="G16" s="3542"/>
      <c r="H16" s="3542"/>
      <c r="I16" s="3543"/>
      <c r="J16" s="2439"/>
      <c r="K16" s="2617"/>
      <c r="L16" s="2451"/>
      <c r="M16" s="2451"/>
      <c r="N16" s="2509"/>
      <c r="O16" s="2451"/>
      <c r="P16" s="2509"/>
      <c r="Q16" s="2439"/>
      <c r="R16" s="2439"/>
    </row>
    <row r="17" spans="1:28">
      <c r="A17" s="313" t="s">
        <v>2195</v>
      </c>
      <c r="B17" s="302" t="s">
        <v>2196</v>
      </c>
      <c r="C17" s="8">
        <f>'数据-汇总表'!E3</f>
        <v>10268.669999999998</v>
      </c>
      <c r="D17" s="2322" t="s">
        <v>2197</v>
      </c>
      <c r="E17" s="3544" t="s">
        <v>2198</v>
      </c>
      <c r="F17" s="3545"/>
      <c r="G17" s="3545"/>
      <c r="H17" s="3545"/>
      <c r="I17" s="3546"/>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47" t="s">
        <v>2202</v>
      </c>
      <c r="F18" s="3548"/>
      <c r="G18" s="3548"/>
      <c r="H18" s="3548"/>
      <c r="I18" s="3549"/>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34" t="s">
        <v>2206</v>
      </c>
      <c r="C20" s="3535"/>
      <c r="D20" s="3536" t="s">
        <v>2207</v>
      </c>
      <c r="E20" s="3537"/>
      <c r="F20" s="2647" t="s">
        <v>1056</v>
      </c>
      <c r="G20" s="2664"/>
      <c r="H20" s="2664"/>
      <c r="I20" s="2664"/>
      <c r="J20" s="2439"/>
      <c r="K20" s="3533"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33"/>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33"/>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21"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21"/>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21"/>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22"/>
      <c r="B30" s="302" t="s">
        <v>2218</v>
      </c>
      <c r="C30" s="3523"/>
      <c r="D30" s="3524"/>
      <c r="E30" s="2664"/>
      <c r="F30" s="2664"/>
      <c r="G30" s="2664"/>
      <c r="H30" s="2664"/>
      <c r="I30" s="2664"/>
      <c r="J30" s="2439"/>
      <c r="K30" s="2616"/>
      <c r="L30" s="2613"/>
      <c r="M30" s="2613"/>
      <c r="N30" s="2439"/>
      <c r="O30" s="2450"/>
      <c r="P30" s="2439"/>
      <c r="Q30" s="2439"/>
      <c r="R30" s="2439"/>
      <c r="S30" s="2439"/>
      <c r="T30" s="2439"/>
      <c r="U30" s="2439"/>
      <c r="V30" s="2439"/>
    </row>
    <row r="31" spans="1:28">
      <c r="A31" s="3525"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26"/>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26"/>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20" t="s">
        <v>2228</v>
      </c>
      <c r="T34" s="2428" t="str">
        <f>NUMBERSTRING(7-K34,1)&amp;"通"</f>
        <v>七通</v>
      </c>
      <c r="U34" s="2439"/>
      <c r="V34" s="2439"/>
    </row>
    <row r="35" spans="1:30">
      <c r="A35" s="2429"/>
      <c r="B35" s="3527" t="s">
        <v>2229</v>
      </c>
      <c r="C35" s="3527"/>
      <c r="D35" s="3527"/>
      <c r="E35" s="3527"/>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20"/>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2582</v>
      </c>
      <c r="G36" s="2664"/>
      <c r="H36" s="2664"/>
      <c r="I36" s="2664"/>
      <c r="J36" s="2439"/>
      <c r="K36" s="2616"/>
      <c r="L36" s="2613"/>
      <c r="M36" s="2613"/>
      <c r="N36" s="2439"/>
      <c r="O36" s="2450"/>
      <c r="P36" s="2439"/>
      <c r="Q36" s="2439"/>
      <c r="R36" s="2439"/>
      <c r="S36" s="2439"/>
      <c r="T36" s="2439"/>
      <c r="U36" s="2439"/>
      <c r="V36" s="2439"/>
    </row>
    <row r="37" spans="1:30">
      <c r="A37" s="2630" t="s">
        <v>2230</v>
      </c>
      <c r="B37" s="2431"/>
      <c r="C37" s="2431"/>
      <c r="D37" s="2431"/>
      <c r="E37" s="2431" t="s">
        <v>303</v>
      </c>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c r="C38" s="2432"/>
      <c r="D38" s="2432"/>
      <c r="E38" s="2432" t="s">
        <v>165</v>
      </c>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Q36:Q52"/>
  <sheetViews>
    <sheetView workbookViewId="0">
      <selection activeCell="K30" sqref="K30"/>
    </sheetView>
  </sheetViews>
  <sheetFormatPr defaultRowHeight="13.5"/>
  <sheetData>
    <row r="36" spans="17:17">
      <c r="Q36">
        <v>5.15</v>
      </c>
    </row>
    <row r="37" spans="17:17">
      <c r="Q37">
        <v>4.4000000000000004</v>
      </c>
    </row>
    <row r="39" spans="17:17">
      <c r="Q39">
        <v>5.5</v>
      </c>
    </row>
    <row r="41" spans="17:17">
      <c r="Q41">
        <v>5.5</v>
      </c>
    </row>
    <row r="42" spans="17:17">
      <c r="Q42">
        <v>4.8</v>
      </c>
    </row>
    <row r="44" spans="17:17">
      <c r="Q44">
        <v>4.2</v>
      </c>
    </row>
    <row r="46" spans="17:17">
      <c r="Q46">
        <v>5.5</v>
      </c>
    </row>
    <row r="47" spans="17:17">
      <c r="Q47">
        <v>5</v>
      </c>
    </row>
    <row r="49" spans="17:17">
      <c r="Q49">
        <v>6.4</v>
      </c>
    </row>
    <row r="51" spans="17:17">
      <c r="Q51">
        <v>1.5</v>
      </c>
    </row>
    <row r="52" spans="17:17">
      <c r="Q52">
        <v>6</v>
      </c>
    </row>
  </sheetData>
  <phoneticPr fontId="134" type="noConversion"/>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J19" sqref="J19"/>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10268.669999999998</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10268.669999999998</v>
      </c>
      <c r="H5" s="13">
        <f t="shared" ref="H5:AT5" si="0">SUM(H13:H656)</f>
        <v>10268.669999999998</v>
      </c>
      <c r="I5" s="13">
        <f t="shared" si="0"/>
        <v>8240.15</v>
      </c>
      <c r="J5" s="13">
        <f t="shared" si="0"/>
        <v>0</v>
      </c>
      <c r="K5" s="13">
        <f t="shared" si="0"/>
        <v>2028.52</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10268.669999999998</v>
      </c>
      <c r="BA5" s="15">
        <f t="shared" si="1"/>
        <v>10268.669999999998</v>
      </c>
      <c r="BB5" s="15">
        <f t="shared" si="1"/>
        <v>8240.15</v>
      </c>
      <c r="BC5" s="15">
        <f t="shared" si="1"/>
        <v>2028.52</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3379</v>
      </c>
      <c r="J9" s="809"/>
      <c r="K9" s="1603" t="s">
        <v>3380</v>
      </c>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3</v>
      </c>
      <c r="J10" s="809"/>
      <c r="K10" s="1609" t="s">
        <v>3343</v>
      </c>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工业</v>
      </c>
      <c r="BC11" s="1599" t="str">
        <f>K10</f>
        <v>仓储</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t="s">
        <v>3378</v>
      </c>
      <c r="D13" s="1625" t="s">
        <v>3385</v>
      </c>
      <c r="E13" s="13">
        <f>IF($C$3="是",ROUND($A$3*G13/$B$3,2),ROUND($A$3*(G13-AT13)/$B$3,2))</f>
        <v>0</v>
      </c>
      <c r="F13" s="29"/>
      <c r="G13" s="30">
        <f>H13+AC13+AT13</f>
        <v>3954.62</v>
      </c>
      <c r="H13" s="17">
        <f>SUMIF(I$12:AB$12,"总值",I13:AB13)</f>
        <v>3954.62</v>
      </c>
      <c r="I13" s="1626">
        <f>3954.62-K13</f>
        <v>3687.16</v>
      </c>
      <c r="J13" s="1626"/>
      <c r="K13" s="1626">
        <v>267.45999999999998</v>
      </c>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t="str">
        <f t="shared" si="6"/>
        <v>1号楼</v>
      </c>
      <c r="AY13" s="1349">
        <f>ROUND($AY$6*AZ13/$AZ$5,2)</f>
        <v>0</v>
      </c>
      <c r="AZ13" s="13">
        <f>BA13+BL13</f>
        <v>3954.62</v>
      </c>
      <c r="BA13" s="13">
        <f>SUM(BB13:BK13)</f>
        <v>3954.62</v>
      </c>
      <c r="BB13" s="13">
        <f>IF($D13="是",I13-J13,0)</f>
        <v>3687.16</v>
      </c>
      <c r="BC13" s="13">
        <f>IF($D13="是",K13-L13,0)</f>
        <v>267.45999999999998</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t="s">
        <v>3381</v>
      </c>
      <c r="D14" s="1625" t="s">
        <v>3385</v>
      </c>
      <c r="E14" s="13">
        <f>IF($C$3="是",ROUND($A$3*G14/$B$3,2),ROUND($A$3*(G14-AT14)/$B$3,2))</f>
        <v>0</v>
      </c>
      <c r="F14" s="29"/>
      <c r="G14" s="30">
        <f>H14+AC14+AT14</f>
        <v>3171.93</v>
      </c>
      <c r="H14" s="17">
        <f>SUMIF(I$12:AB$12,"总值",I14:AB14)</f>
        <v>3171.93</v>
      </c>
      <c r="I14" s="1626">
        <v>3171.93</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t="str">
        <f t="shared" si="6"/>
        <v>2号楼</v>
      </c>
      <c r="AY14" s="1349">
        <f>ROUND($AY$6*AZ14/$AZ$5,2)</f>
        <v>0</v>
      </c>
      <c r="AZ14" s="13">
        <f>BA14+BL14</f>
        <v>3171.93</v>
      </c>
      <c r="BA14" s="13">
        <f>SUM(BB14:BK14)</f>
        <v>3171.93</v>
      </c>
      <c r="BB14" s="13">
        <f>IF($D14="是",I14-J14,0)</f>
        <v>3171.93</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t="s">
        <v>3382</v>
      </c>
      <c r="D15" s="1625" t="s">
        <v>3385</v>
      </c>
      <c r="E15" s="13">
        <f>IF($C$3="是",ROUND($A$3*G15/$B$3,2),ROUND($A$3*(G15-AT15)/$B$3,2))</f>
        <v>0</v>
      </c>
      <c r="F15" s="29"/>
      <c r="G15" s="30">
        <f>H15+AC15+AT15</f>
        <v>3142.12</v>
      </c>
      <c r="H15" s="17">
        <f>SUMIF(I$12:AB$12,"总值",I15:AB15)</f>
        <v>3142.12</v>
      </c>
      <c r="I15" s="1626">
        <f>3142.12-K15</f>
        <v>1381.06</v>
      </c>
      <c r="J15" s="1626"/>
      <c r="K15" s="1626">
        <v>1761.06</v>
      </c>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t="str">
        <f t="shared" si="6"/>
        <v>6号楼</v>
      </c>
      <c r="AY15" s="1349">
        <f>ROUND($AY$6*AZ15/$AZ$5,2)</f>
        <v>0</v>
      </c>
      <c r="AZ15" s="13">
        <f>BA15+BL15</f>
        <v>3142.12</v>
      </c>
      <c r="BA15" s="13">
        <f>SUM(BB15:BK15)</f>
        <v>3142.12</v>
      </c>
      <c r="BB15" s="13">
        <f>IF($D15="是",I15-J15,0)</f>
        <v>1381.06</v>
      </c>
      <c r="BC15" s="13">
        <f>IF($D15="是",K15-L15,0)</f>
        <v>1761.06</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L7" sqref="L7"/>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59" t="s">
        <v>1131</v>
      </c>
      <c r="B2" s="3559"/>
      <c r="C2" s="3559"/>
      <c r="D2" s="796" t="s">
        <v>1107</v>
      </c>
      <c r="E2" s="1639" t="s">
        <v>1108</v>
      </c>
      <c r="F2" s="2659"/>
      <c r="G2" s="2650"/>
      <c r="H2" s="2651"/>
      <c r="I2" s="2325" t="s">
        <v>1132</v>
      </c>
      <c r="J2" s="2659"/>
      <c r="K2" s="2659"/>
      <c r="L2" s="2659"/>
      <c r="M2" s="2659"/>
      <c r="N2" s="2661"/>
      <c r="O2" s="2659"/>
      <c r="P2" s="2659"/>
    </row>
    <row r="3" spans="1:16" ht="15.75" thickBot="1">
      <c r="A3" s="3560" t="s">
        <v>1105</v>
      </c>
      <c r="B3" s="3560"/>
      <c r="C3" s="3560"/>
      <c r="D3" s="43">
        <f>'数据-基础表'!AY6</f>
        <v>0</v>
      </c>
      <c r="E3" s="43">
        <f>'数据-基础表'!AZ5</f>
        <v>10268.669999999998</v>
      </c>
      <c r="F3" s="2659"/>
      <c r="G3" s="1145"/>
      <c r="H3" s="1026" t="s">
        <v>1106</v>
      </c>
      <c r="I3" s="855" t="e">
        <f>ROUND('数据-基础表'!B3/'数据-基础表'!A3,2)</f>
        <v>#DIV/0!</v>
      </c>
      <c r="J3" s="2659"/>
      <c r="K3" s="2659"/>
      <c r="L3" s="2659"/>
      <c r="M3" s="2659"/>
      <c r="N3" s="2661"/>
      <c r="O3" s="2659"/>
      <c r="P3" s="2659"/>
    </row>
    <row r="4" spans="1:16" ht="15">
      <c r="A4" s="3561"/>
      <c r="B4" s="3562"/>
      <c r="C4" s="3563"/>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64" t="s">
        <v>1110</v>
      </c>
      <c r="C5" s="3564"/>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64" t="s">
        <v>1111</v>
      </c>
      <c r="C6" s="3564"/>
      <c r="D6" s="45">
        <f>ROUND($D$3*E6/$E$3,2)</f>
        <v>0</v>
      </c>
      <c r="E6" s="46">
        <f>E3-E5</f>
        <v>10268.669999999998</v>
      </c>
      <c r="F6" s="2659"/>
      <c r="G6" s="2653" t="s">
        <v>1112</v>
      </c>
      <c r="H6" s="1146" t="s">
        <v>1113</v>
      </c>
      <c r="I6" s="2654" t="e">
        <f>ROUND(F31/D31,2)</f>
        <v>#DIV/0!</v>
      </c>
      <c r="J6" s="2659"/>
      <c r="K6" s="2659"/>
      <c r="L6" s="2659"/>
      <c r="M6" s="2659"/>
      <c r="N6" s="2659"/>
      <c r="O6" s="2659"/>
      <c r="P6" s="2659"/>
    </row>
    <row r="7" spans="1:16" ht="15.75" thickBot="1">
      <c r="A7" s="3556"/>
      <c r="B7" s="3557"/>
      <c r="C7" s="3558"/>
      <c r="D7" s="1641" t="s">
        <v>1107</v>
      </c>
      <c r="E7" s="1645" t="s">
        <v>1114</v>
      </c>
      <c r="F7" s="2659"/>
      <c r="G7" s="2655" t="s">
        <v>1115</v>
      </c>
      <c r="H7" s="2656"/>
      <c r="I7" s="2657">
        <v>2</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8240.15</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2028.52</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10268.67</v>
      </c>
      <c r="F16" s="2659"/>
      <c r="G16" s="2660"/>
      <c r="H16" s="1648" t="s">
        <v>1135</v>
      </c>
      <c r="I16" s="1649"/>
      <c r="J16" s="1139"/>
      <c r="K16" s="3553" t="s">
        <v>1135</v>
      </c>
      <c r="L16" s="3554"/>
      <c r="M16" s="3554"/>
      <c r="N16" s="3554"/>
      <c r="O16" s="3554"/>
      <c r="P16" s="3555"/>
    </row>
    <row r="17" spans="1:19" ht="15">
      <c r="A17" s="1650" t="s">
        <v>1136</v>
      </c>
      <c r="B17" s="1651" t="s">
        <v>1137</v>
      </c>
      <c r="C17" s="1652" t="s">
        <v>1138</v>
      </c>
      <c r="D17" s="1653" t="s">
        <v>1126</v>
      </c>
      <c r="E17" s="1654" t="s">
        <v>1127</v>
      </c>
      <c r="F17" s="1655"/>
      <c r="G17" s="1656"/>
      <c r="H17" s="1657" t="s">
        <v>1139</v>
      </c>
      <c r="I17" s="1658" t="s">
        <v>1124</v>
      </c>
      <c r="J17" s="1139"/>
      <c r="K17" s="3550" t="s">
        <v>1140</v>
      </c>
      <c r="L17" s="3551"/>
      <c r="M17" s="3552"/>
      <c r="N17" s="3550" t="s">
        <v>1141</v>
      </c>
      <c r="O17" s="3551"/>
      <c r="P17" s="3552"/>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8" t="s">
        <v>3383</v>
      </c>
      <c r="D19" s="45">
        <f>ROUND($D$3*E19/$E$3,2)</f>
        <v>0</v>
      </c>
      <c r="E19" s="53">
        <f t="shared" ref="E19:E26" si="1">SUM(F19:G19)</f>
        <v>8240.15</v>
      </c>
      <c r="F19" s="2795">
        <f>'数据-基础表'!I5</f>
        <v>8240.15</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8240.15</v>
      </c>
    </row>
    <row r="20" spans="1:19">
      <c r="A20" s="1670"/>
      <c r="B20" s="47" t="s">
        <v>1153</v>
      </c>
      <c r="C20" s="3418" t="s">
        <v>3384</v>
      </c>
      <c r="D20" s="45">
        <f t="shared" ref="D20:D26" si="6">ROUND($D$3*E20/$E$3,2)</f>
        <v>0</v>
      </c>
      <c r="E20" s="53">
        <f t="shared" si="1"/>
        <v>2028.52</v>
      </c>
      <c r="F20" s="2795"/>
      <c r="G20" s="2796">
        <f>'数据-基础表'!K5</f>
        <v>2028.52</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2028.52</v>
      </c>
    </row>
    <row r="21" spans="1:19">
      <c r="A21" s="1670"/>
      <c r="B21" s="47" t="s">
        <v>1153</v>
      </c>
      <c r="C21" s="3418"/>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9"/>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9"/>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9"/>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9"/>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10268.67</v>
      </c>
      <c r="F27" s="1140">
        <f>IF(SUM(F19:F26)=E8,SUM(F19:F26),"地上面积有误")</f>
        <v>8240.15</v>
      </c>
      <c r="G27" s="1142">
        <f>SUM(G19:G26)</f>
        <v>2028.52</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10268.67</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10268.67</v>
      </c>
      <c r="F31" s="677">
        <f>F27+F30</f>
        <v>8240.15</v>
      </c>
      <c r="G31" s="678">
        <f>G27+G30</f>
        <v>2028.52</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4" priority="1" stopIfTrue="1" operator="containsText" text="面积有误">
      <formula>NOT(ISERROR(SEARCH("面积有误",E27)))</formula>
    </cfRule>
    <cfRule type="cellIs" dxfId="193" priority="3" stopIfTrue="1" operator="equal">
      <formula>"地下面积有误"</formula>
    </cfRule>
  </conditionalFormatting>
  <conditionalFormatting sqref="F27">
    <cfRule type="cellIs" dxfId="19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M6" activePane="bottomRight" state="frozen"/>
      <selection activeCell="C50" sqref="C50"/>
      <selection pane="topRight" activeCell="C50" sqref="C50"/>
      <selection pane="bottomLeft" activeCell="C50" sqref="C50"/>
      <selection pane="bottomRight" activeCell="V7" sqref="V7"/>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44937</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3387</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工业</v>
      </c>
      <c r="B6" s="1713" t="str">
        <f>IF(A6=0,"","经营性")</f>
        <v>经营性</v>
      </c>
      <c r="C6" s="1714" t="s">
        <v>3</v>
      </c>
      <c r="D6" s="858">
        <f>SUMIF(项目基本情况!C$12:I$12,C6,项目基本情况!C$14:I$14)</f>
        <v>50</v>
      </c>
      <c r="E6" s="857">
        <f>IF(B6="","",SUMIF(项目基本情况!C$12:H$12,C6,项目基本情况!C$13:H$13))</f>
        <v>57131</v>
      </c>
      <c r="F6" s="64">
        <f>SUMIF(项目基本情况!C$12:I$12,C6,项目基本情况!C$15:I$15)</f>
        <v>33.4</v>
      </c>
      <c r="G6" s="65">
        <f>IF(ISERROR(ROUND(POWER(1+H6,D6-F6)*(POWER(1+H6,F6)-1)/(POWER(1+H6,D6)-1),3)),0,ROUND(POWER(1+H6,D6-F6)*(POWER(1+H6,F6)-1)/(POWER(1+H6,D6)-1),3))</f>
        <v>0.88100000000000001</v>
      </c>
      <c r="H6" s="732">
        <v>0.05</v>
      </c>
      <c r="I6" s="732">
        <v>5.5E-2</v>
      </c>
      <c r="J6" s="66">
        <v>7.4999999999999997E-2</v>
      </c>
      <c r="K6" s="1030">
        <f>SUMIF('数据-汇总表'!C$19:C$33,A6,'数据-汇总表'!E$19:E$33)</f>
        <v>8240.15</v>
      </c>
      <c r="L6" s="733">
        <v>3500</v>
      </c>
      <c r="M6" s="67">
        <f t="shared" ref="M6:M14" si="0">ROUND(K6*L6/10000,0)</f>
        <v>2884</v>
      </c>
      <c r="N6" s="731">
        <f>ROUND(1-(2023-2012)/60,2)</f>
        <v>0.82</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9">
        <v>5.5</v>
      </c>
      <c r="V6" s="70">
        <v>0.03</v>
      </c>
      <c r="W6" s="70">
        <v>0.1</v>
      </c>
      <c r="X6" s="1040"/>
      <c r="Y6" s="71">
        <f>N6</f>
        <v>0.82</v>
      </c>
      <c r="Z6" s="72"/>
      <c r="AA6" s="66"/>
      <c r="AB6" s="66"/>
      <c r="AC6" s="1040"/>
      <c r="AD6" s="73"/>
      <c r="AE6" s="1041">
        <f ca="1">IF(AN6="",0,SUMIF(INDIRECT("'"&amp;AN6&amp;"'"&amp;"!E:E"),$AE$5,INDIRECT("'"&amp;AN6&amp;"'"&amp;"!F:F")))</f>
        <v>33.4</v>
      </c>
      <c r="AF6" s="1348"/>
      <c r="AG6" s="138">
        <f>IF(AF6="",0,AE6-AF6)</f>
        <v>0</v>
      </c>
      <c r="AH6" s="74"/>
      <c r="AI6" s="76">
        <v>365</v>
      </c>
      <c r="AJ6" s="77"/>
      <c r="AK6" s="78">
        <v>0.01</v>
      </c>
      <c r="AL6" s="79">
        <v>1.5E-3</v>
      </c>
      <c r="AM6" s="80">
        <v>0.01</v>
      </c>
      <c r="AN6" s="1715" t="s">
        <v>3388</v>
      </c>
      <c r="AO6" s="52">
        <f ca="1">SUMIF(INDIRECT("'"&amp;AN6&amp;"'"&amp;"!A:A"),"总价",INDIRECT("'"&amp;AN6&amp;"'"&amp;"!B:B"))</f>
        <v>25991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仓储</v>
      </c>
      <c r="B7" s="1713" t="str">
        <f t="shared" ref="B7:B13" si="1">IF(A7=0,"","经营性")</f>
        <v>经营性</v>
      </c>
      <c r="C7" s="1714" t="s">
        <v>3343</v>
      </c>
      <c r="D7" s="858">
        <f>SUMIF(项目基本情况!C$12:I$12,C7,项目基本情况!C$14:I$14)</f>
        <v>50</v>
      </c>
      <c r="E7" s="857">
        <f>IF(B7="","",SUMIF(项目基本情况!C$12:H$12,C7,项目基本情况!C$13:H$13))</f>
        <v>57131</v>
      </c>
      <c r="F7" s="64">
        <f>SUMIF(项目基本情况!C$12:I$12,C7,项目基本情况!C$15:I$15)</f>
        <v>33.4</v>
      </c>
      <c r="G7" s="65">
        <f t="shared" ref="G7:G11" si="2">IF(ISERROR(ROUND(POWER(1+H7,D7-F7)*(POWER(1+H7,F7)-1)/(POWER(1+H7,D7)-1),3)),0,ROUND(POWER(1+H7,D7-F7)*(POWER(1+H7,F7)-1)/(POWER(1+H7,D7)-1),3))</f>
        <v>0.86599999999999999</v>
      </c>
      <c r="H7" s="732">
        <v>4.4999999999999998E-2</v>
      </c>
      <c r="I7" s="732">
        <v>0.05</v>
      </c>
      <c r="J7" s="66">
        <v>7.4999999999999997E-2</v>
      </c>
      <c r="K7" s="1030">
        <f>SUMIF('数据-汇总表'!C$19:C$33,A7,'数据-汇总表'!E$19:E$33)</f>
        <v>2028.52</v>
      </c>
      <c r="L7" s="733">
        <f>L6</f>
        <v>3500</v>
      </c>
      <c r="M7" s="67">
        <f t="shared" si="0"/>
        <v>710</v>
      </c>
      <c r="N7" s="731">
        <f>N6</f>
        <v>0.82</v>
      </c>
      <c r="O7" s="67" t="str">
        <f t="shared" ref="O7:O14" si="3">IF($N$5="成新度","——",ROUND(M7*N7,0))</f>
        <v>——</v>
      </c>
      <c r="P7" s="68" t="str">
        <f t="shared" ref="P7:P14" si="4">IF($N$5="成新度","——",M7-O7)</f>
        <v>——</v>
      </c>
      <c r="Q7" s="734">
        <v>0.1</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9">
        <v>3</v>
      </c>
      <c r="V7" s="70">
        <v>0.03</v>
      </c>
      <c r="W7" s="70">
        <v>0.1</v>
      </c>
      <c r="X7" s="1040"/>
      <c r="Y7" s="71">
        <f>N7</f>
        <v>0.82</v>
      </c>
      <c r="Z7" s="72"/>
      <c r="AA7" s="66"/>
      <c r="AB7" s="66"/>
      <c r="AC7" s="1040"/>
      <c r="AD7" s="73"/>
      <c r="AE7" s="1041">
        <f t="shared" ref="AE7:AE13" ca="1" si="6">IF(AN7="",0,SUMIF(INDIRECT("'"&amp;AN7&amp;"'"&amp;"!E:E"),$AE$5,INDIRECT("'"&amp;AN7&amp;"'"&amp;"!F:F")))</f>
        <v>33.4</v>
      </c>
      <c r="AF7" s="1348"/>
      <c r="AG7" s="138">
        <f t="shared" ref="AG7:AG13" si="7">IF(AF7="",0,AE7-AF7)</f>
        <v>0</v>
      </c>
      <c r="AH7" s="74"/>
      <c r="AI7" s="76">
        <v>365</v>
      </c>
      <c r="AJ7" s="77"/>
      <c r="AK7" s="78">
        <f>AK6</f>
        <v>0.01</v>
      </c>
      <c r="AL7" s="79">
        <f>AL6</f>
        <v>1.5E-3</v>
      </c>
      <c r="AM7" s="80">
        <f>AM6</f>
        <v>0.01</v>
      </c>
      <c r="AN7" s="1715" t="s">
        <v>3392</v>
      </c>
      <c r="AO7" s="52">
        <f t="shared" ref="AO7:AO13" ca="1" si="8">SUMIF(INDIRECT("'"&amp;AN7&amp;"'"&amp;"!A:A"),"总价",INDIRECT("'"&amp;AN7&amp;"'"&amp;"!B:B"))</f>
        <v>3626</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IF(B8="","",SUMIF(项目基本情况!C$12:H$12,C8,项目基本情况!C$13:H$13))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30"/>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IF(B9="","",SUMIF(项目基本情况!C$12:H$12,C9,项目基本情况!C$13:H$13))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9"/>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IF(B10="","",SUMIF(项目基本情况!C$12:H$12,C10,项目基本情况!C$13:H$13))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9"/>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IF(B11="","",SUMIF(项目基本情况!C$12:H$12,C11,项目基本情况!C$13:H$13))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9"/>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IF(B12="","",SUMIF(项目基本情况!C$12:H$12,C12,项目基本情况!C$13:H$13))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9"/>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IF(B13="","",SUMIF(项目基本情况!C$12:H$12,C13,项目基本情况!C$13:H$13))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1"/>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0.878</v>
      </c>
      <c r="H16" s="90">
        <f>ROUND(SUMPRODUCT(H6:H13,K6:K13)/SUMPRODUCT((H6:H13&gt;0)*(K6:K13)),3)</f>
        <v>4.9000000000000002E-2</v>
      </c>
      <c r="I16" s="91"/>
      <c r="J16" s="91"/>
      <c r="K16" s="92">
        <f>SUM(K6:K15)</f>
        <v>10268.67</v>
      </c>
      <c r="L16" s="93">
        <f>ROUND(M16*10000/SUM(K6:K14),0)</f>
        <v>3500</v>
      </c>
      <c r="M16" s="93">
        <f>SUM(M6:M14)</f>
        <v>3594</v>
      </c>
      <c r="N16" s="94">
        <f>ROUND(SUMPRODUCT(M6:M14,N6:N14)/M16,3)</f>
        <v>0.82</v>
      </c>
      <c r="O16" s="93">
        <f>SUM(O6:O14)</f>
        <v>0</v>
      </c>
      <c r="P16" s="93">
        <f>SUM(P6:P14)</f>
        <v>0</v>
      </c>
      <c r="Q16" s="95">
        <f>ROUND(SUMPRODUCT(Q6:Q13,K6:K13)/SUMPRODUCT((Q6:Q13&gt;0)*(K6:K13)),2)</f>
        <v>0.14000000000000001</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2305</v>
      </c>
      <c r="D19" s="2676"/>
      <c r="E19" s="2673"/>
      <c r="F19" s="2673"/>
      <c r="G19" s="2673"/>
      <c r="H19" s="2673"/>
      <c r="I19" s="2673"/>
      <c r="J19" s="2673"/>
      <c r="K19" s="2672"/>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2303</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v>160</v>
      </c>
      <c r="C27" s="2801" t="s">
        <v>2307</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成本法!C10</f>
        <v>41</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0.04</v>
      </c>
      <c r="C33" s="2803" t="s">
        <v>2295</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2296</v>
      </c>
      <c r="D34" s="2684" t="s">
        <v>2304</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2297</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2299</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2299</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29.25" thickBot="1">
      <c r="A40" s="2815" t="s">
        <v>3386</v>
      </c>
      <c r="B40" s="1078">
        <f ca="1">IF(A40="利息：取LPR",存贷款利率!G1,存贷款利率!G1+C40)</f>
        <v>4.1499999999999995E-2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7.0000000000000007E-2</v>
      </c>
      <c r="C44" s="2803" t="s">
        <v>2308</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2300</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2301</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2309</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2300</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2302</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2306</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f>C59</f>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65" t="s">
        <v>2286</v>
      </c>
      <c r="B1" s="3566"/>
      <c r="C1" s="3566"/>
      <c r="D1" s="3566"/>
      <c r="E1" s="3566"/>
      <c r="F1" s="3566"/>
      <c r="G1" s="3566"/>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C5" sqref="C5"/>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10268.67</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44937</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30460</v>
      </c>
      <c r="C5" s="2512">
        <f ca="1">IF(B5=D14,结果表!H102,ROUND(B5*10000/$B$1,0))</f>
        <v>29663</v>
      </c>
      <c r="D5" s="2512" t="e">
        <f ca="1">ROUND(B5*10000/$B$2,0)</f>
        <v>#DIV/0!</v>
      </c>
      <c r="E5" s="2686"/>
      <c r="F5" s="2687"/>
      <c r="G5" s="2687"/>
      <c r="H5" s="2688"/>
      <c r="I5" s="2688"/>
      <c r="J5" s="2688"/>
      <c r="K5" s="2688"/>
    </row>
    <row r="6" spans="1:11" ht="16.5">
      <c r="A6" s="2512" t="s">
        <v>656</v>
      </c>
      <c r="B6" s="2512">
        <f>SUM(G14:G23)</f>
        <v>0</v>
      </c>
      <c r="C6" s="2512">
        <f ca="1">IF(B6=G14,结果表!H108,ROUND(B6*10000/$B$1,0))</f>
        <v>13345</v>
      </c>
      <c r="D6" s="2512" t="e">
        <f>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3367</v>
      </c>
      <c r="D10" s="2512" t="s">
        <v>3368</v>
      </c>
      <c r="E10" s="3442"/>
      <c r="F10" s="3446" t="s">
        <v>3369</v>
      </c>
      <c r="G10" s="3443"/>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 (2)'!B118</f>
        <v>8240.15</v>
      </c>
      <c r="C14" s="2518"/>
      <c r="D14" s="2518">
        <f ca="1">'结果表 (2)'!H118</f>
        <v>27753</v>
      </c>
      <c r="E14" s="2518">
        <f ca="1">ROUND(D14*10000/B14,0)</f>
        <v>33680</v>
      </c>
      <c r="F14" s="2518" t="e">
        <f ca="1">ROUND(D14*10000/C14,0)</f>
        <v>#DIV/0!</v>
      </c>
      <c r="G14" s="2518"/>
      <c r="H14" s="2518"/>
      <c r="I14" s="2518"/>
      <c r="J14" s="2687"/>
      <c r="K14" s="2688"/>
    </row>
    <row r="15" spans="1:11" ht="16.5">
      <c r="A15" s="2517" t="s">
        <v>649</v>
      </c>
      <c r="B15" s="2519">
        <f>结果表!B118</f>
        <v>2028.52</v>
      </c>
      <c r="C15" s="2519"/>
      <c r="D15" s="2519">
        <f ca="1">结果表!H118</f>
        <v>2707</v>
      </c>
      <c r="E15" s="2518">
        <f t="shared" ref="E15:E23" ca="1" si="0">ROUND(D15*10000/B15,0)</f>
        <v>13345</v>
      </c>
      <c r="F15" s="2518" t="e">
        <f t="shared" ref="F15:F23" ca="1"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6" zoomScaleNormal="100" zoomScaleSheetLayoutView="100" zoomScalePageLayoutView="80" workbookViewId="0">
      <selection activeCell="F29" sqref="F29"/>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3343</v>
      </c>
      <c r="D1" s="1747"/>
      <c r="E1" s="1747"/>
      <c r="F1" s="1749" t="s">
        <v>1263</v>
      </c>
      <c r="G1" s="1561"/>
      <c r="H1" s="1750" t="str">
        <f>IF(G1="现房","——","估价对象范围")</f>
        <v>估价对象范围</v>
      </c>
      <c r="I1" s="1751"/>
    </row>
    <row r="2" spans="1:12" ht="21.75" customHeight="1" thickBot="1">
      <c r="A2" s="3601" t="str">
        <f>项目基本情况!S2</f>
        <v>北京市房地产</v>
      </c>
      <c r="B2" s="3602"/>
      <c r="C2" s="3602"/>
      <c r="D2" s="3602"/>
      <c r="E2" s="3602"/>
      <c r="F2" s="3602"/>
      <c r="G2" s="3602"/>
      <c r="H2" s="3602"/>
      <c r="I2" s="3603"/>
    </row>
    <row r="3" spans="1:12" ht="12.75">
      <c r="A3" s="3605" t="s">
        <v>1264</v>
      </c>
      <c r="B3" s="3606"/>
      <c r="C3" s="3606"/>
      <c r="D3" s="3606"/>
      <c r="E3" s="3606"/>
      <c r="F3" s="3606"/>
      <c r="G3" s="3606"/>
      <c r="H3" s="3606"/>
      <c r="I3" s="3606"/>
    </row>
    <row r="4" spans="1:12" ht="14.25">
      <c r="A4" s="1754" t="s">
        <v>1265</v>
      </c>
      <c r="B4" s="1755" t="s">
        <v>1266</v>
      </c>
      <c r="C4" s="1756" t="s">
        <v>3403</v>
      </c>
      <c r="D4" s="1756" t="s">
        <v>3392</v>
      </c>
      <c r="E4" s="3607" t="s">
        <v>1267</v>
      </c>
      <c r="F4" s="3608"/>
      <c r="G4" s="3608"/>
      <c r="H4" s="3608"/>
      <c r="I4" s="3609"/>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81" t="s">
        <v>1268</v>
      </c>
      <c r="B5" s="3568">
        <v>25</v>
      </c>
      <c r="C5" s="3584"/>
      <c r="D5" s="3604"/>
      <c r="E5" s="131" t="s">
        <v>1269</v>
      </c>
      <c r="F5" s="1757"/>
      <c r="G5" s="1757"/>
      <c r="H5" s="1757"/>
      <c r="I5" s="1373"/>
    </row>
    <row r="6" spans="1:12" ht="12.75">
      <c r="A6" s="3581"/>
      <c r="B6" s="3568"/>
      <c r="C6" s="3585"/>
      <c r="D6" s="3604"/>
      <c r="E6" s="131" t="s">
        <v>1270</v>
      </c>
      <c r="F6" s="1757"/>
      <c r="G6" s="1757"/>
      <c r="H6" s="1757"/>
      <c r="I6" s="1373"/>
    </row>
    <row r="7" spans="1:12" ht="12.75">
      <c r="A7" s="3581"/>
      <c r="B7" s="3568"/>
      <c r="C7" s="3586"/>
      <c r="D7" s="3604"/>
      <c r="E7" s="131" t="s">
        <v>1271</v>
      </c>
      <c r="F7" s="1757"/>
      <c r="G7" s="1757"/>
      <c r="H7" s="1757"/>
      <c r="I7" s="1373"/>
    </row>
    <row r="8" spans="1:12" ht="12.75">
      <c r="A8" s="3581" t="s">
        <v>1272</v>
      </c>
      <c r="B8" s="3568">
        <v>15</v>
      </c>
      <c r="C8" s="3584"/>
      <c r="D8" s="3604"/>
      <c r="E8" s="131" t="s">
        <v>1273</v>
      </c>
      <c r="F8" s="1757"/>
      <c r="G8" s="1757"/>
      <c r="H8" s="1757"/>
      <c r="I8" s="1373"/>
    </row>
    <row r="9" spans="1:12" ht="12.75">
      <c r="A9" s="3581"/>
      <c r="B9" s="3568"/>
      <c r="C9" s="3586"/>
      <c r="D9" s="3604"/>
      <c r="E9" s="131" t="s">
        <v>1274</v>
      </c>
      <c r="F9" s="1757"/>
      <c r="G9" s="1757"/>
      <c r="H9" s="1757"/>
      <c r="I9" s="1373"/>
    </row>
    <row r="10" spans="1:12" ht="12.75">
      <c r="A10" s="3581" t="s">
        <v>1275</v>
      </c>
      <c r="B10" s="3568">
        <v>15</v>
      </c>
      <c r="C10" s="3584"/>
      <c r="D10" s="3604"/>
      <c r="E10" s="131" t="s">
        <v>1276</v>
      </c>
      <c r="F10" s="1757"/>
      <c r="G10" s="1757"/>
      <c r="H10" s="1757"/>
      <c r="I10" s="1373"/>
    </row>
    <row r="11" spans="1:12" ht="12.75">
      <c r="A11" s="3581"/>
      <c r="B11" s="3568"/>
      <c r="C11" s="3586"/>
      <c r="D11" s="3604"/>
      <c r="E11" s="131" t="s">
        <v>1277</v>
      </c>
      <c r="F11" s="1757"/>
      <c r="G11" s="1757"/>
      <c r="H11" s="1757"/>
      <c r="I11" s="1373"/>
    </row>
    <row r="12" spans="1:12" ht="12.75">
      <c r="A12" s="3581" t="s">
        <v>1278</v>
      </c>
      <c r="B12" s="3568">
        <v>15</v>
      </c>
      <c r="C12" s="3584"/>
      <c r="D12" s="3604"/>
      <c r="E12" s="131" t="s">
        <v>1279</v>
      </c>
      <c r="F12" s="1757"/>
      <c r="G12" s="1757"/>
      <c r="H12" s="1757"/>
      <c r="I12" s="1373"/>
    </row>
    <row r="13" spans="1:12" ht="12.75">
      <c r="A13" s="3581"/>
      <c r="B13" s="3568"/>
      <c r="C13" s="3586"/>
      <c r="D13" s="3604"/>
      <c r="E13" s="131" t="s">
        <v>1280</v>
      </c>
      <c r="F13" s="1757"/>
      <c r="G13" s="1757"/>
      <c r="H13" s="1757"/>
      <c r="I13" s="1373"/>
    </row>
    <row r="14" spans="1:12" ht="12.75">
      <c r="A14" s="3581" t="s">
        <v>1281</v>
      </c>
      <c r="B14" s="3568">
        <v>30</v>
      </c>
      <c r="C14" s="3584">
        <v>4</v>
      </c>
      <c r="D14" s="3604">
        <v>6</v>
      </c>
      <c r="E14" s="131" t="s">
        <v>1282</v>
      </c>
      <c r="F14" s="1757"/>
      <c r="G14" s="1757"/>
      <c r="H14" s="1757"/>
      <c r="I14" s="1373"/>
    </row>
    <row r="15" spans="1:12" ht="12.75">
      <c r="A15" s="3581"/>
      <c r="B15" s="3568"/>
      <c r="C15" s="3585"/>
      <c r="D15" s="3604"/>
      <c r="E15" s="131" t="s">
        <v>1283</v>
      </c>
      <c r="F15" s="1757"/>
      <c r="G15" s="1757"/>
      <c r="H15" s="1757"/>
      <c r="I15" s="1373"/>
    </row>
    <row r="16" spans="1:12" ht="12.75">
      <c r="A16" s="3581"/>
      <c r="B16" s="3568"/>
      <c r="C16" s="3586"/>
      <c r="D16" s="3604"/>
      <c r="E16" s="131" t="s">
        <v>1284</v>
      </c>
      <c r="F16" s="1757"/>
      <c r="G16" s="1757"/>
      <c r="H16" s="1757"/>
      <c r="I16" s="1373"/>
    </row>
    <row r="17" spans="1:36" ht="15">
      <c r="A17" s="1758" t="s">
        <v>1285</v>
      </c>
      <c r="B17" s="56"/>
      <c r="C17" s="132">
        <f>SUM(C5:C16)</f>
        <v>4</v>
      </c>
      <c r="D17" s="132">
        <f>SUM(D5:D16)</f>
        <v>6</v>
      </c>
      <c r="E17" s="129"/>
      <c r="F17" s="129"/>
      <c r="G17" s="129"/>
      <c r="H17" s="129"/>
      <c r="I17" s="129"/>
      <c r="K17" s="302"/>
      <c r="L17" s="302" t="s">
        <v>1286</v>
      </c>
      <c r="M17" s="302" t="s">
        <v>1287</v>
      </c>
    </row>
    <row r="18" spans="1:36" ht="31.9" customHeight="1" thickBot="1">
      <c r="A18" s="1759" t="s">
        <v>1288</v>
      </c>
      <c r="B18" s="1760"/>
      <c r="C18" s="133">
        <f>ROUND(C17/SUM(C17:D17),2)</f>
        <v>0.4</v>
      </c>
      <c r="D18" s="133">
        <f>1-C18</f>
        <v>0.6</v>
      </c>
      <c r="E18" s="3591" t="s">
        <v>2131</v>
      </c>
      <c r="F18" s="3592"/>
      <c r="G18" s="3592"/>
      <c r="H18" s="3592"/>
      <c r="I18" s="3592"/>
      <c r="K18" s="302" t="s">
        <v>1289</v>
      </c>
      <c r="L18" s="302">
        <f>IF(C1="",'数据-汇总表'!E3,SUMIF(项目类型,C1,'数据-汇总表'!E17:E26)+SUMIF(项目类型,C1,'数据-汇总表'!I17:I26))</f>
        <v>2028.52</v>
      </c>
      <c r="M18" s="302">
        <f>IF(C1="",'数据-汇总表'!E3,SUMIF(项目类型,C1,'数据-汇总表'!E17:E26))</f>
        <v>2028.52</v>
      </c>
    </row>
    <row r="19" spans="1:36" ht="15">
      <c r="A19" s="1761" t="s">
        <v>1290</v>
      </c>
      <c r="B19" s="1762" t="s">
        <v>1291</v>
      </c>
      <c r="C19" s="134">
        <f ca="1">SUMIF(INDIRECT("'"&amp;C4&amp;"'"&amp;"!A:A"),结果表!B19,INDIRECT("'"&amp;C4&amp;"'"&amp;"!B:B"))</f>
        <v>1329</v>
      </c>
      <c r="D19" s="135">
        <f ca="1">SUMIF(INDIRECT("'"&amp;D4&amp;"'"&amp;"!A:A"),结果表!B19,INDIRECT("'"&amp;D4&amp;"'"&amp;"!B:B"))</f>
        <v>3626</v>
      </c>
      <c r="E19" s="1761" t="s">
        <v>1292</v>
      </c>
      <c r="F19" s="1762" t="s">
        <v>1291</v>
      </c>
      <c r="G19" s="136">
        <f ca="1">ROUND(C19*$C$18+D19*$D$18,0)</f>
        <v>2707</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6552</v>
      </c>
      <c r="D20" s="138">
        <f ca="1">SUMIF(INDIRECT("'"&amp;D4&amp;"'"&amp;"!A:A"),结果表!B20,INDIRECT("'"&amp;D4&amp;"'"&amp;"!B:B"))</f>
        <v>17875</v>
      </c>
      <c r="E20" s="1764"/>
      <c r="F20" s="1026" t="s">
        <v>1295</v>
      </c>
      <c r="G20" s="139">
        <f ca="1">ROUND(C20*$C$18+D20*$D$18,0)</f>
        <v>13346</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1.7283671933784799</v>
      </c>
      <c r="E22" s="129"/>
      <c r="F22" s="129"/>
      <c r="G22" s="129"/>
      <c r="H22" s="129"/>
      <c r="I22" s="129"/>
    </row>
    <row r="23" spans="1:36" ht="13.5" thickBot="1">
      <c r="A23" s="1747"/>
      <c r="B23" s="1747"/>
      <c r="C23" s="1747"/>
      <c r="D23" s="1747"/>
      <c r="E23" s="129"/>
      <c r="F23" s="129"/>
      <c r="G23" s="129"/>
      <c r="H23" s="129"/>
      <c r="I23" s="129"/>
    </row>
    <row r="24" spans="1:36" ht="14.25">
      <c r="A24" s="3575" t="s">
        <v>1299</v>
      </c>
      <c r="B24" s="1762" t="s">
        <v>1291</v>
      </c>
      <c r="C24" s="136">
        <f>IF(B30=0,0,D30)</f>
        <v>0</v>
      </c>
      <c r="D24" s="1769"/>
      <c r="E24" s="129"/>
      <c r="F24" s="129"/>
      <c r="G24" s="129"/>
      <c r="H24" s="129"/>
      <c r="I24" s="129"/>
    </row>
    <row r="25" spans="1:36" ht="14.25">
      <c r="A25" s="357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2707</v>
      </c>
      <c r="D32" s="1775" t="s">
        <v>3409</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595" t="s">
        <v>1312</v>
      </c>
      <c r="B36" s="1787" t="s">
        <v>1313</v>
      </c>
      <c r="C36" s="145"/>
      <c r="D36" s="1788"/>
      <c r="E36" s="1789"/>
      <c r="F36" s="1790"/>
      <c r="G36" s="129"/>
      <c r="H36" s="129"/>
      <c r="I36" s="129"/>
    </row>
    <row r="37" spans="1:15" ht="15.75" thickBot="1">
      <c r="A37" s="3596"/>
      <c r="B37" s="1674" t="s">
        <v>1314</v>
      </c>
      <c r="C37" s="147"/>
      <c r="D37" s="1139"/>
      <c r="E37" s="1139"/>
      <c r="F37" s="1790"/>
      <c r="G37" s="129"/>
      <c r="H37" s="129"/>
      <c r="I37" s="129"/>
    </row>
    <row r="38" spans="1:15" ht="15.75" thickBot="1">
      <c r="A38" s="3597"/>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72" t="s">
        <v>1326</v>
      </c>
      <c r="B45" s="3573"/>
      <c r="C45" s="3574"/>
      <c r="D45" s="155">
        <f ca="1">ROUND(H101*F45,0)</f>
        <v>2707</v>
      </c>
      <c r="E45" s="156" t="s">
        <v>1327</v>
      </c>
      <c r="F45" s="157">
        <v>1</v>
      </c>
      <c r="G45" s="158" t="s">
        <v>1328</v>
      </c>
      <c r="H45" s="129"/>
      <c r="I45" s="129"/>
      <c r="J45" s="3650" t="s">
        <v>1329</v>
      </c>
      <c r="K45" s="3650"/>
      <c r="L45" s="3650"/>
      <c r="M45" s="3650"/>
      <c r="N45" s="3650"/>
      <c r="O45" s="3650"/>
    </row>
    <row r="46" spans="1:15" ht="14.25" customHeight="1">
      <c r="A46" s="3569" t="s">
        <v>1330</v>
      </c>
      <c r="B46" s="3570"/>
      <c r="C46" s="3570"/>
      <c r="D46" s="3570"/>
      <c r="E46" s="3570"/>
      <c r="F46" s="3570"/>
      <c r="G46" s="3571"/>
      <c r="H46" s="1806"/>
      <c r="I46" s="159"/>
      <c r="J46" s="2523">
        <v>1</v>
      </c>
      <c r="K46" s="3631" t="s">
        <v>1331</v>
      </c>
      <c r="L46" s="3631"/>
      <c r="M46" s="3651"/>
      <c r="N46" s="3651"/>
      <c r="O46" s="3651"/>
    </row>
    <row r="47" spans="1:15" ht="12" customHeight="1">
      <c r="A47" s="160" t="s">
        <v>1332</v>
      </c>
      <c r="B47" s="161"/>
      <c r="C47" s="162"/>
      <c r="D47" s="1087" t="s">
        <v>1333</v>
      </c>
      <c r="E47" s="302" t="s">
        <v>1334</v>
      </c>
      <c r="F47" s="163" t="s">
        <v>1335</v>
      </c>
      <c r="G47" s="2546" t="s">
        <v>1336</v>
      </c>
      <c r="H47" s="2547"/>
      <c r="I47" s="159"/>
      <c r="J47" s="2523">
        <v>2</v>
      </c>
      <c r="K47" s="3631" t="s">
        <v>1337</v>
      </c>
      <c r="L47" s="3631"/>
      <c r="M47" s="3652">
        <f>'数据-取费表'!B2</f>
        <v>44937</v>
      </c>
      <c r="N47" s="3652"/>
      <c r="O47" s="3652"/>
    </row>
    <row r="48" spans="1:15" ht="25.5">
      <c r="A48" s="3600" t="s">
        <v>1338</v>
      </c>
      <c r="B48" s="3583"/>
      <c r="C48" s="3583"/>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1339</v>
      </c>
      <c r="H48" s="2550"/>
      <c r="I48" s="1806"/>
      <c r="J48" s="2523">
        <v>3</v>
      </c>
      <c r="K48" s="3631" t="s">
        <v>1340</v>
      </c>
      <c r="L48" s="3631"/>
      <c r="M48" s="3653">
        <f ca="1">H101</f>
        <v>2707</v>
      </c>
      <c r="N48" s="3653"/>
      <c r="O48" s="3653"/>
    </row>
    <row r="49" spans="1:35" ht="25.5" customHeight="1">
      <c r="A49" s="2333" t="s">
        <v>1341</v>
      </c>
      <c r="B49" s="3567" t="s">
        <v>1342</v>
      </c>
      <c r="C49" s="3567"/>
      <c r="D49" s="1590">
        <v>0</v>
      </c>
      <c r="E49" s="324" t="s">
        <v>1343</v>
      </c>
      <c r="F49" s="2424" t="s">
        <v>28</v>
      </c>
      <c r="G49" s="3637"/>
      <c r="H49" s="2310" t="s">
        <v>2134</v>
      </c>
      <c r="I49" s="2311"/>
      <c r="J49" s="2523">
        <v>4</v>
      </c>
      <c r="K49" s="3631" t="str">
        <f>IF(项目基本情况!E8="房地产抵押价值","房地产抵押价值","抵押担保权已注销时的房地产抵押价值")</f>
        <v>房地产抵押价值</v>
      </c>
      <c r="L49" s="3631"/>
      <c r="M49" s="3653">
        <f ca="1">IF(项目基本情况!E8="房地产抵押价值",H107,H109)</f>
        <v>2707</v>
      </c>
      <c r="N49" s="3653"/>
      <c r="O49" s="3653"/>
    </row>
    <row r="50" spans="1:35" ht="25.5" customHeight="1">
      <c r="A50" s="2551"/>
      <c r="B50" s="3567" t="s">
        <v>1344</v>
      </c>
      <c r="C50" s="3567"/>
      <c r="D50" s="2552"/>
      <c r="E50" s="332"/>
      <c r="F50" s="2424"/>
      <c r="G50" s="3638"/>
      <c r="H50" s="2312" t="s">
        <v>2135</v>
      </c>
      <c r="I50" s="2311"/>
      <c r="J50" s="3650" t="s">
        <v>1345</v>
      </c>
      <c r="K50" s="3650"/>
      <c r="L50" s="3650"/>
      <c r="M50" s="3650"/>
      <c r="N50" s="3650"/>
      <c r="O50" s="3650"/>
    </row>
    <row r="51" spans="1:35" ht="20.45" customHeight="1">
      <c r="A51" s="2553"/>
      <c r="B51" s="3567" t="s">
        <v>1346</v>
      </c>
      <c r="C51" s="3567"/>
      <c r="D51" s="1087"/>
      <c r="E51" s="327"/>
      <c r="F51" s="2424"/>
      <c r="G51" s="3639"/>
      <c r="H51" s="2312" t="s">
        <v>2136</v>
      </c>
      <c r="I51" s="2311"/>
      <c r="J51" s="2524" t="s">
        <v>1347</v>
      </c>
      <c r="K51" s="3631" t="s">
        <v>1348</v>
      </c>
      <c r="L51" s="3631"/>
      <c r="M51" s="2524" t="s">
        <v>1349</v>
      </c>
      <c r="N51" s="2524" t="s">
        <v>1350</v>
      </c>
      <c r="O51" s="2524" t="s">
        <v>1351</v>
      </c>
    </row>
    <row r="52" spans="1:35" ht="24" customHeight="1">
      <c r="A52" s="2335" t="s">
        <v>1352</v>
      </c>
      <c r="B52" s="3567" t="s">
        <v>1353</v>
      </c>
      <c r="C52" s="3567"/>
      <c r="D52" s="1087">
        <f ca="1">ROUND(D45*'数据-取费表'!B41/(1+'数据-取费表'!C42),0)</f>
        <v>144</v>
      </c>
      <c r="E52" s="2334" t="s">
        <v>1354</v>
      </c>
      <c r="F52" s="2554">
        <f>'数据-取费表'!B41</f>
        <v>5.6000000000000001E-2</v>
      </c>
      <c r="G52" s="2555"/>
      <c r="H52" s="2544"/>
      <c r="I52" s="1807"/>
      <c r="J52" s="2523">
        <v>1</v>
      </c>
      <c r="K52" s="3632" t="s">
        <v>1355</v>
      </c>
      <c r="L52" s="3632"/>
      <c r="M52" s="2525" t="b">
        <f>D48</f>
        <v>0</v>
      </c>
      <c r="N52" s="2523" t="str">
        <f>E48</f>
        <v>销售额×税（费）率</v>
      </c>
      <c r="O52" s="2526">
        <f>F48</f>
        <v>5.6000000000000001E-2</v>
      </c>
    </row>
    <row r="53" spans="1:35" ht="12" customHeight="1">
      <c r="A53" s="2335" t="s">
        <v>1356</v>
      </c>
      <c r="B53" s="3593" t="s">
        <v>2291</v>
      </c>
      <c r="C53" s="3594"/>
      <c r="D53" s="1087">
        <f ca="1">ROUND(D45*'数据-取费表'!B41/(1+'数据-取费表'!C42),0)</f>
        <v>144</v>
      </c>
      <c r="E53" s="2334" t="s">
        <v>1354</v>
      </c>
      <c r="F53" s="2554">
        <f>'数据-取费表'!B41</f>
        <v>5.6000000000000001E-2</v>
      </c>
      <c r="G53" s="2555"/>
      <c r="H53" s="2544"/>
      <c r="I53" s="1807"/>
      <c r="J53" s="2523">
        <v>2</v>
      </c>
      <c r="K53" s="3632" t="s">
        <v>1357</v>
      </c>
      <c r="L53" s="3632"/>
      <c r="M53" s="2525">
        <f t="shared" ref="M53:O54" ca="1" si="0">D55</f>
        <v>1</v>
      </c>
      <c r="N53" s="2523" t="str">
        <f t="shared" si="0"/>
        <v>销售额×税（费）率</v>
      </c>
      <c r="O53" s="2526" t="str">
        <f t="shared" si="0"/>
        <v>免征</v>
      </c>
    </row>
    <row r="54" spans="1:35" ht="12" customHeight="1">
      <c r="A54" s="2335" t="s">
        <v>1358</v>
      </c>
      <c r="B54" s="3593" t="s">
        <v>2292</v>
      </c>
      <c r="C54" s="3594"/>
      <c r="D54" s="1087">
        <f ca="1">C68</f>
        <v>144</v>
      </c>
      <c r="E54" s="327" t="s">
        <v>1359</v>
      </c>
      <c r="F54" s="2554">
        <f>'数据-取费表'!B41</f>
        <v>5.6000000000000001E-2</v>
      </c>
      <c r="G54" s="2555"/>
      <c r="H54" s="2556"/>
      <c r="I54" s="1807"/>
      <c r="J54" s="2523">
        <v>3</v>
      </c>
      <c r="K54" s="3632" t="s">
        <v>1360</v>
      </c>
      <c r="L54" s="3632"/>
      <c r="M54" s="2525">
        <f t="shared" ca="1" si="0"/>
        <v>1533</v>
      </c>
      <c r="N54" s="2523" t="str">
        <f t="shared" si="0"/>
        <v>增值额×税（费）率</v>
      </c>
      <c r="O54" s="2527" t="str">
        <f t="shared" si="0"/>
        <v>免征</v>
      </c>
    </row>
    <row r="55" spans="1:35" ht="24" customHeight="1">
      <c r="A55" s="3582" t="s">
        <v>1361</v>
      </c>
      <c r="B55" s="3583"/>
      <c r="C55" s="3583"/>
      <c r="D55" s="2324">
        <f ca="1">IF(H55="个人住宅",0,ROUND(D45*I55,0))</f>
        <v>1</v>
      </c>
      <c r="E55" s="2334" t="s">
        <v>1362</v>
      </c>
      <c r="F55" s="2554" t="str">
        <f>IF(H55="正常",I55,"免征")</f>
        <v>免征</v>
      </c>
      <c r="G55" s="2555"/>
      <c r="H55" s="2550"/>
      <c r="I55" s="165">
        <f>'数据-取费表'!B49</f>
        <v>5.0000000000000001E-4</v>
      </c>
      <c r="J55" s="2523">
        <f>IF(H59="非个人房产","",4)</f>
        <v>4</v>
      </c>
      <c r="K55" s="3632" t="str">
        <f>IF(H59="非个人房产","——","个人所得税")</f>
        <v>个人所得税</v>
      </c>
      <c r="L55" s="3632"/>
      <c r="M55" s="2528">
        <f ca="1">D59</f>
        <v>26</v>
      </c>
      <c r="N55" s="2040" t="str">
        <f>E59</f>
        <v>差额计税</v>
      </c>
      <c r="O55" s="2529">
        <f>F59</f>
        <v>0.01</v>
      </c>
    </row>
    <row r="56" spans="1:35" ht="24.75">
      <c r="A56" s="3582" t="s">
        <v>1363</v>
      </c>
      <c r="B56" s="3583"/>
      <c r="C56" s="3583"/>
      <c r="D56" s="2324">
        <f ca="1">IF(H56="个人住宅",D57,D58)</f>
        <v>1533</v>
      </c>
      <c r="E56" s="2334" t="s">
        <v>1364</v>
      </c>
      <c r="F56" s="2554" t="str">
        <f>IF(H56="正常",F58,"免征")</f>
        <v>免征</v>
      </c>
      <c r="G56" s="2557" t="s">
        <v>1365</v>
      </c>
      <c r="H56" s="2558"/>
      <c r="I56" s="1808"/>
      <c r="J56" s="2523" t="str">
        <f>IF(项目基本情况!K6="上海银行",IF(J55="",4,J55+1),"")</f>
        <v/>
      </c>
      <c r="K56" s="3655" t="str">
        <f>IF(项目基本情况!K6="上海银行","其他处置费用","")</f>
        <v/>
      </c>
      <c r="L56" s="3656"/>
      <c r="M56" s="2525" t="str">
        <f>IF(项目基本情况!K6="上海银行",M69,"")</f>
        <v/>
      </c>
      <c r="N56" s="3655" t="str">
        <f>IF(项目基本情况!K6="上海银行","包含处置中涉及的律师、诉讼、拍卖、评估等费用","")</f>
        <v/>
      </c>
      <c r="O56" s="3658"/>
    </row>
    <row r="57" spans="1:35" ht="12.75">
      <c r="A57" s="2335" t="s">
        <v>1341</v>
      </c>
      <c r="B57" s="3593" t="s">
        <v>1366</v>
      </c>
      <c r="C57" s="3594"/>
      <c r="D57" s="1590">
        <v>0</v>
      </c>
      <c r="E57" s="324" t="s">
        <v>1343</v>
      </c>
      <c r="F57" s="302"/>
      <c r="G57" s="2555"/>
      <c r="H57" s="2559"/>
      <c r="I57" s="1808"/>
      <c r="J57" s="3632">
        <f>IF(AND(J55="",J56=""),4,IF(项目基本情况!K6="上海银行",结果表!J56+1,结果表!J55+1))</f>
        <v>5</v>
      </c>
      <c r="K57" s="3632" t="s">
        <v>1367</v>
      </c>
      <c r="L57" s="2530" t="s">
        <v>1368</v>
      </c>
      <c r="M57" s="2531"/>
      <c r="N57" s="2532">
        <f ca="1">SUMIF(M52:M56,"&lt;9e307")</f>
        <v>1560</v>
      </c>
      <c r="O57" s="2533"/>
      <c r="P57" s="2690">
        <f ca="1">N57/M49</f>
        <v>0.57628370890284453</v>
      </c>
    </row>
    <row r="58" spans="1:35" ht="24.75">
      <c r="A58" s="2335" t="s">
        <v>1352</v>
      </c>
      <c r="B58" s="3593" t="s">
        <v>1369</v>
      </c>
      <c r="C58" s="3567"/>
      <c r="D58" s="2324">
        <f ca="1">IF(H58="转让取得",C81,C97)</f>
        <v>1533</v>
      </c>
      <c r="E58" s="2334" t="s">
        <v>1364</v>
      </c>
      <c r="F58" s="302" t="s">
        <v>28</v>
      </c>
      <c r="G58" s="2555"/>
      <c r="H58" s="2558"/>
      <c r="I58" s="1808"/>
      <c r="J58" s="3632"/>
      <c r="K58" s="3632"/>
      <c r="L58" s="2530" t="s">
        <v>1370</v>
      </c>
      <c r="M58" s="2534"/>
      <c r="N58" s="2535" t="str">
        <f ca="1">NUMBERSTRING(INT(N57*10000),2)&amp;"元整"</f>
        <v>壹仟伍佰陆拾万元整</v>
      </c>
      <c r="O58" s="2536"/>
    </row>
    <row r="59" spans="1:35" ht="24.75" thickBot="1">
      <c r="A59" s="3635" t="s">
        <v>1371</v>
      </c>
      <c r="B59" s="3636"/>
      <c r="C59" s="3636"/>
      <c r="D59" s="2560">
        <f ca="1">IF(H59="非个人房产","——",IF(H59="个人住宅（满五唯一有凭证）",0,IF(H59="个人其他（无凭证）",ROUND(D45*F59,0),ROUND(C67*F59,0))))</f>
        <v>26</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633">
        <f>J57+1</f>
        <v>6</v>
      </c>
      <c r="K59" s="3632" t="s">
        <v>1372</v>
      </c>
      <c r="L59" s="2523" t="s">
        <v>1368</v>
      </c>
      <c r="M59" s="2537"/>
      <c r="N59" s="2538">
        <f ca="1">M49-N57</f>
        <v>1147</v>
      </c>
      <c r="O59" s="2539"/>
    </row>
    <row r="60" spans="1:35" ht="12" customHeight="1">
      <c r="A60" s="1809"/>
      <c r="B60" s="1747"/>
      <c r="C60" s="1747"/>
      <c r="D60" s="1747"/>
      <c r="E60" s="1578"/>
      <c r="F60" s="1808"/>
      <c r="G60" s="1808"/>
      <c r="H60" s="1810"/>
      <c r="I60" s="129"/>
      <c r="J60" s="3634"/>
      <c r="K60" s="3632"/>
      <c r="L60" s="2530" t="s">
        <v>1370</v>
      </c>
      <c r="M60" s="2534"/>
      <c r="N60" s="2535" t="str">
        <f ca="1">NUMBERSTRING(INT(N59*10000),2)&amp;"元整"</f>
        <v>壹仟壹佰肆拾柒万元整</v>
      </c>
      <c r="O60" s="2536"/>
    </row>
    <row r="61" spans="1:35" ht="13.5" thickBot="1">
      <c r="A61" s="3580" t="s">
        <v>1373</v>
      </c>
      <c r="B61" s="3580"/>
      <c r="C61" s="3580"/>
      <c r="D61" s="3580"/>
      <c r="E61" s="3580"/>
      <c r="F61" s="1808"/>
      <c r="G61" s="1808"/>
      <c r="H61" s="1810"/>
      <c r="I61" s="129"/>
      <c r="J61" s="2523">
        <f>J59+1</f>
        <v>7</v>
      </c>
      <c r="K61" s="3632" t="s">
        <v>1374</v>
      </c>
      <c r="L61" s="3632"/>
      <c r="M61" s="2540"/>
      <c r="N61" s="2541">
        <f ca="1">ROUND(N59*10000/'数据-汇总表'!E3,0)</f>
        <v>1117</v>
      </c>
      <c r="O61" s="2542"/>
    </row>
    <row r="62" spans="1:35" ht="12.75">
      <c r="A62" s="3598" t="s">
        <v>1375</v>
      </c>
      <c r="B62" s="3599"/>
      <c r="C62" s="2021"/>
      <c r="D62" s="2021" t="s">
        <v>1376</v>
      </c>
      <c r="E62" s="166" t="s">
        <v>1377</v>
      </c>
      <c r="F62" s="1808"/>
      <c r="G62" s="1808"/>
      <c r="H62" s="1810"/>
      <c r="I62" s="129"/>
    </row>
    <row r="63" spans="1:35" ht="12.75">
      <c r="A63" s="173" t="s">
        <v>330</v>
      </c>
      <c r="B63" s="167" t="s">
        <v>1378</v>
      </c>
      <c r="C63" s="2564">
        <f ca="1">ROUND((C64+C65)/(1+'数据-取费表'!C42),0)</f>
        <v>2578</v>
      </c>
      <c r="D63" s="167"/>
      <c r="E63" s="168"/>
      <c r="F63" s="1808"/>
      <c r="G63" s="1808"/>
      <c r="H63" s="1810"/>
      <c r="I63" s="129"/>
      <c r="J63" s="3657" t="s">
        <v>1379</v>
      </c>
      <c r="K63" s="1332" t="s">
        <v>1380</v>
      </c>
      <c r="L63" s="1332">
        <f ca="1">IF(M49&gt;10000,M49*0.5%,IF(AND(M49&gt;1000,M49&lt;=10000),M49*1%,IF(AND(M49&gt;100,M49&lt;=1000),M49*3%,IF(AND(M49&gt;10,M49&lt;=100),M49*5%,M49*8%))))</f>
        <v>27.07</v>
      </c>
      <c r="M63" s="302">
        <f ca="1">ROUND(L63,1)</f>
        <v>27.1</v>
      </c>
      <c r="N63" s="2543"/>
      <c r="Z63" s="1752"/>
      <c r="AI63" s="1753"/>
    </row>
    <row r="64" spans="1:35" ht="14.25" customHeight="1">
      <c r="A64" s="169" t="s">
        <v>325</v>
      </c>
      <c r="B64" s="170" t="s">
        <v>1381</v>
      </c>
      <c r="C64" s="2565">
        <f ca="1">D45</f>
        <v>2707</v>
      </c>
      <c r="D64" s="170" t="s">
        <v>26</v>
      </c>
      <c r="E64" s="172"/>
      <c r="F64" s="1808"/>
      <c r="G64" s="1808"/>
      <c r="H64" s="1810"/>
      <c r="I64" s="129"/>
      <c r="J64" s="3657"/>
      <c r="K64" s="1332" t="s">
        <v>1382</v>
      </c>
      <c r="L64" s="1332">
        <f ca="1">IF(M49&gt;2000,M49*0.5%,IF(AND(M49&gt;1000,M49&lt;=2000),M49*0.6%,IF(AND(M49&gt;500,M49&lt;=1000),M49*0.7%,IF(AND(M49&gt;200,M49&lt;=500),M49*0.8%,IF(AND(M49&gt;100,M49&lt;=200),M49*0.9%,IF(AND(M49&gt;50,M49&lt;=100),M49*1%,IF(AND(M49&gt;20,M49&lt;=50),M49*1.5%,IF(AND(M49&gt;10,M49&lt;=20),M49*2%,IF(AND(M49&gt;1,M49&lt;=10),M49*2.5%)))))))))</f>
        <v>13.535</v>
      </c>
      <c r="M64" s="302">
        <f t="shared" ref="M64:M65" ca="1" si="1">ROUND(L64,1)</f>
        <v>13.5</v>
      </c>
      <c r="N64" s="2544" t="s">
        <v>1383</v>
      </c>
      <c r="Z64" s="1752"/>
      <c r="AI64" s="1753"/>
    </row>
    <row r="65" spans="1:35" ht="14.25" customHeight="1">
      <c r="A65" s="169" t="s">
        <v>326</v>
      </c>
      <c r="B65" s="170" t="s">
        <v>1384</v>
      </c>
      <c r="C65" s="2566"/>
      <c r="D65" s="170"/>
      <c r="E65" s="172"/>
      <c r="F65" s="1808"/>
      <c r="G65" s="1808"/>
      <c r="H65" s="1810"/>
      <c r="I65" s="129"/>
      <c r="J65" s="3657"/>
      <c r="K65" s="1332" t="s">
        <v>1385</v>
      </c>
      <c r="L65" s="1332">
        <f ca="1">IF(M49&gt;1000,M49*0.1%,IF(AND(M49&gt;500,M49&lt;=1000),M49*0.5%,IF(AND(M49&gt;50,M49&lt;=500),M49*1%,IF(AND(M49&gt;1,M49&lt;=50),M49*1.5%))))</f>
        <v>2.7069999999999999</v>
      </c>
      <c r="M65" s="302">
        <f t="shared" ca="1" si="1"/>
        <v>2.7</v>
      </c>
      <c r="N65" s="2544" t="s">
        <v>1383</v>
      </c>
      <c r="Z65" s="1752"/>
      <c r="AI65" s="1753"/>
    </row>
    <row r="66" spans="1:35" ht="14.25" customHeight="1">
      <c r="A66" s="173" t="s">
        <v>327</v>
      </c>
      <c r="B66" s="174" t="s">
        <v>1386</v>
      </c>
      <c r="C66" s="2567"/>
      <c r="D66" s="174" t="s">
        <v>26</v>
      </c>
      <c r="E66" s="1338" t="s">
        <v>671</v>
      </c>
      <c r="F66" s="1808"/>
      <c r="G66" s="1808"/>
      <c r="H66" s="1810"/>
      <c r="I66" s="129"/>
      <c r="J66" s="3657"/>
      <c r="K66" s="1332" t="s">
        <v>1387</v>
      </c>
      <c r="L66" s="1332">
        <f ca="1">M49*0.5%</f>
        <v>13.535</v>
      </c>
      <c r="M66" s="302">
        <f ca="1">IF(L66&gt;0.5,0.5,ROUND(L66,0))</f>
        <v>0.5</v>
      </c>
      <c r="N66" s="2544" t="s">
        <v>1388</v>
      </c>
      <c r="Z66" s="1752"/>
      <c r="AI66" s="1753"/>
    </row>
    <row r="67" spans="1:35" ht="14.25" customHeight="1">
      <c r="A67" s="173" t="s">
        <v>328</v>
      </c>
      <c r="B67" s="174" t="s">
        <v>1389</v>
      </c>
      <c r="C67" s="2568">
        <f ca="1">C63-C66</f>
        <v>2578</v>
      </c>
      <c r="D67" s="170" t="s">
        <v>26</v>
      </c>
      <c r="E67" s="172"/>
      <c r="F67" s="1808"/>
      <c r="G67" s="1808"/>
      <c r="H67" s="1810"/>
      <c r="I67" s="129"/>
      <c r="J67" s="3657"/>
      <c r="K67" s="1332" t="s">
        <v>1390</v>
      </c>
      <c r="L67" s="1332">
        <f ca="1">IF(M49&gt;=10000,(8.25+(M49-10000)*0.01%),IF(AND(M49&gt;=8000,M49&lt;10000),(7.85+(M49-8000)*0.02%),IF(AND(M49&gt;=5000,M49&lt;8000),(6.65+(M49-5000)*0.04%),IF(AND(M49&gt;=2000,M49&lt;5000),(4.25+(PM49-2000)*0.08%),IF(AND(M49&gt;=1000,M49&lt;2000),(2.75+(M49-1000)*0.15%),IF(AND(M49&gt;=100,M49&lt;1000),(0.5+(M49-100)*0.25%),IF(AND(M49&gt;0,M49&lt;100),M49*0.5%)))))))</f>
        <v>2.65</v>
      </c>
      <c r="M67" s="302">
        <f ca="1">ROUND(L67*0.9,1)</f>
        <v>2.4</v>
      </c>
      <c r="N67" s="2543"/>
      <c r="Z67" s="1752"/>
      <c r="AI67" s="1753"/>
    </row>
    <row r="68" spans="1:35" ht="14.25" customHeight="1" thickBot="1">
      <c r="A68" s="176" t="s">
        <v>329</v>
      </c>
      <c r="B68" s="177" t="s">
        <v>1391</v>
      </c>
      <c r="C68" s="2569">
        <f ca="1">IF(C67&lt;=0,0,ROUND(C67*D68,0))</f>
        <v>144</v>
      </c>
      <c r="D68" s="2570">
        <f>'数据-取费表'!B41</f>
        <v>5.6000000000000001E-2</v>
      </c>
      <c r="E68" s="178"/>
      <c r="F68" s="1808"/>
      <c r="G68" s="1808"/>
      <c r="H68" s="1810"/>
      <c r="I68" s="129"/>
      <c r="J68" s="3657"/>
      <c r="K68" s="1332" t="s">
        <v>1392</v>
      </c>
      <c r="L68" s="1332">
        <f ca="1">IF(M49&gt;10000,M49*0.5%,IF(AND(M49&gt;5000,M49&lt;=10000),M49*1%,IF(AND(M49&gt;1000,M49&lt;=5000),M49*2%,IF(AND(M49&gt;200,M49&lt;=1000),M49*3%,M49*5%))))</f>
        <v>54.14</v>
      </c>
      <c r="M68" s="302">
        <f ca="1">ROUND(L68,1)</f>
        <v>54.1</v>
      </c>
      <c r="N68" s="2543"/>
      <c r="Z68" s="1752"/>
      <c r="AI68" s="1753"/>
    </row>
    <row r="69" spans="1:35" s="1772" customFormat="1" ht="16.5" customHeight="1">
      <c r="A69" s="1811"/>
      <c r="B69" s="1812"/>
      <c r="C69" s="1813"/>
      <c r="D69" s="1814"/>
      <c r="E69" s="1815"/>
      <c r="F69" s="1578"/>
      <c r="G69" s="1578"/>
      <c r="H69" s="1577"/>
      <c r="I69" s="1747"/>
      <c r="J69" s="3657"/>
      <c r="K69" s="1332" t="s">
        <v>1393</v>
      </c>
      <c r="L69" s="1332"/>
      <c r="M69" s="302">
        <f ca="1">ROUND(SUM(M63:M68),0)</f>
        <v>100</v>
      </c>
      <c r="N69" s="2545">
        <f ca="1">M69/M49</f>
        <v>3.6941263391207978E-2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19" t="s">
        <v>1394</v>
      </c>
      <c r="B70" s="3620"/>
      <c r="C70" s="3620"/>
      <c r="D70" s="3620"/>
      <c r="E70" s="3620"/>
      <c r="F70" s="3620"/>
      <c r="G70" s="3620"/>
      <c r="H70" s="3620"/>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8" t="s">
        <v>1375</v>
      </c>
      <c r="B71" s="3599"/>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2578</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15</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93" t="s">
        <v>1402</v>
      </c>
      <c r="F76" s="3567"/>
      <c r="G76" s="3567"/>
      <c r="H76" s="3618"/>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15</v>
      </c>
      <c r="D78" s="2577">
        <f>'数据-取费表'!B43</f>
        <v>6.000000000000001E-3</v>
      </c>
      <c r="E78" s="3577" t="s">
        <v>1406</v>
      </c>
      <c r="F78" s="3578"/>
      <c r="G78" s="3578"/>
      <c r="H78" s="3587"/>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2563</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170.86666666666667</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1533</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19" t="s">
        <v>1410</v>
      </c>
      <c r="B83" s="3620"/>
      <c r="C83" s="3620"/>
      <c r="D83" s="3620"/>
      <c r="E83" s="3620"/>
      <c r="F83" s="3620"/>
      <c r="G83" s="3620"/>
      <c r="H83" s="3620"/>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8" t="s">
        <v>1375</v>
      </c>
      <c r="B84" s="3599"/>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2578</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15</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59" t="s">
        <v>2129</v>
      </c>
      <c r="H90" s="3660"/>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77" t="s">
        <v>1419</v>
      </c>
      <c r="F91" s="3578"/>
      <c r="G91" s="3578"/>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77" t="s">
        <v>1422</v>
      </c>
      <c r="F92" s="3578"/>
      <c r="G92" s="3578"/>
      <c r="H92" s="3587"/>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15</v>
      </c>
      <c r="D93" s="2577">
        <f>'数据-取费表'!B43</f>
        <v>6.000000000000001E-3</v>
      </c>
      <c r="E93" s="3577" t="s">
        <v>1406</v>
      </c>
      <c r="F93" s="3578"/>
      <c r="G93" s="3578"/>
      <c r="H93" s="3587"/>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88" t="s">
        <v>1426</v>
      </c>
      <c r="F94" s="3589"/>
      <c r="G94" s="3589"/>
      <c r="H94" s="3590"/>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2563</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170.86666666666667</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1533</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1" t="s">
        <v>1428</v>
      </c>
      <c r="B100" s="3562"/>
      <c r="C100" s="3562"/>
      <c r="D100" s="3579"/>
      <c r="E100" s="3562" t="s">
        <v>1429</v>
      </c>
      <c r="F100" s="3562"/>
      <c r="G100" s="3562"/>
      <c r="H100" s="3579"/>
      <c r="I100" s="129"/>
    </row>
    <row r="101" spans="1:35" ht="18.75" customHeight="1">
      <c r="A101" s="3640" t="s">
        <v>1430</v>
      </c>
      <c r="B101" s="3641"/>
      <c r="C101" s="2585" t="str">
        <f>C4</f>
        <v>成本法</v>
      </c>
      <c r="D101" s="2586" t="str">
        <f>D4</f>
        <v>收益法(仓储)</v>
      </c>
      <c r="E101" s="3654" t="s">
        <v>1431</v>
      </c>
      <c r="F101" s="3611"/>
      <c r="G101" s="1827" t="s">
        <v>1432</v>
      </c>
      <c r="H101" s="2595">
        <f ca="1">H118</f>
        <v>2707</v>
      </c>
      <c r="I101" s="129"/>
    </row>
    <row r="102" spans="1:35" ht="18.75" customHeight="1">
      <c r="A102" s="3613" t="s">
        <v>1433</v>
      </c>
      <c r="B102" s="2584" t="s">
        <v>1432</v>
      </c>
      <c r="C102" s="2585">
        <f ca="1">IF(D32="楼面单价",ROUND(C19,0),C19)</f>
        <v>1329</v>
      </c>
      <c r="D102" s="2586">
        <f ca="1">IF(D32="楼面单价",ROUND(D19,0),D19)</f>
        <v>3626</v>
      </c>
      <c r="E102" s="3654"/>
      <c r="F102" s="3611"/>
      <c r="G102" s="1827" t="s">
        <v>1434</v>
      </c>
      <c r="H102" s="2555">
        <f ca="1">I118</f>
        <v>13345</v>
      </c>
      <c r="I102" s="129"/>
    </row>
    <row r="103" spans="1:35" ht="42.75" customHeight="1">
      <c r="A103" s="3613"/>
      <c r="B103" s="2584" t="s">
        <v>1434</v>
      </c>
      <c r="C103" s="2587">
        <f ca="1">C20</f>
        <v>6552</v>
      </c>
      <c r="D103" s="2588">
        <f ca="1">D20</f>
        <v>17875</v>
      </c>
      <c r="E103" s="3648" t="s">
        <v>1435</v>
      </c>
      <c r="F103" s="3649"/>
      <c r="G103" s="1828" t="s">
        <v>1436</v>
      </c>
      <c r="H103" s="2595">
        <f>IF(D36="正常操作",H104+H105+H106,H105+H106)</f>
        <v>0</v>
      </c>
      <c r="I103" s="129"/>
    </row>
    <row r="104" spans="1:35" ht="18.75" customHeight="1">
      <c r="A104" s="3613" t="s">
        <v>1437</v>
      </c>
      <c r="B104" s="2589" t="s">
        <v>1432</v>
      </c>
      <c r="C104" s="2590">
        <f ca="1">H118</f>
        <v>2707</v>
      </c>
      <c r="D104" s="2591"/>
      <c r="E104" s="1674" t="s">
        <v>1438</v>
      </c>
      <c r="F104" s="1666"/>
      <c r="G104" s="1828" t="s">
        <v>1436</v>
      </c>
      <c r="H104" s="2596">
        <f>IF(D36="同一抵押权人同一抵押物续贷",C36&amp;"（续贷，未扣减，详见特别提示）",C36)</f>
        <v>0</v>
      </c>
      <c r="I104" s="129"/>
    </row>
    <row r="105" spans="1:35" ht="18.75" customHeight="1" thickBot="1">
      <c r="A105" s="3614"/>
      <c r="B105" s="2592" t="s">
        <v>1434</v>
      </c>
      <c r="C105" s="2593">
        <f ca="1">I118</f>
        <v>13345</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10" t="str">
        <f>IF(项目基本情况!E8="已注销","——","3.房地产抵押价值")</f>
        <v>3.房地产抵押价值</v>
      </c>
      <c r="F107" s="3611"/>
      <c r="G107" s="1827" t="s">
        <v>1432</v>
      </c>
      <c r="H107" s="2595">
        <f ca="1">IF(E107="——","——",H101-H103)</f>
        <v>2707</v>
      </c>
      <c r="I107" s="129"/>
    </row>
    <row r="108" spans="1:35" ht="18.75" customHeight="1">
      <c r="A108" s="129"/>
      <c r="B108" s="129"/>
      <c r="C108" s="129"/>
      <c r="D108" s="129"/>
      <c r="E108" s="3610"/>
      <c r="F108" s="3611"/>
      <c r="G108" s="1827" t="s">
        <v>1434</v>
      </c>
      <c r="H108" s="2555">
        <f ca="1">IF(H107=H101,H102,ROUND(H107*10000/'数据-汇总表'!E3,0))</f>
        <v>13345</v>
      </c>
      <c r="I108" s="129"/>
    </row>
    <row r="109" spans="1:35" ht="18.75" customHeight="1">
      <c r="A109" s="129"/>
      <c r="B109" s="129"/>
      <c r="C109" s="129"/>
      <c r="D109" s="129"/>
      <c r="E109" s="3610" t="str">
        <f>IF(项目基本情况!E8="已注销及未注销","4.抵押担保权已注销时的房地产抵押价值",IF(项目基本情况!E8="已注销","3.抵押担保权已注销时的房地产抵押价值","——"))</f>
        <v>——</v>
      </c>
      <c r="F109" s="3611"/>
      <c r="G109" s="1827" t="s">
        <v>1432</v>
      </c>
      <c r="H109" s="2598" t="str">
        <f>IF(E109="——","——",H101-H105-H106)</f>
        <v>——</v>
      </c>
      <c r="I109" s="129"/>
    </row>
    <row r="110" spans="1:35" ht="18.75" customHeight="1">
      <c r="A110" s="129"/>
      <c r="B110" s="129"/>
      <c r="C110" s="129"/>
      <c r="D110" s="129"/>
      <c r="E110" s="3610"/>
      <c r="F110" s="3611"/>
      <c r="G110" s="1827" t="s">
        <v>1434</v>
      </c>
      <c r="H110" s="2555" t="str">
        <f>IF(H109="——","——",ROUND(H109*10000/'数据-汇总表'!E3,0))</f>
        <v>——</v>
      </c>
      <c r="I110" s="129"/>
    </row>
    <row r="111" spans="1:35" ht="18.75" customHeight="1">
      <c r="A111" s="129"/>
      <c r="B111" s="129"/>
      <c r="C111" s="129"/>
      <c r="D111" s="129"/>
      <c r="E111" s="3642" t="str">
        <f>IF(项目基本情况!E9="抵押净值",IF(OR(项目基本情况!E8="已注销",项目基本情况!E8="房地产抵押价值"),"4.抵押净值","5.抵押净值"),"——")</f>
        <v>——</v>
      </c>
      <c r="F111" s="3612"/>
      <c r="G111" s="1827" t="s">
        <v>1432</v>
      </c>
      <c r="H111" s="2595" t="str">
        <f>IF(E111="——","——",N59)</f>
        <v>——</v>
      </c>
      <c r="I111" s="129"/>
    </row>
    <row r="112" spans="1:35" ht="18.75" customHeight="1" thickBot="1">
      <c r="A112" s="129"/>
      <c r="B112" s="129"/>
      <c r="C112" s="129"/>
      <c r="D112" s="129"/>
      <c r="E112" s="3643"/>
      <c r="F112" s="3644"/>
      <c r="G112" s="1830" t="s">
        <v>1434</v>
      </c>
      <c r="H112" s="2599" t="str">
        <f>IF(E111="——","——",N61)</f>
        <v>——</v>
      </c>
      <c r="I112" s="129"/>
    </row>
    <row r="113" spans="1:27" ht="18.75" customHeight="1">
      <c r="A113" s="129"/>
      <c r="B113" s="129"/>
      <c r="C113" s="129"/>
      <c r="D113" s="129"/>
      <c r="E113" s="3615" t="s">
        <v>1440</v>
      </c>
      <c r="F113" s="3615"/>
      <c r="G113" s="3615"/>
      <c r="H113" s="3615"/>
      <c r="I113" s="129"/>
    </row>
    <row r="114" spans="1:27" ht="3.75" customHeight="1">
      <c r="A114" s="1747"/>
      <c r="B114" s="1747"/>
      <c r="C114" s="1747"/>
      <c r="D114" s="1747"/>
      <c r="E114" s="1809"/>
      <c r="F114" s="1809"/>
      <c r="G114" s="1809"/>
      <c r="H114" s="1809"/>
      <c r="I114" s="1747"/>
    </row>
    <row r="115" spans="1:27" ht="18.75" customHeight="1">
      <c r="A115" s="3625" t="s">
        <v>1442</v>
      </c>
      <c r="B115" s="3626"/>
      <c r="C115" s="3626"/>
      <c r="D115" s="3626"/>
      <c r="E115" s="3626"/>
      <c r="F115" s="3626"/>
      <c r="G115" s="3626"/>
      <c r="H115" s="3626"/>
      <c r="I115" s="3627"/>
    </row>
    <row r="116" spans="1:27" ht="27" customHeight="1">
      <c r="A116" s="3581" t="s">
        <v>1443</v>
      </c>
      <c r="B116" s="3616" t="s">
        <v>1444</v>
      </c>
      <c r="C116" s="3616" t="s">
        <v>1445</v>
      </c>
      <c r="D116" s="3629" t="s">
        <v>1446</v>
      </c>
      <c r="E116" s="3630"/>
      <c r="F116" s="3624" t="s">
        <v>1447</v>
      </c>
      <c r="G116" s="3624"/>
      <c r="H116" s="3581" t="s">
        <v>1448</v>
      </c>
      <c r="I116" s="3581"/>
    </row>
    <row r="117" spans="1:27" ht="18.75" customHeight="1">
      <c r="A117" s="3581"/>
      <c r="B117" s="3617"/>
      <c r="C117" s="3617"/>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2028.52</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2707</v>
      </c>
      <c r="I118" s="2329">
        <f ca="1">ROUND(IF(D32="楼面单价",C32,H118*10000/B118),0)</f>
        <v>13345</v>
      </c>
    </row>
    <row r="119" spans="1:27" ht="18.75" customHeight="1">
      <c r="A119" s="3581" t="s">
        <v>1452</v>
      </c>
      <c r="B119" s="3581"/>
      <c r="C119" s="3581"/>
      <c r="D119" s="3621" t="e">
        <f ca="1">NUMBERSTRING(INT(D118*10000),2)&amp;"元整"</f>
        <v>#REF!</v>
      </c>
      <c r="E119" s="3623"/>
      <c r="F119" s="3621" t="e">
        <f ca="1">NUMBERSTRING(INT(F118*10000),2)&amp;"元整"</f>
        <v>#REF!</v>
      </c>
      <c r="G119" s="3623"/>
      <c r="H119" s="3621" t="str">
        <f ca="1">NUMBERSTRING(INT(H118*10000),2)&amp;"元整"</f>
        <v>贰仟柒佰零柒万元整</v>
      </c>
      <c r="I119" s="3623"/>
    </row>
    <row r="120" spans="1:27" ht="18.75" customHeight="1">
      <c r="A120" s="3645" t="str">
        <f>IF(项目基本情况!B9="房地产市场价值","",MID(E103,3,LEN(E103)-2))</f>
        <v>估价师知悉的法定优先受偿款</v>
      </c>
      <c r="B120" s="3646"/>
      <c r="C120" s="3647"/>
      <c r="D120" s="3645">
        <f>H103</f>
        <v>0</v>
      </c>
      <c r="E120" s="3646"/>
      <c r="F120" s="3646"/>
      <c r="G120" s="3646"/>
      <c r="H120" s="3646"/>
      <c r="I120" s="3647"/>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1" t="s">
        <v>1452</v>
      </c>
      <c r="B121" s="3622"/>
      <c r="C121" s="3623"/>
      <c r="D121" s="3621" t="str">
        <f>IF(D120=0,"零元整",NUMBERSTRING(INT(D120*10000),2)&amp;"元整")</f>
        <v>零元整</v>
      </c>
      <c r="E121" s="3622"/>
      <c r="F121" s="3622"/>
      <c r="G121" s="3622"/>
      <c r="H121" s="3622"/>
      <c r="I121" s="3623"/>
      <c r="AA121" s="725"/>
    </row>
    <row r="122" spans="1:27" ht="18.75" customHeight="1">
      <c r="A122" s="3612" t="str">
        <f>IF(项目基本情况!B9="房地产市场价值","",MID(E107,3,LEN(E107)-2))</f>
        <v>房地产抵押价值</v>
      </c>
      <c r="B122" s="3612"/>
      <c r="C122" s="3612"/>
      <c r="D122" s="3645">
        <f ca="1">H107</f>
        <v>2707</v>
      </c>
      <c r="E122" s="3646"/>
      <c r="F122" s="3646"/>
      <c r="G122" s="3646"/>
      <c r="H122" s="3646"/>
      <c r="I122" s="3647"/>
      <c r="AA122" s="725"/>
    </row>
    <row r="123" spans="1:27" ht="18.75" customHeight="1">
      <c r="A123" s="3581" t="s">
        <v>1452</v>
      </c>
      <c r="B123" s="3581"/>
      <c r="C123" s="3581"/>
      <c r="D123" s="3621" t="str">
        <f ca="1">NUMBERSTRING(INT(D122*10000),2)&amp;"元整"</f>
        <v>贰仟柒佰零柒万元整</v>
      </c>
      <c r="E123" s="3622"/>
      <c r="F123" s="3622"/>
      <c r="G123" s="3622"/>
      <c r="H123" s="3622"/>
      <c r="I123" s="3623"/>
      <c r="AA123" s="725"/>
    </row>
    <row r="124" spans="1:27" ht="18.75" customHeight="1">
      <c r="A124" s="3612" t="str">
        <f>IF(项目基本情况!B9="房地产市场价值","",MID(E109,3,LEN(E109)-2))</f>
        <v/>
      </c>
      <c r="B124" s="3612"/>
      <c r="C124" s="3612"/>
      <c r="D124" s="3645" t="str">
        <f>H109</f>
        <v>——</v>
      </c>
      <c r="E124" s="3646"/>
      <c r="F124" s="3646"/>
      <c r="G124" s="3646"/>
      <c r="H124" s="3646"/>
      <c r="I124" s="3647"/>
      <c r="AA124" s="725"/>
    </row>
    <row r="125" spans="1:27" ht="18.75" customHeight="1">
      <c r="A125" s="3581" t="s">
        <v>1452</v>
      </c>
      <c r="B125" s="3581"/>
      <c r="C125" s="3581"/>
      <c r="D125" s="3621" t="e">
        <f>NUMBERSTRING(INT(D124*10000),2)&amp;"元整"</f>
        <v>#VALUE!</v>
      </c>
      <c r="E125" s="3622"/>
      <c r="F125" s="3622"/>
      <c r="G125" s="3622"/>
      <c r="H125" s="3622"/>
      <c r="I125" s="3623"/>
      <c r="AA125" s="725"/>
    </row>
    <row r="126" spans="1:27" ht="18.75" customHeight="1">
      <c r="A126" s="3612" t="str">
        <f>IF(项目基本情况!B9="房地产市场价值","",MID(E111,3,LEN(E111)-2))</f>
        <v/>
      </c>
      <c r="B126" s="3612"/>
      <c r="C126" s="3612"/>
      <c r="D126" s="3645" t="str">
        <f>H111</f>
        <v>——</v>
      </c>
      <c r="E126" s="3646"/>
      <c r="F126" s="3646"/>
      <c r="G126" s="3646"/>
      <c r="H126" s="3646"/>
      <c r="I126" s="3647"/>
      <c r="AA126" s="725"/>
    </row>
    <row r="127" spans="1:27" ht="18.75" customHeight="1">
      <c r="A127" s="3581" t="s">
        <v>1452</v>
      </c>
      <c r="B127" s="3581"/>
      <c r="C127" s="3581"/>
      <c r="D127" s="3621" t="e">
        <f>NUMBERSTRING(INT(D126*10000),2)&amp;"元整"</f>
        <v>#VALUE!</v>
      </c>
      <c r="E127" s="3622"/>
      <c r="F127" s="3622"/>
      <c r="G127" s="3622"/>
      <c r="H127" s="3622"/>
      <c r="I127" s="3623"/>
      <c r="AA127" s="725"/>
    </row>
    <row r="128" spans="1:27" ht="21.75" customHeight="1">
      <c r="A128" s="3628" t="s">
        <v>1453</v>
      </c>
      <c r="B128" s="3628"/>
      <c r="C128" s="3628"/>
      <c r="D128" s="3628"/>
      <c r="E128" s="3628"/>
      <c r="F128" s="3628"/>
      <c r="G128" s="3628"/>
      <c r="H128" s="3628"/>
      <c r="I128" s="3628"/>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1" priority="21" stopIfTrue="1" operator="equal">
      <formula>25</formula>
    </cfRule>
  </conditionalFormatting>
  <conditionalFormatting sqref="C8:C9">
    <cfRule type="cellIs" dxfId="190" priority="19" stopIfTrue="1" operator="equal">
      <formula>15</formula>
    </cfRule>
  </conditionalFormatting>
  <conditionalFormatting sqref="C14:C16">
    <cfRule type="cellIs" dxfId="189" priority="13" stopIfTrue="1" operator="equal">
      <formula>30</formula>
    </cfRule>
  </conditionalFormatting>
  <conditionalFormatting sqref="D5:D7">
    <cfRule type="cellIs" dxfId="188" priority="10" stopIfTrue="1" operator="equal">
      <formula>25</formula>
    </cfRule>
  </conditionalFormatting>
  <conditionalFormatting sqref="D8:D9">
    <cfRule type="cellIs" dxfId="187" priority="9" stopIfTrue="1" operator="equal">
      <formula>15</formula>
    </cfRule>
  </conditionalFormatting>
  <conditionalFormatting sqref="C10:D13">
    <cfRule type="cellIs" dxfId="186" priority="8" stopIfTrue="1" operator="equal">
      <formula>15</formula>
    </cfRule>
  </conditionalFormatting>
  <conditionalFormatting sqref="D14:D16">
    <cfRule type="cellIs" dxfId="185" priority="6" stopIfTrue="1" operator="equal">
      <formula>30</formula>
    </cfRule>
  </conditionalFormatting>
  <conditionalFormatting sqref="C90">
    <cfRule type="expression" dxfId="184" priority="3" stopIfTrue="1">
      <formula>$H$88&lt;&gt;"仅含出让金"</formula>
    </cfRule>
  </conditionalFormatting>
  <conditionalFormatting sqref="C91">
    <cfRule type="expression" dxfId="183" priority="2" stopIfTrue="1">
      <formula>$H$91="由企业提供"</formula>
    </cfRule>
  </conditionalFormatting>
  <conditionalFormatting sqref="E36">
    <cfRule type="expression" dxfId="18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C7" sqref="C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t="s">
        <v>3343</v>
      </c>
      <c r="C1" s="198"/>
      <c r="D1" s="198"/>
      <c r="E1" s="198"/>
      <c r="F1" s="198"/>
      <c r="G1" s="1126">
        <f>MATCH(B1,'数据-取费表'!A6:A16,0)+5</f>
        <v>7</v>
      </c>
    </row>
    <row r="2" spans="1:9" s="200" customFormat="1" ht="18" customHeight="1">
      <c r="A2" s="201" t="s">
        <v>1462</v>
      </c>
      <c r="B2" s="202">
        <f ca="1">IF(D2="——",C52,C52-E2)</f>
        <v>1329</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6552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391</v>
      </c>
      <c r="D5" s="211" t="s">
        <v>1469</v>
      </c>
      <c r="E5" s="212" t="s">
        <v>1470</v>
      </c>
      <c r="F5" s="212" t="s">
        <v>1471</v>
      </c>
      <c r="G5" s="213"/>
    </row>
    <row r="6" spans="1:9" s="214" customFormat="1" ht="13.5" customHeight="1">
      <c r="A6" s="778" t="s">
        <v>1472</v>
      </c>
      <c r="B6" s="215" t="s">
        <v>1473</v>
      </c>
      <c r="C6" s="216">
        <f>基准地价修正!E41</f>
        <v>340</v>
      </c>
      <c r="D6" s="217"/>
      <c r="E6" s="218"/>
      <c r="F6" s="218"/>
      <c r="G6" s="219"/>
    </row>
    <row r="7" spans="1:9" s="214" customFormat="1" ht="13.5" customHeight="1">
      <c r="A7" s="778" t="s">
        <v>1474</v>
      </c>
      <c r="B7" s="215" t="s">
        <v>1475</v>
      </c>
      <c r="C7" s="220">
        <f>ROUND(C6*F7,0)</f>
        <v>10</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41</v>
      </c>
      <c r="D8" s="222"/>
      <c r="E8" s="220"/>
      <c r="F8" s="221"/>
      <c r="G8" s="1856" t="s">
        <v>3400</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t="s">
        <v>3401</v>
      </c>
      <c r="H9" s="1137"/>
      <c r="I9" s="1858" t="s">
        <v>1479</v>
      </c>
    </row>
    <row r="10" spans="1:9" s="214" customFormat="1" ht="13.5" customHeight="1">
      <c r="A10" s="779" t="s">
        <v>356</v>
      </c>
      <c r="B10" s="224" t="s">
        <v>1480</v>
      </c>
      <c r="C10" s="225">
        <f ca="1">ROUND(D10*E10/10000,0)</f>
        <v>41</v>
      </c>
      <c r="D10" s="845">
        <f ca="1">IF(B1="",'数据-汇总表'!E6,IF(INDIRECT("'数据-取费表'!c"&amp;$G$1)="住宅",INDIRECT("'数据-取费表'!s"&amp;$G$1),INDIRECT("'数据-取费表'!k"&amp;$G$1)+INDIRECT("'数据-取费表'!s"&amp;$G$1)))</f>
        <v>2028.52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2028.52</v>
      </c>
      <c r="E19" s="211">
        <f>'数据-取费表'!B31</f>
        <v>200</v>
      </c>
      <c r="F19" s="231"/>
      <c r="G19" s="1856" t="s">
        <v>3402</v>
      </c>
    </row>
    <row r="20" spans="1:7" s="214" customFormat="1" ht="13.5" customHeight="1">
      <c r="A20" s="255" t="s">
        <v>1493</v>
      </c>
      <c r="B20" s="210" t="s">
        <v>1494</v>
      </c>
      <c r="C20" s="232">
        <f ca="1">ROUND((C5+C19)*F20,0)</f>
        <v>8</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33</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33</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40</v>
      </c>
      <c r="D27" s="235">
        <f ca="1">C29</f>
        <v>2E-3</v>
      </c>
      <c r="E27" s="236" t="s">
        <v>1514</v>
      </c>
      <c r="F27" s="246">
        <f ca="1">IF(B1="",'数据-取费表'!Q16,INDIRECT("'数据-取费表'!q"&amp;$G$1))</f>
        <v>0.1</v>
      </c>
      <c r="G27" s="247" t="s">
        <v>1515</v>
      </c>
    </row>
    <row r="28" spans="1:7" s="214" customFormat="1" ht="13.5" customHeight="1">
      <c r="A28" s="780" t="s">
        <v>346</v>
      </c>
      <c r="B28" s="248" t="s">
        <v>1516</v>
      </c>
      <c r="C28" s="249">
        <f ca="1">ROUND((C5+C19+C20)*F27*'数据-取费表'!B21/'数据-取费表'!B20,0)</f>
        <v>40</v>
      </c>
      <c r="D28" s="235"/>
      <c r="E28" s="236"/>
      <c r="F28" s="246"/>
      <c r="G28" s="247"/>
    </row>
    <row r="29" spans="1:7" s="214" customFormat="1" ht="13.5" customHeight="1">
      <c r="A29" s="780" t="s">
        <v>347</v>
      </c>
      <c r="B29" s="248" t="s">
        <v>1517</v>
      </c>
      <c r="C29" s="238">
        <f ca="1">ROUND(C21*F27*'数据-取费表'!B21/'数据-取费表'!B20,4)</f>
        <v>2E-3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511</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790</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710</v>
      </c>
      <c r="D34" s="217"/>
      <c r="E34" s="220"/>
      <c r="F34" s="257">
        <f ca="1">IF('数据-取费表'!B24=0,1,IF(B1="",'数据-取费表'!N16,INDIRECT("'数据-取费表'!n"&amp;$G$1)))</f>
        <v>1</v>
      </c>
      <c r="G34" s="219" t="s">
        <v>1526</v>
      </c>
    </row>
    <row r="35" spans="1:7" ht="13.5" customHeight="1">
      <c r="A35" s="780" t="s">
        <v>351</v>
      </c>
      <c r="B35" s="215" t="s">
        <v>1527</v>
      </c>
      <c r="C35" s="220">
        <f ca="1">ROUND(C34*F35,0)</f>
        <v>28</v>
      </c>
      <c r="D35" s="220"/>
      <c r="E35" s="220"/>
      <c r="F35" s="259">
        <f>'数据-取费表'!B33</f>
        <v>0.04</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41</v>
      </c>
      <c r="D37" s="217">
        <f ca="1">D19</f>
        <v>2028.52</v>
      </c>
      <c r="E37" s="249">
        <f>'数据-取费表'!B35</f>
        <v>200</v>
      </c>
      <c r="F37" s="259"/>
      <c r="G37" s="261" t="s">
        <v>1532</v>
      </c>
    </row>
    <row r="38" spans="1:7" ht="13.5" customHeight="1">
      <c r="A38" s="780" t="s">
        <v>354</v>
      </c>
      <c r="B38" s="215" t="s">
        <v>1533</v>
      </c>
      <c r="C38" s="220">
        <f ca="1">ROUND(C34*F38,0)</f>
        <v>11</v>
      </c>
      <c r="D38" s="220"/>
      <c r="E38" s="220"/>
      <c r="F38" s="259">
        <f>'数据-取费表'!B36</f>
        <v>1.4999999999999999E-2</v>
      </c>
      <c r="G38" s="219" t="s">
        <v>1528</v>
      </c>
    </row>
    <row r="39" spans="1:7" s="214" customFormat="1" ht="13.5" customHeight="1">
      <c r="A39" s="255" t="s">
        <v>1534</v>
      </c>
      <c r="B39" s="210" t="s">
        <v>1535</v>
      </c>
      <c r="C39" s="232">
        <f ca="1">ROUND(C33*F20,0)</f>
        <v>16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34</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33</v>
      </c>
      <c r="D42" s="238"/>
      <c r="E42" s="238"/>
      <c r="F42" s="239"/>
      <c r="G42" s="3661" t="s">
        <v>1544</v>
      </c>
    </row>
    <row r="43" spans="1:7" ht="13.5" customHeight="1">
      <c r="A43" s="780" t="s">
        <v>347</v>
      </c>
      <c r="B43" s="215" t="s">
        <v>1545</v>
      </c>
      <c r="C43" s="238">
        <f ca="1">ROUND(IF('数据-取费表'!B22&lt;=1,C39*F22*'数据-取费表'!B21/2,C39*(POWER((1+F22),'数据-取费表'!B21/2)-1)),0)</f>
        <v>1</v>
      </c>
      <c r="D43" s="238"/>
      <c r="E43" s="238"/>
      <c r="F43" s="239"/>
      <c r="G43" s="3662"/>
    </row>
    <row r="44" spans="1:7" ht="13.5" customHeight="1">
      <c r="A44" s="780" t="s">
        <v>348</v>
      </c>
      <c r="B44" s="215" t="s">
        <v>1546</v>
      </c>
      <c r="C44" s="238">
        <f ca="1">ROUND(IF('数据-取费表'!B22&lt;=1,C40*F22*'数据-取费表'!B21/2,C40*(POWER((1+F22),'数据-取费表'!B21/2)-1)),4)</f>
        <v>8.0000000000000004E-4</v>
      </c>
      <c r="D44" s="238"/>
      <c r="E44" s="238"/>
      <c r="F44" s="239"/>
      <c r="G44" s="3663"/>
    </row>
    <row r="45" spans="1:7" s="214" customFormat="1" ht="13.5" customHeight="1">
      <c r="A45" s="255" t="s">
        <v>1547</v>
      </c>
      <c r="B45" s="244" t="s">
        <v>1513</v>
      </c>
      <c r="C45" s="245">
        <f ca="1">C46</f>
        <v>81</v>
      </c>
      <c r="D45" s="235">
        <f ca="1">C47</f>
        <v>2E-3</v>
      </c>
      <c r="E45" s="236" t="s">
        <v>1539</v>
      </c>
      <c r="F45" s="246">
        <f ca="1">F27</f>
        <v>0.1</v>
      </c>
      <c r="G45" s="247" t="s">
        <v>1548</v>
      </c>
    </row>
    <row r="46" spans="1:7" s="214" customFormat="1" ht="13.5" customHeight="1">
      <c r="A46" s="780" t="s">
        <v>346</v>
      </c>
      <c r="B46" s="248" t="s">
        <v>1549</v>
      </c>
      <c r="C46" s="249">
        <f ca="1">ROUND((C33+C39)*F27,0)</f>
        <v>81</v>
      </c>
      <c r="D46" s="263"/>
      <c r="E46" s="236"/>
      <c r="F46" s="246"/>
      <c r="G46" s="247"/>
    </row>
    <row r="47" spans="1:7" s="214" customFormat="1" ht="13.5" customHeight="1">
      <c r="A47" s="780" t="s">
        <v>347</v>
      </c>
      <c r="B47" s="248" t="s">
        <v>1550</v>
      </c>
      <c r="C47" s="238">
        <f ca="1">ROUND(C40*F27,4)</f>
        <v>2E-3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997</v>
      </c>
      <c r="D49" s="232"/>
      <c r="E49" s="232"/>
      <c r="F49" s="264"/>
      <c r="G49" s="234" t="s">
        <v>1554</v>
      </c>
    </row>
    <row r="50" spans="1:7" s="258" customFormat="1" ht="24">
      <c r="A50" s="255" t="s">
        <v>1555</v>
      </c>
      <c r="B50" s="210" t="s">
        <v>1556</v>
      </c>
      <c r="C50" s="232"/>
      <c r="D50" s="232"/>
      <c r="E50" s="232"/>
      <c r="F50" s="264">
        <f>IF('数据-取费表'!B24=0,'数据-取费表'!N16,1)</f>
        <v>0.82</v>
      </c>
      <c r="G50" s="247" t="s">
        <v>1557</v>
      </c>
    </row>
    <row r="51" spans="1:7" ht="16.5" customHeight="1">
      <c r="A51" s="255" t="s">
        <v>1558</v>
      </c>
      <c r="B51" s="210" t="s">
        <v>1559</v>
      </c>
      <c r="C51" s="232">
        <f ca="1">ROUND(C49*F50,0)</f>
        <v>818</v>
      </c>
      <c r="D51" s="232"/>
      <c r="E51" s="232"/>
      <c r="F51" s="264"/>
      <c r="G51" s="234" t="s">
        <v>1560</v>
      </c>
    </row>
    <row r="52" spans="1:7" s="208" customFormat="1" ht="16.5" thickBot="1">
      <c r="A52" s="265" t="s">
        <v>1561</v>
      </c>
      <c r="B52" s="266"/>
      <c r="C52" s="267">
        <f ca="1">C31+C51</f>
        <v>1329</v>
      </c>
      <c r="D52" s="266"/>
      <c r="E52" s="266"/>
      <c r="F52" s="266"/>
      <c r="G52" s="268"/>
    </row>
    <row r="55" spans="1:7" ht="15">
      <c r="B55" s="270" t="s">
        <v>1562</v>
      </c>
      <c r="C55" s="271"/>
    </row>
    <row r="56" spans="1:7">
      <c r="B56" s="273" t="s">
        <v>802</v>
      </c>
      <c r="C56" s="275">
        <f ca="1">1-C57</f>
        <v>0.38400000000000001</v>
      </c>
    </row>
    <row r="57" spans="1:7">
      <c r="B57" s="273" t="s">
        <v>803</v>
      </c>
      <c r="C57" s="274">
        <f ca="1">ROUND(C51/C52,3)</f>
        <v>0.61599999999999999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5">
        <f ca="1">ROUND(IF(D2="——",C52/10000,C52/10000-E2),4)</f>
        <v>4834.4678000000004</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4708</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2053734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2053734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2053734</v>
      </c>
      <c r="D10" s="845">
        <f ca="1">IF(B1="",'数据-汇总表'!E6,IF(INDIRECT("'数据-取费表'!c"&amp;$G$1)="住宅",INDIRECT("'数据-取费表'!s"&amp;$G$1),INDIRECT("'数据-取费表'!k"&amp;$G$1)+INDIRECT("'数据-取费表'!s"&amp;$G$1)))</f>
        <v>10268.669999999998</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2053734</v>
      </c>
      <c r="D19" s="849">
        <f ca="1">D9+D10</f>
        <v>10268.669999999998</v>
      </c>
      <c r="E19" s="211">
        <f>'数据-取费表'!B31</f>
        <v>200</v>
      </c>
      <c r="F19" s="231"/>
      <c r="G19" s="1856"/>
    </row>
    <row r="20" spans="1:7" s="214" customFormat="1" ht="13.5" customHeight="1">
      <c r="A20" s="255" t="s">
        <v>1574</v>
      </c>
      <c r="B20" s="210" t="s">
        <v>1575</v>
      </c>
      <c r="C20" s="232">
        <f ca="1">ROUND((C5+C19)*F20,0)</f>
        <v>82149</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351403</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173997</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173997</v>
      </c>
      <c r="D24" s="238"/>
      <c r="E24" s="238"/>
      <c r="F24" s="239"/>
      <c r="G24" s="240" t="s">
        <v>1586</v>
      </c>
    </row>
    <row r="25" spans="1:7" s="214" customFormat="1" ht="24">
      <c r="A25" s="780" t="s">
        <v>1476</v>
      </c>
      <c r="B25" s="215" t="s">
        <v>1587</v>
      </c>
      <c r="C25" s="1128">
        <f ca="1">ROUND(IF('数据-取费表'!B22&lt;=1,C20*F22*'数据-取费表'!B22/2,C20*(POWER((1+F22),'数据-取费表'!B22/2)-1)),0)</f>
        <v>3409</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586546</v>
      </c>
      <c r="D27" s="235">
        <f ca="1">C29</f>
        <v>2.8E-3</v>
      </c>
      <c r="E27" s="236" t="s">
        <v>1514</v>
      </c>
      <c r="F27" s="246">
        <f ca="1">IF(B1="",'数据-取费表'!Q16,INDIRECT("'数据-取费表'!q"&amp;$G$1))</f>
        <v>0.14000000000000001</v>
      </c>
      <c r="G27" s="247" t="s">
        <v>1515</v>
      </c>
    </row>
    <row r="28" spans="1:7" s="214" customFormat="1" ht="13.5" customHeight="1">
      <c r="A28" s="780" t="s">
        <v>346</v>
      </c>
      <c r="B28" s="248" t="s">
        <v>1516</v>
      </c>
      <c r="C28" s="249">
        <f ca="1">ROUND((C5+C19+C20)*F27,0)</f>
        <v>586546</v>
      </c>
      <c r="D28" s="235"/>
      <c r="E28" s="236"/>
      <c r="F28" s="246"/>
      <c r="G28" s="247"/>
    </row>
    <row r="29" spans="1:7" s="214" customFormat="1" ht="13.5" customHeight="1">
      <c r="A29" s="780" t="s">
        <v>347</v>
      </c>
      <c r="B29" s="248" t="s">
        <v>1517</v>
      </c>
      <c r="C29" s="238">
        <f ca="1">ROUND(C21*F27,4)</f>
        <v>2.8E-3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5554724</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39970798</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35940345</v>
      </c>
      <c r="D34" s="217"/>
      <c r="E34" s="220"/>
      <c r="F34" s="257"/>
      <c r="G34" s="219"/>
    </row>
    <row r="35" spans="1:7" ht="13.5" customHeight="1">
      <c r="A35" s="780" t="s">
        <v>351</v>
      </c>
      <c r="B35" s="215" t="s">
        <v>1527</v>
      </c>
      <c r="C35" s="220">
        <f ca="1">ROUND(C34*F35,0)</f>
        <v>1437614</v>
      </c>
      <c r="D35" s="220"/>
      <c r="E35" s="220"/>
      <c r="F35" s="259">
        <f>'数据-取费表'!B33</f>
        <v>0.04</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2053734</v>
      </c>
      <c r="D37" s="217">
        <f ca="1">D19</f>
        <v>10268.669999999998</v>
      </c>
      <c r="E37" s="249">
        <f>'数据-取费表'!B35</f>
        <v>200</v>
      </c>
      <c r="F37" s="259"/>
      <c r="G37" s="261"/>
    </row>
    <row r="38" spans="1:7" ht="13.5" customHeight="1">
      <c r="A38" s="780" t="s">
        <v>354</v>
      </c>
      <c r="B38" s="215" t="s">
        <v>1533</v>
      </c>
      <c r="C38" s="220">
        <f ca="1">ROUND(C34*F38,0)</f>
        <v>539105</v>
      </c>
      <c r="D38" s="220"/>
      <c r="E38" s="220"/>
      <c r="F38" s="259">
        <f>'数据-取费表'!B36</f>
        <v>1.4999999999999999E-2</v>
      </c>
      <c r="G38" s="219" t="s">
        <v>1528</v>
      </c>
    </row>
    <row r="39" spans="1:7" s="214" customFormat="1" ht="13.5" customHeight="1">
      <c r="A39" s="255" t="s">
        <v>1534</v>
      </c>
      <c r="B39" s="210" t="s">
        <v>1535</v>
      </c>
      <c r="C39" s="232">
        <f ca="1">ROUND(C33*F20,0)</f>
        <v>799416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1691964</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1658788</v>
      </c>
      <c r="D42" s="238"/>
      <c r="E42" s="238"/>
      <c r="F42" s="239"/>
      <c r="G42" s="3661" t="s">
        <v>1591</v>
      </c>
    </row>
    <row r="43" spans="1:7" ht="13.5" customHeight="1">
      <c r="A43" s="780" t="s">
        <v>347</v>
      </c>
      <c r="B43" s="215" t="s">
        <v>1545</v>
      </c>
      <c r="C43" s="238">
        <f ca="1">ROUND(IF('数据-取费表'!B22&lt;=1,C39*F22*'数据-取费表'!B20/2,C39*(POWER((1+F22),'数据-取费表'!B20/2)-1)),0)</f>
        <v>33176</v>
      </c>
      <c r="D43" s="238"/>
      <c r="E43" s="238"/>
      <c r="F43" s="239"/>
      <c r="G43" s="3662"/>
    </row>
    <row r="44" spans="1:7" ht="13.5" customHeight="1">
      <c r="A44" s="780" t="s">
        <v>348</v>
      </c>
      <c r="B44" s="215" t="s">
        <v>1546</v>
      </c>
      <c r="C44" s="238">
        <f ca="1">ROUND(IF('数据-取费表'!B22&lt;=1,C40*F22*'数据-取费表'!B20/2,C40*(POWER((1+F22),'数据-取费表'!B20/2)-1)),4)</f>
        <v>8.0000000000000004E-4</v>
      </c>
      <c r="D44" s="238"/>
      <c r="E44" s="238"/>
      <c r="F44" s="239"/>
      <c r="G44" s="3663"/>
    </row>
    <row r="45" spans="1:7" s="214" customFormat="1" ht="13.5" customHeight="1">
      <c r="A45" s="255" t="s">
        <v>1547</v>
      </c>
      <c r="B45" s="244" t="s">
        <v>1513</v>
      </c>
      <c r="C45" s="245">
        <f ca="1">C46</f>
        <v>5707830</v>
      </c>
      <c r="D45" s="235">
        <f ca="1">C47</f>
        <v>2.8E-3</v>
      </c>
      <c r="E45" s="236" t="s">
        <v>1539</v>
      </c>
      <c r="F45" s="246">
        <f ca="1">F27</f>
        <v>0.14000000000000001</v>
      </c>
      <c r="G45" s="247" t="s">
        <v>1548</v>
      </c>
    </row>
    <row r="46" spans="1:7" s="214" customFormat="1" ht="13.5" customHeight="1">
      <c r="A46" s="780" t="s">
        <v>346</v>
      </c>
      <c r="B46" s="248" t="s">
        <v>1549</v>
      </c>
      <c r="C46" s="249">
        <f ca="1">ROUND((C33+C39)*F27,0)</f>
        <v>5707830</v>
      </c>
      <c r="D46" s="263"/>
      <c r="E46" s="236"/>
      <c r="F46" s="246"/>
      <c r="G46" s="247"/>
    </row>
    <row r="47" spans="1:7" s="214" customFormat="1" ht="13.5" customHeight="1">
      <c r="A47" s="780" t="s">
        <v>347</v>
      </c>
      <c r="B47" s="248" t="s">
        <v>1550</v>
      </c>
      <c r="C47" s="238">
        <f ca="1">ROUND(C40*F27,4)</f>
        <v>2.8E-3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52182871</v>
      </c>
      <c r="D49" s="232"/>
      <c r="E49" s="232"/>
      <c r="F49" s="264"/>
      <c r="G49" s="234" t="s">
        <v>1554</v>
      </c>
    </row>
    <row r="50" spans="1:7" s="258" customFormat="1">
      <c r="A50" s="255" t="s">
        <v>1555</v>
      </c>
      <c r="B50" s="210" t="s">
        <v>1556</v>
      </c>
      <c r="C50" s="232"/>
      <c r="D50" s="232"/>
      <c r="E50" s="232"/>
      <c r="F50" s="264">
        <f>IF('数据-取费表'!B24=0,'数据-取费表'!N16,1)</f>
        <v>0.82</v>
      </c>
      <c r="G50" s="247"/>
    </row>
    <row r="51" spans="1:7" ht="16.5" customHeight="1">
      <c r="A51" s="255" t="s">
        <v>1558</v>
      </c>
      <c r="B51" s="210" t="s">
        <v>1593</v>
      </c>
      <c r="C51" s="232">
        <f ca="1">ROUND(C49*F50,0)</f>
        <v>42789954</v>
      </c>
      <c r="D51" s="232"/>
      <c r="E51" s="232"/>
      <c r="F51" s="264"/>
      <c r="G51" s="234" t="s">
        <v>1560</v>
      </c>
    </row>
    <row r="52" spans="1:7" s="208" customFormat="1" ht="16.5" thickBot="1">
      <c r="A52" s="265" t="s">
        <v>1561</v>
      </c>
      <c r="B52" s="266"/>
      <c r="C52" s="267">
        <f ca="1">C31+C51</f>
        <v>48344678</v>
      </c>
      <c r="D52" s="266"/>
      <c r="E52" s="266"/>
      <c r="F52" s="266"/>
      <c r="G52" s="268"/>
    </row>
    <row r="55" spans="1:7" ht="15">
      <c r="B55" s="270" t="s">
        <v>1562</v>
      </c>
      <c r="C55" s="271"/>
    </row>
    <row r="56" spans="1:7">
      <c r="B56" s="273" t="s">
        <v>802</v>
      </c>
      <c r="C56" s="275">
        <f ca="1">1-C57</f>
        <v>0.11499999999999999</v>
      </c>
    </row>
    <row r="57" spans="1:7">
      <c r="B57" s="273" t="s">
        <v>803</v>
      </c>
      <c r="C57" s="274">
        <f ca="1">ROUND(C51/C52,3)</f>
        <v>0.88500000000000001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8</v>
      </c>
    </row>
    <row r="2" spans="1:33" ht="18" customHeight="1">
      <c r="A2" s="201" t="s">
        <v>1462</v>
      </c>
      <c r="B2" s="204">
        <f ca="1">C32</f>
        <v>-185</v>
      </c>
      <c r="C2" s="276" t="s">
        <v>1595</v>
      </c>
      <c r="D2" s="276"/>
      <c r="E2" s="2806"/>
      <c r="F2" s="2806"/>
      <c r="G2" s="2806"/>
      <c r="H2" s="2806"/>
      <c r="I2" s="2806"/>
      <c r="J2" s="2806"/>
      <c r="K2" s="2806"/>
    </row>
    <row r="3" spans="1:33" ht="18" customHeight="1" thickBot="1">
      <c r="A3" s="203" t="s">
        <v>1464</v>
      </c>
      <c r="B3" s="204">
        <f ca="1">ROUND(B2*10000/IF(C1="",'数据-汇总表'!E3,INDIRECT("'数据-取费表'!K"&amp;$K$1)),0)</f>
        <v>-180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0.04</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10268.669999999998</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10268.669999999998</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164</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205</v>
      </c>
      <c r="D20" s="846">
        <f ca="1">IF(C1="",'数据-汇总表'!E6,IF(INDIRECT("'数据-取费表'!c"&amp;$K$1)="住宅",INDIRECT("'数据-取费表'!s"&amp;$K$1),INDIRECT("'数据-取费表'!k"&amp;$K$1)+INDIRECT("'数据-取费表'!s"&amp;$K$1)))</f>
        <v>10268.669999999998</v>
      </c>
      <c r="E20" s="21">
        <f>'数据-取费表'!B28</f>
        <v>200</v>
      </c>
      <c r="F20" s="804"/>
      <c r="G20" s="12"/>
      <c r="H20" s="809"/>
      <c r="I20" s="809"/>
      <c r="J20" s="809"/>
      <c r="K20" s="810"/>
    </row>
    <row r="21" spans="1:33" s="803" customFormat="1" ht="13.5" customHeight="1">
      <c r="A21" s="790" t="s">
        <v>357</v>
      </c>
      <c r="B21" s="813" t="s">
        <v>1628</v>
      </c>
      <c r="C21" s="814">
        <f ca="1">C16+C17+C18</f>
        <v>164</v>
      </c>
      <c r="D21" s="815"/>
      <c r="E21" s="281"/>
      <c r="F21" s="281"/>
      <c r="G21" s="131" t="s">
        <v>1629</v>
      </c>
      <c r="H21" s="807"/>
      <c r="I21" s="807"/>
      <c r="J21" s="807"/>
      <c r="K21" s="808"/>
    </row>
    <row r="22" spans="1:33" s="803" customFormat="1" ht="13.5" customHeight="1">
      <c r="A22" s="790" t="s">
        <v>1601</v>
      </c>
      <c r="B22" s="813" t="s">
        <v>1630</v>
      </c>
      <c r="C22" s="814">
        <f ca="1">ROUND(C21*F22,0)</f>
        <v>3</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23</v>
      </c>
      <c r="D28" s="280">
        <f ca="1">C29</f>
        <v>0</v>
      </c>
      <c r="E28" s="282" t="s">
        <v>12</v>
      </c>
      <c r="F28" s="288">
        <f ca="1">IF(C1="",'数据-取费表'!Q16,INDIRECT("'数据-取费表'!q"&amp;$K$1))</f>
        <v>0.14000000000000001</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23</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-185</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8" zoomScale="115" zoomScaleNormal="80" zoomScaleSheetLayoutView="115" workbookViewId="0">
      <selection activeCell="D42" sqref="D42"/>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10268.67</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5863</v>
      </c>
      <c r="C2" s="1999" t="s">
        <v>1935</v>
      </c>
      <c r="D2" s="2000" t="s">
        <v>1936</v>
      </c>
      <c r="E2" s="3423" t="s">
        <v>3</v>
      </c>
      <c r="F2" s="2000" t="s">
        <v>1937</v>
      </c>
      <c r="G2" s="2001" t="str">
        <f>IF(E2="商业",项目基本情况!B37,IF(E2="办公",项目基本情况!C37,IF(E2="住宅",项目基本情况!D37,IF(E2="工业",项目基本情况!E37,项目基本情况!F37))))</f>
        <v>五级</v>
      </c>
      <c r="H2" s="2000" t="s">
        <v>1938</v>
      </c>
      <c r="I2" s="2001" t="str">
        <f>IF(E2="商业",项目基本情况!B38,IF(E2="办公",项目基本情况!C38,IF(E2="住宅",项目基本情况!D38,IF(E2="工业",项目基本情况!E38,项目基本情况!F38))))</f>
        <v>Ⅴ-06</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2">
        <f>ROUND(SUMPRODUCT((B106:B110=R2)*(C105:N105=G2)*(C106:N110)),4)</f>
        <v>1.5019</v>
      </c>
      <c r="T2" s="3362">
        <f t="shared" ref="T2:T16" si="0">ROUND($C$5*$C$22*$C$23*$C$24*S2*$C$28,0)</f>
        <v>10065</v>
      </c>
      <c r="U2" s="1213"/>
      <c r="V2" s="3362">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5710</v>
      </c>
      <c r="C3" s="1999" t="s">
        <v>1941</v>
      </c>
      <c r="D3" s="2000" t="s">
        <v>1942</v>
      </c>
      <c r="E3" s="3421" t="s">
        <v>3394</v>
      </c>
      <c r="F3" s="2004" t="s">
        <v>3396</v>
      </c>
      <c r="G3" s="752">
        <f>IF(F3="宗地容积率",'数据-汇总表'!I4,IF(F3="估价对象容积率",'数据-汇总表'!I6,'数据-汇总表'!I7))</f>
        <v>2</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2">
        <f>ROUND(SUMPRODUCT((B106:B110=R3)*(C105:N105=G2)*(C106:N110)),4)</f>
        <v>1.1838</v>
      </c>
      <c r="T3" s="3362">
        <f t="shared" si="0"/>
        <v>7934</v>
      </c>
      <c r="U3" s="1213"/>
      <c r="V3" s="3362">
        <f t="shared" ref="V3:V16" si="1">ROUND(T3*U3/10000,0)</f>
        <v>0</v>
      </c>
      <c r="W3" s="1216"/>
      <c r="X3" s="1216"/>
      <c r="Y3" s="1216"/>
      <c r="Z3" s="1216"/>
      <c r="AA3" s="1216"/>
      <c r="AB3" s="1216"/>
      <c r="AC3" s="1217"/>
      <c r="AD3" s="1218"/>
      <c r="AE3" s="1218"/>
      <c r="AF3" s="1218"/>
      <c r="AG3" s="1218"/>
      <c r="AH3" s="1218"/>
      <c r="AI3" s="1218"/>
      <c r="AJ3" s="1219"/>
    </row>
    <row r="4" spans="1:36" ht="15.75">
      <c r="A4" s="3671"/>
      <c r="B4" s="3672"/>
      <c r="C4" s="3672"/>
      <c r="D4" s="3673"/>
      <c r="E4" s="3673"/>
      <c r="F4" s="3673"/>
      <c r="G4" s="3673"/>
      <c r="H4" s="3673"/>
      <c r="I4" s="3673"/>
      <c r="J4" s="3674"/>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2">
        <f>ROUND(SUMPRODUCT((B106:B110=R4)*(C105:N105=G2)*(C106:N110)),4)</f>
        <v>1.0004999999999999</v>
      </c>
      <c r="T4" s="3362">
        <f t="shared" si="0"/>
        <v>6705</v>
      </c>
      <c r="U4" s="1213"/>
      <c r="V4" s="3362">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3510</v>
      </c>
      <c r="D5" s="1339">
        <f>ROUND(C6*C17+C20,0)</f>
        <v>3510</v>
      </c>
      <c r="E5" s="1339"/>
      <c r="F5" s="2007"/>
      <c r="G5" s="2008"/>
      <c r="H5" s="2008"/>
      <c r="I5" s="2008"/>
      <c r="J5" s="2009"/>
      <c r="K5" s="2010"/>
      <c r="L5" s="2003" t="s">
        <v>1948</v>
      </c>
      <c r="M5" s="864">
        <f>SUMPRODUCT((区片价!B87:B126=I2)*(区片价!C3:G3=E2)*(区片价!C87:G126))</f>
        <v>3510</v>
      </c>
      <c r="N5" s="866">
        <f>SUMPRODUCT((因素修正幅度!B87:B126=I2)*(因素修正幅度!C3:G3=E2)*(因素修正幅度!C87:G126))</f>
        <v>0.1</v>
      </c>
      <c r="O5" s="1119"/>
      <c r="P5" s="1119"/>
      <c r="Q5" s="1119"/>
      <c r="R5" s="1212">
        <v>4</v>
      </c>
      <c r="S5" s="3362">
        <f>ROUND(SUMPRODUCT((B106:B110=R5)*(C105:N105=G2)*(C106:N110)),4)</f>
        <v>0.88239999999999996</v>
      </c>
      <c r="T5" s="3362">
        <f t="shared" si="0"/>
        <v>5914</v>
      </c>
      <c r="U5" s="1213"/>
      <c r="V5" s="3362">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3510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2">
        <f>ROUND(SUMPRODUCT((B106:B110=R6)*(C105:N105=G2)*(C106:N110)),4)</f>
        <v>0.84799999999999998</v>
      </c>
      <c r="T6" s="3362">
        <f t="shared" si="0"/>
        <v>5683</v>
      </c>
      <c r="U6" s="1213"/>
      <c r="V6" s="3362">
        <f t="shared" si="1"/>
        <v>0</v>
      </c>
      <c r="W6" s="1216"/>
      <c r="X6" s="1216"/>
      <c r="Y6" s="1216"/>
      <c r="Z6" s="1216"/>
      <c r="AA6" s="1216"/>
      <c r="AB6" s="1216"/>
      <c r="AC6" s="2011"/>
      <c r="AD6" s="2012"/>
      <c r="AE6" s="2012"/>
      <c r="AF6" s="2012"/>
      <c r="AG6" s="2012"/>
      <c r="AH6" s="2012"/>
      <c r="AI6" s="2012"/>
      <c r="AJ6" s="2013"/>
    </row>
    <row r="7" spans="1:36" ht="24.75" thickBot="1">
      <c r="A7" s="3305" t="s">
        <v>3246</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20"/>
      <c r="T7" s="3362">
        <f t="shared" si="0"/>
        <v>0</v>
      </c>
      <c r="U7" s="1213"/>
      <c r="V7" s="3362">
        <f t="shared" si="1"/>
        <v>0</v>
      </c>
      <c r="W7" s="1358" t="s">
        <v>1955</v>
      </c>
      <c r="X7" s="1214" t="str">
        <f>G2</f>
        <v>五级</v>
      </c>
      <c r="Y7" s="1214" t="s">
        <v>1956</v>
      </c>
      <c r="Z7" s="1215">
        <f>G3</f>
        <v>2</v>
      </c>
      <c r="AA7" s="1216"/>
      <c r="AB7" s="1216"/>
      <c r="AC7" s="1217"/>
      <c r="AD7" s="1218"/>
      <c r="AE7" s="1218"/>
      <c r="AF7" s="1218"/>
      <c r="AG7" s="1218"/>
      <c r="AH7" s="1218"/>
      <c r="AI7" s="1218"/>
      <c r="AJ7" s="1219"/>
    </row>
    <row r="8" spans="1:36" ht="15">
      <c r="A8" s="3300"/>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2">
        <f t="shared" si="0"/>
        <v>0</v>
      </c>
      <c r="U8" s="1213"/>
      <c r="V8" s="3362">
        <f t="shared" si="1"/>
        <v>0</v>
      </c>
      <c r="W8" s="3668" t="s">
        <v>1960</v>
      </c>
      <c r="X8" s="3669"/>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300"/>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2">
        <f t="shared" si="0"/>
        <v>0</v>
      </c>
      <c r="U9" s="1213"/>
      <c r="V9" s="3362">
        <f t="shared" si="1"/>
        <v>0</v>
      </c>
      <c r="W9" s="3670"/>
      <c r="X9" s="3363" t="s">
        <v>3277</v>
      </c>
      <c r="Y9" s="3364">
        <v>6</v>
      </c>
      <c r="Z9" s="3365">
        <f>$Y$9</f>
        <v>6</v>
      </c>
      <c r="AA9" s="3365">
        <f t="shared" ref="AA9:AJ9" si="2">$Y$9</f>
        <v>6</v>
      </c>
      <c r="AB9" s="3365">
        <f t="shared" si="2"/>
        <v>6</v>
      </c>
      <c r="AC9" s="3365">
        <f t="shared" si="2"/>
        <v>6</v>
      </c>
      <c r="AD9" s="3365">
        <f t="shared" si="2"/>
        <v>6</v>
      </c>
      <c r="AE9" s="3365">
        <f t="shared" si="2"/>
        <v>6</v>
      </c>
      <c r="AF9" s="3365">
        <f t="shared" si="2"/>
        <v>6</v>
      </c>
      <c r="AG9" s="3365">
        <f t="shared" si="2"/>
        <v>6</v>
      </c>
      <c r="AH9" s="3365">
        <f t="shared" si="2"/>
        <v>6</v>
      </c>
      <c r="AI9" s="3365">
        <f t="shared" si="2"/>
        <v>6</v>
      </c>
      <c r="AJ9" s="3365">
        <f t="shared" si="2"/>
        <v>6</v>
      </c>
    </row>
    <row r="10" spans="1:36" ht="15">
      <c r="A10" s="3300"/>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2">
        <f t="shared" si="0"/>
        <v>0</v>
      </c>
      <c r="U10" s="1213"/>
      <c r="V10" s="3362">
        <f t="shared" si="1"/>
        <v>0</v>
      </c>
      <c r="W10" s="3670"/>
      <c r="X10" s="3363">
        <v>6</v>
      </c>
      <c r="Y10" s="3366">
        <f>ROUND((-0.5556*(Y9^2)-0.2719*Y9+8944)*(10^(-4)),4)</f>
        <v>0.89219999999999999</v>
      </c>
      <c r="Z10" s="3366">
        <f>ROUND((-0.5556*(Z9^2)-0.2719*Z9+8944)*(10^(-4)),4)</f>
        <v>0.89219999999999999</v>
      </c>
      <c r="AA10" s="3366">
        <f>ROUND((-0.7912*(AA9^2)-11.3794*AA9+8482)*(10^(-4)),4)</f>
        <v>0.83850000000000002</v>
      </c>
      <c r="AB10" s="3366">
        <f>ROUND((-0.7912*(AB9^2)-11.3794*AB9+8482)*(10^(-4)),4)</f>
        <v>0.83850000000000002</v>
      </c>
      <c r="AC10" s="3366">
        <f>ROUND((-0.7912*(AC9^2)-11.3794*AC9+8482)*(10^(-4)),4)</f>
        <v>0.83850000000000002</v>
      </c>
      <c r="AD10" s="3366">
        <f>ROUND((-0.7912*(AD9^2)-11.3794*AD9+8482)*(10^(-4)),4)</f>
        <v>0.83850000000000002</v>
      </c>
      <c r="AE10" s="3366">
        <f>ROUND((-0.7912*(AE9^2)-11.3794*AE9+8482)*(10^(-4)),4)</f>
        <v>0.83850000000000002</v>
      </c>
      <c r="AF10" s="3366">
        <f>ROUND((-0.989*(AF9^2)-63.78*AF9+7771)*(10^(-4)),4)</f>
        <v>0.73529999999999995</v>
      </c>
      <c r="AG10" s="3366">
        <f>ROUND((-0.989*(AG9^2)-63.78*AG9+7771)*(10^(-4)),4)</f>
        <v>0.73529999999999995</v>
      </c>
      <c r="AH10" s="3366">
        <f>ROUND((-0.989*(AH9^2)-63.78*AH9+7771)*(10^(-4)),4)</f>
        <v>0.73529999999999995</v>
      </c>
      <c r="AI10" s="3366">
        <f>ROUND((-0.989*(AI9^2)-63.78*AI9+7771)*(10^(-4)),4)</f>
        <v>0.73529999999999995</v>
      </c>
      <c r="AJ10" s="3366">
        <f>ROUND((-0.989*(AJ9^2)-63.78*AJ9+7771)*(10^(-4)),4)</f>
        <v>0.73529999999999995</v>
      </c>
    </row>
    <row r="11" spans="1:36" ht="15.75" thickBot="1">
      <c r="A11" s="3304"/>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2">
        <f t="shared" si="0"/>
        <v>0</v>
      </c>
      <c r="U11" s="1213"/>
      <c r="V11" s="3362">
        <f t="shared" si="1"/>
        <v>0</v>
      </c>
      <c r="W11" s="1216"/>
      <c r="X11" s="1216"/>
      <c r="Y11" s="1216"/>
      <c r="Z11" s="1216"/>
      <c r="AA11" s="1216"/>
      <c r="AB11" s="1216"/>
      <c r="AC11" s="1217"/>
      <c r="AD11" s="2789"/>
      <c r="AE11" s="2789"/>
      <c r="AF11" s="2789"/>
      <c r="AG11" s="2789"/>
      <c r="AH11" s="2789"/>
      <c r="AI11" s="2789"/>
      <c r="AJ11" s="2790"/>
    </row>
    <row r="12" spans="1:36" ht="25.5" thickBot="1">
      <c r="A12" s="3305" t="s">
        <v>3247</v>
      </c>
      <c r="B12" s="3306" t="s">
        <v>3248</v>
      </c>
      <c r="C12" s="3307"/>
      <c r="D12" s="3308" t="s">
        <v>3249</v>
      </c>
      <c r="E12" s="3309" t="s">
        <v>3250</v>
      </c>
      <c r="F12" s="3310"/>
      <c r="G12" s="3311"/>
      <c r="H12" s="3311"/>
      <c r="I12" s="3311"/>
      <c r="J12" s="3312"/>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2">
        <f t="shared" si="0"/>
        <v>0</v>
      </c>
      <c r="U12" s="1213"/>
      <c r="V12" s="3362">
        <f t="shared" si="1"/>
        <v>0</v>
      </c>
      <c r="W12" s="1216"/>
      <c r="X12" s="1216"/>
      <c r="Y12" s="1216"/>
      <c r="Z12" s="1216"/>
      <c r="AA12" s="1216"/>
      <c r="AB12" s="1216"/>
      <c r="AC12" s="1217"/>
      <c r="AD12" s="2789"/>
      <c r="AE12" s="2789"/>
      <c r="AF12" s="2789"/>
      <c r="AG12" s="2789"/>
      <c r="AH12" s="2789"/>
      <c r="AI12" s="2789"/>
      <c r="AJ12" s="2790"/>
    </row>
    <row r="13" spans="1:36" ht="15.75" thickBot="1">
      <c r="A13" s="3305" t="s">
        <v>3251</v>
      </c>
      <c r="B13" s="2034" t="s">
        <v>1982</v>
      </c>
      <c r="C13" s="755">
        <f>ROUND(C16*D16*E16*F16*G16*H16*I16*J16,4)</f>
        <v>0</v>
      </c>
      <c r="D13" s="2035" t="s">
        <v>1983</v>
      </c>
      <c r="E13" s="2036"/>
      <c r="F13" s="2036"/>
      <c r="G13" s="2037"/>
      <c r="H13" s="2037"/>
      <c r="I13" s="2037"/>
      <c r="J13" s="2038"/>
      <c r="K13" s="1119"/>
      <c r="L13" s="3301"/>
      <c r="M13" s="3302"/>
      <c r="N13" s="3303"/>
      <c r="O13" s="1119"/>
      <c r="P13" s="1119"/>
      <c r="Q13" s="1119"/>
      <c r="R13" s="1212">
        <v>12</v>
      </c>
      <c r="S13" s="1213"/>
      <c r="T13" s="3362">
        <f t="shared" si="0"/>
        <v>0</v>
      </c>
      <c r="U13" s="1213"/>
      <c r="V13" s="3362">
        <f t="shared" si="1"/>
        <v>0</v>
      </c>
      <c r="W13" s="1216"/>
      <c r="X13" s="1216"/>
      <c r="Y13" s="1216"/>
      <c r="Z13" s="1216"/>
      <c r="AA13" s="1216"/>
      <c r="AB13" s="1216"/>
      <c r="AC13" s="1217"/>
      <c r="AD13" s="2789"/>
      <c r="AE13" s="2789"/>
      <c r="AF13" s="2789"/>
      <c r="AG13" s="2789"/>
      <c r="AH13" s="2789"/>
      <c r="AI13" s="2789"/>
      <c r="AJ13" s="2790"/>
    </row>
    <row r="14" spans="1:36" ht="15">
      <c r="A14" s="3299"/>
      <c r="B14" s="2040" t="s">
        <v>1985</v>
      </c>
      <c r="C14" s="2041" t="s">
        <v>1986</v>
      </c>
      <c r="D14" s="1350" t="s">
        <v>1987</v>
      </c>
      <c r="E14" s="27" t="s">
        <v>1988</v>
      </c>
      <c r="F14" s="3313" t="s">
        <v>3252</v>
      </c>
      <c r="G14" s="3313" t="s">
        <v>3252</v>
      </c>
      <c r="H14" s="3313" t="s">
        <v>3252</v>
      </c>
      <c r="I14" s="3313" t="s">
        <v>3252</v>
      </c>
      <c r="J14" s="3313" t="s">
        <v>3252</v>
      </c>
      <c r="K14" s="1119"/>
      <c r="L14" s="1119"/>
      <c r="M14" s="1119"/>
      <c r="N14" s="1119"/>
      <c r="O14" s="1119"/>
      <c r="P14" s="1119"/>
      <c r="Q14" s="1119"/>
      <c r="R14" s="1212">
        <v>13</v>
      </c>
      <c r="S14" s="1213"/>
      <c r="T14" s="3362">
        <f t="shared" si="0"/>
        <v>0</v>
      </c>
      <c r="U14" s="1213"/>
      <c r="V14" s="3362">
        <f t="shared" si="1"/>
        <v>0</v>
      </c>
      <c r="W14" s="1216"/>
      <c r="X14" s="1216"/>
      <c r="Y14" s="1216"/>
      <c r="Z14" s="1216"/>
      <c r="AA14" s="1216"/>
      <c r="AB14" s="1216"/>
      <c r="AC14" s="1217"/>
      <c r="AD14" s="2789"/>
      <c r="AE14" s="2789"/>
      <c r="AF14" s="2789"/>
      <c r="AG14" s="2789"/>
      <c r="AH14" s="2789"/>
      <c r="AI14" s="2789"/>
      <c r="AJ14" s="2790"/>
    </row>
    <row r="15" spans="1:36" ht="15">
      <c r="A15" s="3299"/>
      <c r="B15" s="2042"/>
      <c r="C15" s="2043"/>
      <c r="D15" s="2044"/>
      <c r="E15" s="2045"/>
      <c r="F15" s="3314" t="s">
        <v>3253</v>
      </c>
      <c r="G15" s="3315"/>
      <c r="H15" s="3316"/>
      <c r="I15" s="3317"/>
      <c r="J15" s="3318"/>
      <c r="K15" s="1119"/>
      <c r="L15" s="1119"/>
      <c r="M15" s="1119"/>
      <c r="N15" s="1119"/>
      <c r="O15" s="1119"/>
      <c r="P15" s="1119"/>
      <c r="Q15" s="1119"/>
      <c r="R15" s="1212">
        <v>14</v>
      </c>
      <c r="S15" s="1213"/>
      <c r="T15" s="3362">
        <f t="shared" si="0"/>
        <v>0</v>
      </c>
      <c r="U15" s="1213"/>
      <c r="V15" s="3362">
        <f t="shared" si="1"/>
        <v>0</v>
      </c>
      <c r="W15" s="1216"/>
      <c r="X15" s="1216"/>
      <c r="Y15" s="1216"/>
      <c r="Z15" s="1216"/>
      <c r="AA15" s="1216"/>
      <c r="AB15" s="1216"/>
      <c r="AC15" s="1217"/>
      <c r="AD15" s="2789"/>
      <c r="AE15" s="2789"/>
      <c r="AF15" s="2789"/>
      <c r="AG15" s="2789"/>
      <c r="AH15" s="2789"/>
      <c r="AI15" s="2789"/>
      <c r="AJ15" s="2790"/>
    </row>
    <row r="16" spans="1:36" ht="15.75" thickBot="1">
      <c r="A16" s="3299"/>
      <c r="B16" s="3321" t="s">
        <v>1989</v>
      </c>
      <c r="C16" s="3319"/>
      <c r="D16" s="3319"/>
      <c r="E16" s="3319"/>
      <c r="F16" s="3319">
        <v>1</v>
      </c>
      <c r="G16" s="3319">
        <v>1</v>
      </c>
      <c r="H16" s="3319">
        <v>1</v>
      </c>
      <c r="I16" s="3319">
        <v>1</v>
      </c>
      <c r="J16" s="3320">
        <v>1</v>
      </c>
      <c r="K16" s="1119"/>
      <c r="L16" s="1997"/>
      <c r="M16" s="1997"/>
      <c r="N16" s="1997"/>
      <c r="O16" s="1997"/>
      <c r="P16" s="1997"/>
      <c r="Q16" s="1119"/>
      <c r="R16" s="1212">
        <v>15</v>
      </c>
      <c r="S16" s="1213"/>
      <c r="T16" s="3362">
        <f t="shared" si="0"/>
        <v>0</v>
      </c>
      <c r="U16" s="1213"/>
      <c r="V16" s="3362">
        <f t="shared" si="1"/>
        <v>0</v>
      </c>
      <c r="W16" s="1216"/>
      <c r="X16" s="1216"/>
      <c r="Y16" s="1216"/>
      <c r="Z16" s="1216"/>
      <c r="AA16" s="1216"/>
      <c r="AB16" s="1216"/>
      <c r="AC16" s="1217"/>
      <c r="AD16" s="2789"/>
      <c r="AE16" s="2789"/>
      <c r="AF16" s="2789"/>
      <c r="AG16" s="2789"/>
      <c r="AH16" s="2789"/>
      <c r="AI16" s="2789"/>
      <c r="AJ16" s="2790"/>
    </row>
    <row r="17" spans="1:37">
      <c r="A17" s="3331" t="s">
        <v>3254</v>
      </c>
      <c r="B17" s="3322" t="s">
        <v>3255</v>
      </c>
      <c r="C17" s="3332">
        <f>ROUND(IF(OR(E2="工业",E2="公共服务"),1,IF(AND(E18=0,E19=0),1,IF(AND(E18=J24,E19=G19),0.8,IF(E19=0,1+E17*(-0.2),1+E17*G17*(-0.2))))),4)</f>
        <v>1</v>
      </c>
      <c r="D17" s="3323" t="s">
        <v>3256</v>
      </c>
      <c r="E17" s="3332">
        <f>ROUND(G18/I18,2)</f>
        <v>0</v>
      </c>
      <c r="F17" s="3323" t="s">
        <v>3259</v>
      </c>
      <c r="G17" s="3332" t="e">
        <f>ROUND(E19/G19,2)</f>
        <v>#DIV/0!</v>
      </c>
      <c r="H17" s="3332"/>
      <c r="I17" s="3332"/>
      <c r="J17" s="3333"/>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4"/>
      <c r="B18" s="3010"/>
      <c r="C18" s="3329"/>
      <c r="D18" s="3324" t="s">
        <v>3257</v>
      </c>
      <c r="E18" s="3330"/>
      <c r="F18" s="3325" t="s">
        <v>3260</v>
      </c>
      <c r="G18" s="3329">
        <f>ROUND(1-(1/(POWER(1+G24,E18))),4)</f>
        <v>0</v>
      </c>
      <c r="H18" s="3325" t="s">
        <v>3262</v>
      </c>
      <c r="I18" s="3329">
        <f>ROUND(1-(1/(POWER(1+G24,J24))),4)</f>
        <v>0.91279999999999994</v>
      </c>
      <c r="J18" s="3335"/>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6"/>
      <c r="B19" s="3337"/>
      <c r="C19" s="3338"/>
      <c r="D19" s="3338" t="s">
        <v>3258</v>
      </c>
      <c r="E19" s="3339"/>
      <c r="F19" s="3340" t="s">
        <v>3261</v>
      </c>
      <c r="G19" s="3339"/>
      <c r="H19" s="3338"/>
      <c r="I19" s="3338"/>
      <c r="J19" s="3341"/>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675" t="s">
        <v>3263</v>
      </c>
      <c r="B20" s="167" t="s">
        <v>1994</v>
      </c>
      <c r="C20" s="3326">
        <f>ROUND(IF(F21="与级别开发程度一致",0,(G21-E21)/C21),0)</f>
        <v>0</v>
      </c>
      <c r="D20" s="3342" t="s">
        <v>1998</v>
      </c>
      <c r="E20" s="3343"/>
      <c r="F20" s="3681" t="s">
        <v>1995</v>
      </c>
      <c r="G20" s="3682"/>
      <c r="H20" s="3327"/>
      <c r="I20" s="3327"/>
      <c r="J20" s="3328"/>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676"/>
      <c r="B21" s="2164" t="s">
        <v>1997</v>
      </c>
      <c r="C21" s="2165">
        <f>IF(E3="M4科研用地",SUMPRODUCT((修正!A2:A7=E3)*(修正!B1:M1=G2)*(修正!B2:M7)),SUMPRODUCT((修正!A2:A7=E2)*(修正!B1:M1=G2)*(修正!B2:M7)))</f>
        <v>2</v>
      </c>
      <c r="D21" s="187" t="str">
        <f>IF(OR(G2="八级",G2="九级",G2="十级",G2="十一级",G2="十二级"),"五通一平","七通一平")</f>
        <v>七通一平</v>
      </c>
      <c r="E21" s="2155">
        <f>SUMPRODUCT((修正!B1:M1=G2)*(修正!B17:M17))</f>
        <v>315</v>
      </c>
      <c r="F21" s="2156" t="s">
        <v>3395</v>
      </c>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2</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13=YEAR(G23)&amp;"-"&amp;ROUNDUP(MONTH(G23)/3,0))*('地价-分区'!S2:W2=E2)*('地价-分区'!S5:W13)),IF(J23="中心城区以外",SUMPRODUCT(('地价-分区'!A22:A30=YEAR(G23)&amp;"-"&amp;ROUNDUP(MONTH(G23)/3,0))*('地价-分区'!S19:W19=E2)*('地价-分区'!S22:W30)),IF(J23="不用分区数据",IF(H23="按公示增长率计算",SUMPRODUCT((地价!A3:A16=YEAR(G23)&amp;"-"&amp;ROUNDUP(MONTH(G23)/3,0))*(地价!Y2:AD2=E2)*(地价!Y3:AD16)),IF(H23="地价指数",M24/M23,(1+I23)^O23))))),4)</f>
        <v>1.0447</v>
      </c>
      <c r="D23" s="2054" t="s">
        <v>2002</v>
      </c>
      <c r="E23" s="761">
        <v>44197</v>
      </c>
      <c r="F23" s="2054" t="s">
        <v>2003</v>
      </c>
      <c r="G23" s="762">
        <f>'数据-取费表'!B2</f>
        <v>44937</v>
      </c>
      <c r="H23" s="3344" t="s">
        <v>3265</v>
      </c>
      <c r="I23" s="3345" t="str">
        <f>IF(H23="季度增幅（自定义）",SUMIF(N25:N28,E2,O25:O28),"")</f>
        <v/>
      </c>
      <c r="J23" s="3447" t="s">
        <v>3264</v>
      </c>
      <c r="K23" s="1125"/>
      <c r="L23" s="2055" t="s">
        <v>2004</v>
      </c>
      <c r="M23" s="1328">
        <f>ROUND(SUMIF(地价!B2:G2,E2,地价!B16:G16),0)</f>
        <v>318</v>
      </c>
      <c r="N23" s="2056" t="s">
        <v>2005</v>
      </c>
      <c r="O23" s="763">
        <f>ROUNDDOWN(DATEDIF(E23,G23,"M")/3,0)</f>
        <v>8</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0.88080000000000003</v>
      </c>
      <c r="D24" s="2060" t="s">
        <v>2007</v>
      </c>
      <c r="E24" s="1335">
        <f>存贷款利率!E22/100</f>
        <v>4.3499999999999997E-2</v>
      </c>
      <c r="F24" s="2060" t="s">
        <v>1999</v>
      </c>
      <c r="G24" s="768">
        <f>SUMIF(M30:Q30,E2,M33:Q33)</f>
        <v>0.05</v>
      </c>
      <c r="H24" s="2060" t="s">
        <v>2008</v>
      </c>
      <c r="I24" s="769">
        <f>SUMIF('数据-取费表'!C6:C15,E2,'数据-取费表'!F6:F15)/COUNTIF('数据-取费表'!C6:C15,E2)</f>
        <v>33.4</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3344</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6" t="s">
        <v>3266</v>
      </c>
      <c r="D26" s="1352">
        <f>IF(E26=G26,F26,IF(G3&lt;10,ROUND(F26+(H26-F26)*(G3-E26)/(G26-E26),4),"——"))</f>
        <v>1</v>
      </c>
      <c r="E26" s="752">
        <f>ROUNDDOWN(G3,1)</f>
        <v>2</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6" t="s">
        <v>3267</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1.0375000000000001</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5863</v>
      </c>
      <c r="D30" s="2083"/>
      <c r="E30" s="2046"/>
      <c r="F30" s="2084"/>
      <c r="G30" s="2046"/>
      <c r="H30" s="2046"/>
      <c r="I30" s="2046"/>
      <c r="J30" s="2085"/>
      <c r="K30" s="1119"/>
      <c r="L30" s="3352" t="s">
        <v>1936</v>
      </c>
      <c r="M30" s="3353" t="s">
        <v>1990</v>
      </c>
      <c r="N30" s="3353" t="s">
        <v>1991</v>
      </c>
      <c r="O30" s="3353" t="s">
        <v>1992</v>
      </c>
      <c r="P30" s="3353" t="s">
        <v>1993</v>
      </c>
      <c r="Q30" s="3356" t="s">
        <v>3271</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51</v>
      </c>
      <c r="D31" s="2087"/>
      <c r="E31" s="2088"/>
      <c r="F31" s="2089"/>
      <c r="G31" s="2088"/>
      <c r="H31" s="2088"/>
      <c r="I31" s="2088"/>
      <c r="J31" s="2090"/>
      <c r="K31" s="1119"/>
      <c r="L31" s="3354" t="s">
        <v>1996</v>
      </c>
      <c r="M31" s="2000">
        <v>0.25</v>
      </c>
      <c r="N31" s="2000">
        <v>0.2</v>
      </c>
      <c r="O31" s="2000">
        <v>0.15</v>
      </c>
      <c r="P31" s="2000">
        <v>0.1</v>
      </c>
      <c r="Q31" s="3349">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5" t="s">
        <v>1999</v>
      </c>
      <c r="M32" s="2570">
        <f>ROUND($E$24*(1+M31),3)</f>
        <v>5.3999999999999999E-2</v>
      </c>
      <c r="N32" s="2570">
        <f>ROUND($E$24*(1+N31),3)</f>
        <v>5.1999999999999998E-2</v>
      </c>
      <c r="O32" s="2570">
        <f>ROUND($E$24*(1+O31),3)</f>
        <v>0.05</v>
      </c>
      <c r="P32" s="2570">
        <f>ROUND($E$24*(1+P31),3)</f>
        <v>4.8000000000000001E-2</v>
      </c>
      <c r="Q32" s="3357">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6702</v>
      </c>
      <c r="D33" s="2098">
        <f>'数据-汇总表'!F19</f>
        <v>8240.15</v>
      </c>
      <c r="E33" s="773">
        <f>ROUND(C33*D33/10000,0)</f>
        <v>5523</v>
      </c>
      <c r="F33" s="3347" t="s">
        <v>3269</v>
      </c>
      <c r="G33" s="2099"/>
      <c r="H33" s="2099"/>
      <c r="I33" s="2099"/>
      <c r="J33" s="2100"/>
      <c r="K33" s="1119"/>
      <c r="L33" s="3350" t="s">
        <v>3272</v>
      </c>
      <c r="M33" s="3351">
        <v>5.5E-2</v>
      </c>
      <c r="N33" s="3351">
        <v>5.5E-2</v>
      </c>
      <c r="O33" s="3351">
        <v>0.05</v>
      </c>
      <c r="P33" s="3351">
        <v>0.05</v>
      </c>
      <c r="Q33" s="3351">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1005</v>
      </c>
      <c r="D34" s="2103"/>
      <c r="E34" s="773">
        <f>ROUND(IF(B25="楼层修正",SUM(V2:V16)*M40,C34*D34/10000),0)</f>
        <v>0</v>
      </c>
      <c r="F34" s="2104" t="s">
        <v>2032</v>
      </c>
      <c r="G34" s="2105"/>
      <c r="H34" s="2105"/>
      <c r="I34" s="2105"/>
      <c r="J34" s="2106"/>
      <c r="K34" s="1119"/>
      <c r="L34" s="3350" t="s">
        <v>3273</v>
      </c>
      <c r="M34" s="3351">
        <v>6.5000000000000002E-2</v>
      </c>
      <c r="N34" s="3351">
        <v>6.5000000000000002E-2</v>
      </c>
      <c r="O34" s="3351">
        <v>0.06</v>
      </c>
      <c r="P34" s="3351">
        <v>0.06</v>
      </c>
      <c r="Q34" s="3351">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8" t="s">
        <v>3270</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8" t="s">
        <v>3274</v>
      </c>
      <c r="L36" s="3459">
        <f ca="1">'数据-取费表'!B40</f>
        <v>4.1499999999999995E-2</v>
      </c>
      <c r="M36" s="3359">
        <f ca="1">ROUND($L$36*(1+M31),3)</f>
        <v>5.1999999999999998E-2</v>
      </c>
      <c r="N36" s="3359">
        <f ca="1">ROUND($L$36*(1+N31),3)</f>
        <v>0.05</v>
      </c>
      <c r="O36" s="3359">
        <f ca="1">ROUND($L$36*(1+O31),3)</f>
        <v>4.8000000000000001E-2</v>
      </c>
      <c r="P36" s="3359">
        <f ca="1">ROUND($L$36*(1+P31),3)</f>
        <v>4.5999999999999999E-2</v>
      </c>
      <c r="Q36" s="3359">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679"/>
      <c r="B37" s="2113" t="s">
        <v>2036</v>
      </c>
      <c r="C37" s="175">
        <f>ROUND(D5*C22*C23*C24*C28*F37,0)</f>
        <v>4021</v>
      </c>
      <c r="D37" s="2098"/>
      <c r="E37" s="171">
        <f>ROUND(C37*D37/10000,0)</f>
        <v>0</v>
      </c>
      <c r="F37" s="171">
        <f>SUMIF(修正!A57:A68,G2,修正!B57:B68)</f>
        <v>0.6</v>
      </c>
      <c r="G37" s="171">
        <f>ROUND(IF(E2="工业",C37*$M$42,C37*$M$41),0)</f>
        <v>603</v>
      </c>
      <c r="H37" s="171">
        <f>D37</f>
        <v>0</v>
      </c>
      <c r="I37" s="171">
        <f>ROUND(G37*H37/10000,0)</f>
        <v>0</v>
      </c>
      <c r="J37" s="3012"/>
      <c r="K37" s="3360" t="s">
        <v>3275</v>
      </c>
      <c r="L37" s="3358">
        <f ca="1">L36+K38</f>
        <v>4.6499999999999993E-2</v>
      </c>
      <c r="M37" s="3359">
        <f ca="1">ROUND($L$37*(1+M31),3)</f>
        <v>5.8000000000000003E-2</v>
      </c>
      <c r="N37" s="3359">
        <f t="shared" ref="N37:Q37" ca="1" si="3">ROUND($L$37*(1+N31),3)</f>
        <v>5.6000000000000001E-2</v>
      </c>
      <c r="O37" s="3359">
        <f t="shared" ca="1" si="3"/>
        <v>5.2999999999999999E-2</v>
      </c>
      <c r="P37" s="3359">
        <f t="shared" ca="1" si="3"/>
        <v>5.0999999999999997E-2</v>
      </c>
      <c r="Q37" s="3359">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680"/>
      <c r="B38" s="2041" t="s">
        <v>2037</v>
      </c>
      <c r="C38" s="175">
        <f>ROUND(D5*C22*C23*C24*C28*F38,0)</f>
        <v>2011</v>
      </c>
      <c r="D38" s="2098"/>
      <c r="E38" s="171">
        <f t="shared" ref="E38:E42" si="4">ROUND(C38*D38/10000,0)</f>
        <v>0</v>
      </c>
      <c r="F38" s="171">
        <f>SUMIF(修正!A57:A68,G2,修正!C57:C68)</f>
        <v>0.3</v>
      </c>
      <c r="G38" s="171">
        <f>ROUND(IF(E2="工业",C38*$M$42,C38*$M$41),0)</f>
        <v>302</v>
      </c>
      <c r="H38" s="171">
        <f t="shared" ref="H38:H42" si="5">D38</f>
        <v>0</v>
      </c>
      <c r="I38" s="171">
        <f t="shared" ref="I38:I42" si="6">ROUND(G38*H38/10000,0)</f>
        <v>0</v>
      </c>
      <c r="J38" s="3011"/>
      <c r="K38" s="3358">
        <v>5.0000000000000001E-3</v>
      </c>
      <c r="L38" s="3358"/>
      <c r="M38" s="3358"/>
      <c r="N38" s="3358"/>
      <c r="O38" s="3358"/>
      <c r="P38" s="3358"/>
      <c r="Q38" s="3358"/>
      <c r="R38" s="1119"/>
      <c r="S38" s="1119"/>
      <c r="T38" s="1119"/>
      <c r="U38" s="1119"/>
      <c r="V38" s="1119"/>
      <c r="W38" s="1119"/>
      <c r="X38" s="1119"/>
      <c r="Y38" s="1119"/>
      <c r="Z38" s="1120"/>
      <c r="AA38" s="1120"/>
      <c r="AB38" s="1120"/>
      <c r="AC38" s="1120"/>
      <c r="AD38" s="1120"/>
    </row>
    <row r="39" spans="1:37" ht="13.5" thickBot="1">
      <c r="A39" s="3680"/>
      <c r="B39" s="2041" t="s">
        <v>3268</v>
      </c>
      <c r="C39" s="175">
        <f>ROUND(D5*C22*C23*C24*C28*F39,0)</f>
        <v>1675</v>
      </c>
      <c r="D39" s="2098"/>
      <c r="E39" s="171">
        <f t="shared" si="4"/>
        <v>0</v>
      </c>
      <c r="F39" s="171">
        <f>SUMIF(修正!A57:A68,G2,修正!D57:D68)</f>
        <v>0.25</v>
      </c>
      <c r="G39" s="171">
        <f>ROUND(IF(E2="工业",C39*$M$42,C39*$M$41),0)</f>
        <v>251</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1675</v>
      </c>
      <c r="D40" s="2098"/>
      <c r="E40" s="171">
        <f t="shared" si="4"/>
        <v>0</v>
      </c>
      <c r="F40" s="175">
        <f>SUMIF(修正!A57:A68,G2,修正!E57:E68)</f>
        <v>0.25</v>
      </c>
      <c r="G40" s="171">
        <f>ROUND(IF(E2="工业",C40*$M$42,C40*$M$41),0)</f>
        <v>251</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1675</v>
      </c>
      <c r="D41" s="2098">
        <f>'数据-汇总表'!G20</f>
        <v>2028.52</v>
      </c>
      <c r="E41" s="171">
        <f t="shared" si="4"/>
        <v>340</v>
      </c>
      <c r="F41" s="175">
        <f>SUMIF(修正!A57:A68,G2,修正!F57:F68)</f>
        <v>0.25</v>
      </c>
      <c r="G41" s="171">
        <f>ROUND(IF(E2="工业",C41*$M$42,C41*$M$41),0)</f>
        <v>251</v>
      </c>
      <c r="H41" s="171">
        <f t="shared" si="5"/>
        <v>2028.52</v>
      </c>
      <c r="I41" s="171">
        <f t="shared" si="6"/>
        <v>51</v>
      </c>
      <c r="J41" s="2114"/>
      <c r="L41" s="3361" t="s">
        <v>3276</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1005</v>
      </c>
      <c r="D42" s="2103"/>
      <c r="E42" s="187">
        <f t="shared" si="4"/>
        <v>0</v>
      </c>
      <c r="F42" s="767">
        <f>SUMIF(修正!A57:A68,G2,修正!G57:G68)</f>
        <v>0.15</v>
      </c>
      <c r="G42" s="187">
        <f>ROUND(IF(E2="工业",C42*$M$42,C42*$M$41),0)</f>
        <v>151</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0.88080000000000003</v>
      </c>
      <c r="D44" s="171" t="s">
        <v>1999</v>
      </c>
      <c r="E44" s="2153">
        <f>G24</f>
        <v>0.05</v>
      </c>
      <c r="F44" s="171" t="s">
        <v>2008</v>
      </c>
      <c r="G44" s="183">
        <f>项目基本情况!G15</f>
        <v>33.4</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8">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8">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70" t="s">
        <v>3278</v>
      </c>
      <c r="B52" s="2134">
        <f>估价对象房地状况!C19</f>
        <v>0</v>
      </c>
      <c r="C52" s="2044"/>
      <c r="D52" s="1065">
        <f t="shared" si="7"/>
        <v>0</v>
      </c>
      <c r="E52" s="745"/>
      <c r="F52" s="1814"/>
      <c r="G52" s="1063"/>
      <c r="H52" s="1066" t="str">
        <f t="shared" si="8"/>
        <v>——</v>
      </c>
      <c r="I52" s="3368">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8">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8">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8">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8">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8">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9">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8">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8">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70" t="s">
        <v>3278</v>
      </c>
      <c r="B63" s="2134">
        <f>估价对象房地状况!C19</f>
        <v>0</v>
      </c>
      <c r="C63" s="2044"/>
      <c r="D63" s="1065">
        <f t="shared" si="12"/>
        <v>0</v>
      </c>
      <c r="E63" s="745"/>
      <c r="F63" s="1814"/>
      <c r="G63" s="1063"/>
      <c r="H63" s="1066" t="str">
        <f t="shared" si="13"/>
        <v>——</v>
      </c>
      <c r="I63" s="3368">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2"/>
        <v>0</v>
      </c>
      <c r="E64" s="745"/>
      <c r="F64" s="1814"/>
      <c r="G64" s="1063"/>
      <c r="H64" s="1066" t="str">
        <f t="shared" si="13"/>
        <v>——</v>
      </c>
      <c r="I64" s="3368">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2"/>
        <v>0</v>
      </c>
      <c r="E65" s="745"/>
      <c r="F65" s="1814"/>
      <c r="G65" s="1063"/>
      <c r="H65" s="1066" t="str">
        <f t="shared" si="13"/>
        <v>——</v>
      </c>
      <c r="I65" s="3368">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2"/>
        <v>0</v>
      </c>
      <c r="E66" s="745"/>
      <c r="F66" s="1814"/>
      <c r="G66" s="1063"/>
      <c r="H66" s="1066" t="str">
        <f t="shared" si="13"/>
        <v>——</v>
      </c>
      <c r="I66" s="3368">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2"/>
        <v>0</v>
      </c>
      <c r="E67" s="745"/>
      <c r="F67" s="1814"/>
      <c r="G67" s="1063"/>
      <c r="H67" s="1066" t="str">
        <f t="shared" si="13"/>
        <v>——</v>
      </c>
      <c r="I67" s="3368">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2"/>
        <v>0</v>
      </c>
      <c r="E68" s="745"/>
      <c r="F68" s="1814"/>
      <c r="G68" s="1063"/>
      <c r="H68" s="1066" t="str">
        <f t="shared" si="13"/>
        <v>——</v>
      </c>
      <c r="I68" s="3368">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9">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8">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8">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70" t="s">
        <v>3278</v>
      </c>
      <c r="B74" s="2134">
        <f>估价对象房地状况!C19</f>
        <v>0</v>
      </c>
      <c r="C74" s="2044"/>
      <c r="D74" s="1065">
        <f t="shared" si="17"/>
        <v>0</v>
      </c>
      <c r="E74" s="747"/>
      <c r="F74" s="1814"/>
      <c r="G74" s="1063"/>
      <c r="H74" s="1066" t="str">
        <f t="shared" si="18"/>
        <v>——</v>
      </c>
      <c r="I74" s="3368">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8">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8">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8">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8">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8">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9">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1.0375000000000001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t="s">
        <v>3397</v>
      </c>
      <c r="D83" s="1065">
        <f t="shared" ref="D83:D90" si="22">SUMIF($J$82:$N$82,C83,J83:N83)</f>
        <v>0</v>
      </c>
      <c r="E83" s="744">
        <f>ROUND(SUM(D83:D90),4)</f>
        <v>3.7499999999999999E-2</v>
      </c>
      <c r="F83" s="1814">
        <f>IF(E2="工业",SUMIF(L1:L12,G2,N1:N12),"——")</f>
        <v>0.1</v>
      </c>
      <c r="G83" s="1063">
        <f>H83</f>
        <v>1.2999999999999999E-2</v>
      </c>
      <c r="H83" s="1066">
        <f t="shared" ref="H83:H90" si="23">IFERROR(ROUNDDOWN($F$83*I83/2,4),"——")</f>
        <v>1.2999999999999999E-2</v>
      </c>
      <c r="I83" s="3368">
        <v>0.26</v>
      </c>
      <c r="J83" s="1064">
        <f t="shared" ref="J83:J90" si="24">K83+$G83</f>
        <v>2.5999999999999999E-2</v>
      </c>
      <c r="K83" s="1064">
        <f t="shared" ref="K83:K90" si="25">$L83+$G83</f>
        <v>1.2999999999999999E-2</v>
      </c>
      <c r="L83" s="1064">
        <v>0</v>
      </c>
      <c r="M83" s="1064">
        <f t="shared" ref="M83:N90" si="26">L83-$G83</f>
        <v>-1.2999999999999999E-2</v>
      </c>
      <c r="N83" s="1064">
        <f t="shared" si="26"/>
        <v>-2.5999999999999999E-2</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t="s">
        <v>3398</v>
      </c>
      <c r="D84" s="1065">
        <f t="shared" si="22"/>
        <v>1.4999999999999999E-2</v>
      </c>
      <c r="E84" s="747"/>
      <c r="F84" s="1814"/>
      <c r="G84" s="1063">
        <f t="shared" ref="G84:G90" si="27">H84</f>
        <v>1.4999999999999999E-2</v>
      </c>
      <c r="H84" s="1066">
        <f t="shared" si="23"/>
        <v>1.4999999999999999E-2</v>
      </c>
      <c r="I84" s="3368">
        <v>0.3</v>
      </c>
      <c r="J84" s="1064">
        <f t="shared" si="24"/>
        <v>0.03</v>
      </c>
      <c r="K84" s="1064">
        <f t="shared" si="25"/>
        <v>1.4999999999999999E-2</v>
      </c>
      <c r="L84" s="1064">
        <v>0</v>
      </c>
      <c r="M84" s="1064">
        <f t="shared" si="26"/>
        <v>-1.4999999999999999E-2</v>
      </c>
      <c r="N84" s="1064">
        <f t="shared" si="26"/>
        <v>-0.03</v>
      </c>
      <c r="Z84" s="1998"/>
      <c r="AA84" s="2053"/>
      <c r="AG84" s="1121"/>
      <c r="AK84" s="2053"/>
    </row>
    <row r="85" spans="1:37" ht="36">
      <c r="A85" s="3370" t="s">
        <v>3279</v>
      </c>
      <c r="B85" s="2134">
        <f>估价对象房地状况!G17</f>
        <v>0</v>
      </c>
      <c r="C85" s="2044" t="s">
        <v>3398</v>
      </c>
      <c r="D85" s="1065">
        <f t="shared" si="22"/>
        <v>5.0000000000000001E-3</v>
      </c>
      <c r="E85" s="747"/>
      <c r="F85" s="1814"/>
      <c r="G85" s="1063">
        <f t="shared" si="27"/>
        <v>5.0000000000000001E-3</v>
      </c>
      <c r="H85" s="1066">
        <f t="shared" si="23"/>
        <v>5.0000000000000001E-3</v>
      </c>
      <c r="I85" s="3368">
        <v>0.1</v>
      </c>
      <c r="J85" s="1064">
        <f t="shared" si="24"/>
        <v>0.01</v>
      </c>
      <c r="K85" s="1064">
        <f t="shared" si="25"/>
        <v>5.0000000000000001E-3</v>
      </c>
      <c r="L85" s="1064">
        <v>0</v>
      </c>
      <c r="M85" s="1064">
        <f t="shared" si="26"/>
        <v>-5.0000000000000001E-3</v>
      </c>
      <c r="N85" s="1064">
        <f t="shared" si="26"/>
        <v>-0.01</v>
      </c>
      <c r="Z85" s="1998"/>
      <c r="AA85" s="2053"/>
      <c r="AG85" s="1121"/>
      <c r="AK85" s="2053"/>
    </row>
    <row r="86" spans="1:37" ht="14.25">
      <c r="A86" s="2130" t="s">
        <v>2067</v>
      </c>
      <c r="B86" s="2134">
        <f>估价对象房地状况!G22</f>
        <v>0</v>
      </c>
      <c r="C86" s="2044" t="s">
        <v>3397</v>
      </c>
      <c r="D86" s="1065">
        <f t="shared" si="22"/>
        <v>0</v>
      </c>
      <c r="E86" s="747"/>
      <c r="F86" s="1814"/>
      <c r="G86" s="1063">
        <f t="shared" si="27"/>
        <v>2.5000000000000001E-3</v>
      </c>
      <c r="H86" s="1066">
        <f t="shared" si="23"/>
        <v>2.5000000000000001E-3</v>
      </c>
      <c r="I86" s="3368">
        <v>0.05</v>
      </c>
      <c r="J86" s="1064">
        <f t="shared" si="24"/>
        <v>5.0000000000000001E-3</v>
      </c>
      <c r="K86" s="1064">
        <f t="shared" si="25"/>
        <v>2.5000000000000001E-3</v>
      </c>
      <c r="L86" s="1064">
        <v>0</v>
      </c>
      <c r="M86" s="1064">
        <f t="shared" si="26"/>
        <v>-2.5000000000000001E-3</v>
      </c>
      <c r="N86" s="1064">
        <f t="shared" si="26"/>
        <v>-5.0000000000000001E-3</v>
      </c>
      <c r="Z86" s="1998"/>
      <c r="AA86" s="2053"/>
      <c r="AG86" s="1121"/>
      <c r="AK86" s="2053"/>
    </row>
    <row r="87" spans="1:37" ht="25.5">
      <c r="A87" s="2130" t="s">
        <v>2059</v>
      </c>
      <c r="B87" s="1326" t="str">
        <f>估价对象房地状况!G19</f>
        <v>估价对象所在区域公共配套设施齐备情况</v>
      </c>
      <c r="C87" s="2044" t="s">
        <v>3397</v>
      </c>
      <c r="D87" s="1065">
        <f t="shared" si="22"/>
        <v>0</v>
      </c>
      <c r="E87" s="747"/>
      <c r="F87" s="1814"/>
      <c r="G87" s="1063">
        <f t="shared" si="27"/>
        <v>3.0000000000000001E-3</v>
      </c>
      <c r="H87" s="1066">
        <f t="shared" si="23"/>
        <v>3.0000000000000001E-3</v>
      </c>
      <c r="I87" s="3368">
        <v>0.06</v>
      </c>
      <c r="J87" s="1064">
        <f t="shared" si="24"/>
        <v>6.0000000000000001E-3</v>
      </c>
      <c r="K87" s="1064">
        <f t="shared" si="25"/>
        <v>3.0000000000000001E-3</v>
      </c>
      <c r="L87" s="1064">
        <v>0</v>
      </c>
      <c r="M87" s="1064">
        <f t="shared" si="26"/>
        <v>-3.0000000000000001E-3</v>
      </c>
      <c r="N87" s="1064">
        <f t="shared" si="26"/>
        <v>-6.0000000000000001E-3</v>
      </c>
    </row>
    <row r="88" spans="1:37" ht="25.5">
      <c r="A88" s="2130" t="s">
        <v>2060</v>
      </c>
      <c r="B88" s="1326" t="str">
        <f>估价对象房地状况!G20</f>
        <v>估价对象所在区域基础设施水平</v>
      </c>
      <c r="C88" s="2044" t="s">
        <v>3399</v>
      </c>
      <c r="D88" s="1065">
        <f t="shared" si="22"/>
        <v>1.2E-2</v>
      </c>
      <c r="E88" s="747"/>
      <c r="F88" s="1814"/>
      <c r="G88" s="1063">
        <f t="shared" si="27"/>
        <v>6.0000000000000001E-3</v>
      </c>
      <c r="H88" s="1066">
        <f t="shared" si="23"/>
        <v>6.0000000000000001E-3</v>
      </c>
      <c r="I88" s="3368">
        <v>0.12</v>
      </c>
      <c r="J88" s="1064">
        <f t="shared" si="24"/>
        <v>1.2E-2</v>
      </c>
      <c r="K88" s="1064">
        <f t="shared" si="25"/>
        <v>6.0000000000000001E-3</v>
      </c>
      <c r="L88" s="1064">
        <v>0</v>
      </c>
      <c r="M88" s="1064">
        <f t="shared" si="26"/>
        <v>-6.0000000000000001E-3</v>
      </c>
      <c r="N88" s="1064">
        <f t="shared" si="26"/>
        <v>-1.2E-2</v>
      </c>
    </row>
    <row r="89" spans="1:37" ht="24">
      <c r="A89" s="2130" t="s">
        <v>2057</v>
      </c>
      <c r="B89" s="2136" t="s">
        <v>2071</v>
      </c>
      <c r="C89" s="2044" t="s">
        <v>3398</v>
      </c>
      <c r="D89" s="1065">
        <f t="shared" si="22"/>
        <v>3.0000000000000001E-3</v>
      </c>
      <c r="E89" s="747"/>
      <c r="F89" s="1814"/>
      <c r="G89" s="1063">
        <f t="shared" si="27"/>
        <v>3.0000000000000001E-3</v>
      </c>
      <c r="H89" s="1066">
        <f t="shared" si="23"/>
        <v>3.0000000000000001E-3</v>
      </c>
      <c r="I89" s="3368">
        <v>0.06</v>
      </c>
      <c r="J89" s="1064">
        <f t="shared" si="24"/>
        <v>6.0000000000000001E-3</v>
      </c>
      <c r="K89" s="1064">
        <f t="shared" si="25"/>
        <v>3.0000000000000001E-3</v>
      </c>
      <c r="L89" s="1064">
        <v>0</v>
      </c>
      <c r="M89" s="1064">
        <f t="shared" si="26"/>
        <v>-3.0000000000000001E-3</v>
      </c>
      <c r="N89" s="1064">
        <f t="shared" si="26"/>
        <v>-6.0000000000000001E-3</v>
      </c>
    </row>
    <row r="90" spans="1:37" ht="39" thickBot="1">
      <c r="A90" s="2138" t="s">
        <v>2072</v>
      </c>
      <c r="B90" s="2143" t="str">
        <f>估价对象房地状况!G18</f>
        <v>该园区内是否有污染型企业，绿化情况，卫生条件，整体环境状况判断</v>
      </c>
      <c r="C90" s="2044" t="s">
        <v>3398</v>
      </c>
      <c r="D90" s="1065">
        <f t="shared" si="22"/>
        <v>2.5000000000000001E-3</v>
      </c>
      <c r="E90" s="748"/>
      <c r="F90" s="1814"/>
      <c r="G90" s="1063">
        <f t="shared" si="27"/>
        <v>2.5000000000000001E-3</v>
      </c>
      <c r="H90" s="1066">
        <f t="shared" si="23"/>
        <v>2.5000000000000001E-3</v>
      </c>
      <c r="I90" s="3369">
        <v>0.05</v>
      </c>
      <c r="J90" s="1064">
        <f t="shared" si="24"/>
        <v>5.0000000000000001E-3</v>
      </c>
      <c r="K90" s="1064">
        <f t="shared" si="25"/>
        <v>2.5000000000000001E-3</v>
      </c>
      <c r="L90" s="1064">
        <v>0</v>
      </c>
      <c r="M90" s="1064">
        <f t="shared" si="26"/>
        <v>-2.5000000000000001E-3</v>
      </c>
      <c r="N90" s="1064">
        <f t="shared" si="26"/>
        <v>-5.0000000000000001E-3</v>
      </c>
    </row>
    <row r="91" spans="1:37" ht="15">
      <c r="A91" s="3378" t="s">
        <v>2615</v>
      </c>
      <c r="B91" s="3379">
        <f>1+E93</f>
        <v>1</v>
      </c>
      <c r="C91" s="3372"/>
      <c r="D91" s="3373"/>
      <c r="E91" s="1814"/>
      <c r="F91" s="1814"/>
      <c r="G91" s="3374"/>
      <c r="H91" s="3375"/>
      <c r="I91" s="3376"/>
      <c r="J91" s="3377"/>
      <c r="K91" s="3377"/>
      <c r="L91" s="3377"/>
      <c r="M91" s="3377"/>
      <c r="N91" s="3377"/>
    </row>
    <row r="92" spans="1:37" ht="24.75">
      <c r="A92" s="3380" t="s">
        <v>3280</v>
      </c>
      <c r="B92" s="3367"/>
      <c r="C92" s="3367" t="s">
        <v>3289</v>
      </c>
      <c r="D92" s="3367" t="s">
        <v>3290</v>
      </c>
      <c r="E92" s="3349" t="s">
        <v>3291</v>
      </c>
      <c r="F92" s="3382" t="s">
        <v>3292</v>
      </c>
      <c r="G92" s="3367" t="s">
        <v>3293</v>
      </c>
      <c r="H92" s="3389" t="s">
        <v>3296</v>
      </c>
      <c r="I92" s="3367" t="s">
        <v>3297</v>
      </c>
      <c r="J92" s="3390" t="s">
        <v>3298</v>
      </c>
      <c r="K92" s="3390" t="s">
        <v>3299</v>
      </c>
      <c r="L92" s="3390" t="s">
        <v>3300</v>
      </c>
      <c r="M92" s="3390" t="s">
        <v>3301</v>
      </c>
      <c r="N92" s="3390" t="s">
        <v>3302</v>
      </c>
    </row>
    <row r="93" spans="1:37" ht="24">
      <c r="A93" s="3370" t="s">
        <v>3281</v>
      </c>
      <c r="B93" s="1306"/>
      <c r="C93" s="2044"/>
      <c r="D93" s="3367">
        <f>SUMIF($J$92:$N$92,C93,J93:N93)</f>
        <v>0</v>
      </c>
      <c r="E93" s="3383">
        <f>ROUND(SUM(D93:D101),4)</f>
        <v>0</v>
      </c>
      <c r="F93" s="1814" t="str">
        <f>IF(E2="公共服务",SUMIF(L1:L12,G2,N1:N12),"——")</f>
        <v>——</v>
      </c>
      <c r="G93" s="3374"/>
      <c r="H93" s="3422" t="str">
        <f>IFERROR(ROUNDDOWN($F$93*I93/2,4),"——")</f>
        <v>——</v>
      </c>
      <c r="I93" s="3368">
        <v>0.25</v>
      </c>
      <c r="J93" s="3346">
        <f t="shared" ref="J93:J101" si="28">K93+$G93</f>
        <v>0</v>
      </c>
      <c r="K93" s="3346">
        <f t="shared" ref="K93:K101" si="29">$L93+$G93</f>
        <v>0</v>
      </c>
      <c r="L93" s="3346">
        <v>0</v>
      </c>
      <c r="M93" s="3346">
        <f t="shared" ref="M93:N101" si="30">L93-$G93</f>
        <v>0</v>
      </c>
      <c r="N93" s="3346">
        <f t="shared" si="30"/>
        <v>0</v>
      </c>
    </row>
    <row r="94" spans="1:37" ht="38.25">
      <c r="A94" s="3380" t="s">
        <v>3282</v>
      </c>
      <c r="B94" s="3371" t="str">
        <f>估价对象房地状况!C18</f>
        <v>估价对象周边道路状况、公共交通通达情况、停车便捷程度，综合评价交通便捷度较好</v>
      </c>
      <c r="C94" s="2044"/>
      <c r="D94" s="3367">
        <f t="shared" ref="D94:D101" si="31">SUMIF($J$60:$N$60,C94,J94:N94)</f>
        <v>0</v>
      </c>
      <c r="E94" s="3384"/>
      <c r="F94" s="1814"/>
      <c r="G94" s="3374"/>
      <c r="H94" s="3422" t="str">
        <f>IFERROR(ROUNDDOWN($F$93*I94/2,4),"——")</f>
        <v>——</v>
      </c>
      <c r="I94" s="3368">
        <v>0.26</v>
      </c>
      <c r="J94" s="3346">
        <f t="shared" si="28"/>
        <v>0</v>
      </c>
      <c r="K94" s="3346">
        <f t="shared" si="29"/>
        <v>0</v>
      </c>
      <c r="L94" s="3346">
        <v>0</v>
      </c>
      <c r="M94" s="3346">
        <f t="shared" si="30"/>
        <v>0</v>
      </c>
      <c r="N94" s="3346">
        <f t="shared" si="30"/>
        <v>0</v>
      </c>
    </row>
    <row r="95" spans="1:37" ht="36">
      <c r="A95" s="3370" t="s">
        <v>3278</v>
      </c>
      <c r="B95" s="3371">
        <f>估价对象房地状况!C19</f>
        <v>0</v>
      </c>
      <c r="C95" s="2044"/>
      <c r="D95" s="3367">
        <f t="shared" si="31"/>
        <v>0</v>
      </c>
      <c r="E95" s="3384"/>
      <c r="F95" s="1814"/>
      <c r="G95" s="3374"/>
      <c r="H95" s="3422" t="str">
        <f t="shared" ref="H95:H101" si="32">IFERROR(ROUNDDOWN($F$93*I95/2,4),"——")</f>
        <v>——</v>
      </c>
      <c r="I95" s="3368">
        <v>0.11</v>
      </c>
      <c r="J95" s="3346">
        <f t="shared" si="28"/>
        <v>0</v>
      </c>
      <c r="K95" s="3346">
        <f t="shared" si="29"/>
        <v>0</v>
      </c>
      <c r="L95" s="3346">
        <v>0</v>
      </c>
      <c r="M95" s="3346">
        <f t="shared" si="30"/>
        <v>0</v>
      </c>
      <c r="N95" s="3346">
        <f t="shared" si="30"/>
        <v>0</v>
      </c>
    </row>
    <row r="96" spans="1:37" ht="36.75">
      <c r="A96" s="3380" t="s">
        <v>3283</v>
      </c>
      <c r="B96" s="3386" t="s">
        <v>3294</v>
      </c>
      <c r="C96" s="2044"/>
      <c r="D96" s="3367">
        <f t="shared" si="31"/>
        <v>0</v>
      </c>
      <c r="E96" s="3384"/>
      <c r="F96" s="1814"/>
      <c r="G96" s="3374"/>
      <c r="H96" s="3422" t="str">
        <f t="shared" si="32"/>
        <v>——</v>
      </c>
      <c r="I96" s="3368">
        <v>0.05</v>
      </c>
      <c r="J96" s="3346">
        <f t="shared" si="28"/>
        <v>0</v>
      </c>
      <c r="K96" s="3346">
        <f t="shared" si="29"/>
        <v>0</v>
      </c>
      <c r="L96" s="3346">
        <v>0</v>
      </c>
      <c r="M96" s="3346">
        <f t="shared" si="30"/>
        <v>0</v>
      </c>
      <c r="N96" s="3346">
        <f t="shared" si="30"/>
        <v>0</v>
      </c>
    </row>
    <row r="97" spans="1:14" ht="24">
      <c r="A97" s="3380" t="s">
        <v>3284</v>
      </c>
      <c r="B97" s="3371">
        <f>估价对象房地状况!C24</f>
        <v>0</v>
      </c>
      <c r="C97" s="2044"/>
      <c r="D97" s="3367">
        <f t="shared" si="31"/>
        <v>0</v>
      </c>
      <c r="E97" s="3384"/>
      <c r="F97" s="1814"/>
      <c r="G97" s="3374"/>
      <c r="H97" s="3422" t="str">
        <f t="shared" si="32"/>
        <v>——</v>
      </c>
      <c r="I97" s="3368">
        <v>0.05</v>
      </c>
      <c r="J97" s="3346">
        <f t="shared" si="28"/>
        <v>0</v>
      </c>
      <c r="K97" s="3346">
        <f t="shared" si="29"/>
        <v>0</v>
      </c>
      <c r="L97" s="3346">
        <v>0</v>
      </c>
      <c r="M97" s="3346">
        <f t="shared" si="30"/>
        <v>0</v>
      </c>
      <c r="N97" s="3346">
        <f t="shared" si="30"/>
        <v>0</v>
      </c>
    </row>
    <row r="98" spans="1:14" ht="24">
      <c r="A98" s="3380" t="s">
        <v>3285</v>
      </c>
      <c r="B98" s="3387" t="s">
        <v>3295</v>
      </c>
      <c r="C98" s="2044"/>
      <c r="D98" s="3367">
        <f t="shared" si="31"/>
        <v>0</v>
      </c>
      <c r="E98" s="3384"/>
      <c r="F98" s="1814"/>
      <c r="G98" s="3374"/>
      <c r="H98" s="3422" t="str">
        <f t="shared" si="32"/>
        <v>——</v>
      </c>
      <c r="I98" s="3368">
        <v>0.06</v>
      </c>
      <c r="J98" s="3346">
        <f t="shared" si="28"/>
        <v>0</v>
      </c>
      <c r="K98" s="3346">
        <f t="shared" si="29"/>
        <v>0</v>
      </c>
      <c r="L98" s="3346">
        <v>0</v>
      </c>
      <c r="M98" s="3346">
        <f t="shared" si="30"/>
        <v>0</v>
      </c>
      <c r="N98" s="3346">
        <f t="shared" si="30"/>
        <v>0</v>
      </c>
    </row>
    <row r="99" spans="1:14" ht="25.5">
      <c r="A99" s="3380" t="s">
        <v>3286</v>
      </c>
      <c r="B99" s="3371" t="str">
        <f>估价对象房地状况!C21</f>
        <v>估价对象所在区域公共配套设施齐备情况</v>
      </c>
      <c r="C99" s="2044"/>
      <c r="D99" s="3367">
        <f t="shared" si="31"/>
        <v>0</v>
      </c>
      <c r="E99" s="3384"/>
      <c r="F99" s="1814"/>
      <c r="G99" s="3374"/>
      <c r="H99" s="3422" t="str">
        <f t="shared" si="32"/>
        <v>——</v>
      </c>
      <c r="I99" s="3368">
        <v>0.06</v>
      </c>
      <c r="J99" s="3346">
        <f t="shared" si="28"/>
        <v>0</v>
      </c>
      <c r="K99" s="3346">
        <f t="shared" si="29"/>
        <v>0</v>
      </c>
      <c r="L99" s="3346">
        <v>0</v>
      </c>
      <c r="M99" s="3346">
        <f t="shared" si="30"/>
        <v>0</v>
      </c>
      <c r="N99" s="3346">
        <f t="shared" si="30"/>
        <v>0</v>
      </c>
    </row>
    <row r="100" spans="1:14" ht="25.5">
      <c r="A100" s="3380" t="s">
        <v>3287</v>
      </c>
      <c r="B100" s="3371" t="str">
        <f>估价对象房地状况!C22</f>
        <v>估价对象所在区域基础设施水平</v>
      </c>
      <c r="C100" s="2044"/>
      <c r="D100" s="3367">
        <f t="shared" si="31"/>
        <v>0</v>
      </c>
      <c r="E100" s="3384"/>
      <c r="F100" s="1814"/>
      <c r="G100" s="3374"/>
      <c r="H100" s="3422" t="str">
        <f t="shared" si="32"/>
        <v>——</v>
      </c>
      <c r="I100" s="3368">
        <v>0.09</v>
      </c>
      <c r="J100" s="3346">
        <f t="shared" si="28"/>
        <v>0</v>
      </c>
      <c r="K100" s="3346">
        <f t="shared" si="29"/>
        <v>0</v>
      </c>
      <c r="L100" s="3346">
        <v>0</v>
      </c>
      <c r="M100" s="3346">
        <f t="shared" si="30"/>
        <v>0</v>
      </c>
      <c r="N100" s="3346">
        <f t="shared" si="30"/>
        <v>0</v>
      </c>
    </row>
    <row r="101" spans="1:14" ht="26.25" thickBot="1">
      <c r="A101" s="3381" t="s">
        <v>3288</v>
      </c>
      <c r="B101" s="3388" t="str">
        <f>估价对象房地状况!C20</f>
        <v>区域自然环境：；人文环境；综合评价环境状况一般</v>
      </c>
      <c r="C101" s="2044"/>
      <c r="D101" s="3367">
        <f t="shared" si="31"/>
        <v>0</v>
      </c>
      <c r="E101" s="3385"/>
      <c r="F101" s="1814"/>
      <c r="G101" s="3374"/>
      <c r="H101" s="3422" t="str">
        <f t="shared" si="32"/>
        <v>——</v>
      </c>
      <c r="I101" s="3369">
        <v>7.0000000000000007E-2</v>
      </c>
      <c r="J101" s="3346">
        <f t="shared" si="28"/>
        <v>0</v>
      </c>
      <c r="K101" s="3346">
        <f t="shared" si="29"/>
        <v>0</v>
      </c>
      <c r="L101" s="3346">
        <v>0</v>
      </c>
      <c r="M101" s="3346">
        <f t="shared" si="30"/>
        <v>0</v>
      </c>
      <c r="N101" s="3346">
        <f t="shared" si="30"/>
        <v>0</v>
      </c>
    </row>
    <row r="103" spans="1:14">
      <c r="A103" s="3677" t="s">
        <v>3303</v>
      </c>
      <c r="B103" s="3677"/>
      <c r="C103" s="3677"/>
      <c r="D103" s="3677"/>
      <c r="E103" s="3677"/>
      <c r="F103" s="3677"/>
      <c r="G103" s="3677"/>
      <c r="H103" s="3677"/>
      <c r="I103" s="3677"/>
      <c r="J103" s="3677"/>
      <c r="K103" s="3391"/>
      <c r="L103" s="3391"/>
      <c r="M103" s="3391"/>
      <c r="N103" s="3391"/>
    </row>
    <row r="104" spans="1:14">
      <c r="A104" s="3678" t="s">
        <v>3304</v>
      </c>
      <c r="B104" s="3678" t="s">
        <v>3305</v>
      </c>
      <c r="C104" s="3392" t="s">
        <v>3306</v>
      </c>
      <c r="D104" s="3393"/>
      <c r="E104" s="3393"/>
      <c r="F104" s="3393"/>
      <c r="G104" s="3393"/>
      <c r="H104" s="3393"/>
      <c r="I104" s="3393"/>
      <c r="J104" s="3394"/>
      <c r="K104" s="3395"/>
      <c r="L104" s="3395"/>
      <c r="M104" s="3395"/>
      <c r="N104" s="3395"/>
    </row>
    <row r="105" spans="1:14">
      <c r="A105" s="3678"/>
      <c r="B105" s="3678"/>
      <c r="C105" s="3396" t="s">
        <v>3307</v>
      </c>
      <c r="D105" s="3396" t="s">
        <v>3308</v>
      </c>
      <c r="E105" s="3396" t="s">
        <v>3309</v>
      </c>
      <c r="F105" s="3396" t="s">
        <v>3310</v>
      </c>
      <c r="G105" s="3396" t="s">
        <v>3311</v>
      </c>
      <c r="H105" s="3396" t="s">
        <v>3312</v>
      </c>
      <c r="I105" s="3396" t="s">
        <v>3313</v>
      </c>
      <c r="J105" s="3396" t="s">
        <v>3314</v>
      </c>
      <c r="K105" s="3396" t="s">
        <v>3315</v>
      </c>
      <c r="L105" s="3396" t="s">
        <v>3316</v>
      </c>
      <c r="M105" s="3396" t="s">
        <v>3317</v>
      </c>
      <c r="N105" s="3396" t="s">
        <v>3318</v>
      </c>
    </row>
    <row r="106" spans="1:14">
      <c r="A106" s="3664" t="s">
        <v>3319</v>
      </c>
      <c r="B106" s="3396">
        <v>1</v>
      </c>
      <c r="C106" s="3396">
        <v>1.5206</v>
      </c>
      <c r="D106" s="3396">
        <v>1.5206</v>
      </c>
      <c r="E106" s="3396">
        <v>1.5019</v>
      </c>
      <c r="F106" s="3396">
        <v>1.5019</v>
      </c>
      <c r="G106" s="3396">
        <v>1.5019</v>
      </c>
      <c r="H106" s="3396">
        <v>1.5019</v>
      </c>
      <c r="I106" s="3396">
        <v>1.5019</v>
      </c>
      <c r="J106" s="3396">
        <v>1.5418000000000001</v>
      </c>
      <c r="K106" s="3396">
        <v>1.5418000000000001</v>
      </c>
      <c r="L106" s="3396">
        <v>1.5418000000000001</v>
      </c>
      <c r="M106" s="3396">
        <v>1.5418000000000001</v>
      </c>
      <c r="N106" s="3396">
        <v>1.5418000000000001</v>
      </c>
    </row>
    <row r="107" spans="1:14">
      <c r="A107" s="3665"/>
      <c r="B107" s="3396">
        <v>2</v>
      </c>
      <c r="C107" s="3396">
        <v>1.2072000000000001</v>
      </c>
      <c r="D107" s="3396">
        <v>1.2072000000000001</v>
      </c>
      <c r="E107" s="3396">
        <v>1.1838</v>
      </c>
      <c r="F107" s="3396">
        <v>1.1838</v>
      </c>
      <c r="G107" s="3396">
        <v>1.1838</v>
      </c>
      <c r="H107" s="3396">
        <v>1.1838</v>
      </c>
      <c r="I107" s="3396">
        <v>1.1838</v>
      </c>
      <c r="J107" s="3396">
        <v>1.1883999999999999</v>
      </c>
      <c r="K107" s="3396">
        <v>1.1883999999999999</v>
      </c>
      <c r="L107" s="3396">
        <v>1.1883999999999999</v>
      </c>
      <c r="M107" s="3396">
        <v>1.1883999999999999</v>
      </c>
      <c r="N107" s="3396">
        <v>1.1883999999999999</v>
      </c>
    </row>
    <row r="108" spans="1:14">
      <c r="A108" s="3665"/>
      <c r="B108" s="3396">
        <v>3</v>
      </c>
      <c r="C108" s="3396">
        <v>1.0430999999999999</v>
      </c>
      <c r="D108" s="3396">
        <v>1.0430999999999999</v>
      </c>
      <c r="E108" s="3396">
        <v>1.0004999999999999</v>
      </c>
      <c r="F108" s="3396">
        <v>1.0004999999999999</v>
      </c>
      <c r="G108" s="3396">
        <v>1.0004999999999999</v>
      </c>
      <c r="H108" s="3396">
        <v>1.0004999999999999</v>
      </c>
      <c r="I108" s="3396">
        <v>1.0004999999999999</v>
      </c>
      <c r="J108" s="3396">
        <v>0.96940000000000004</v>
      </c>
      <c r="K108" s="3396">
        <v>0.96940000000000004</v>
      </c>
      <c r="L108" s="3396">
        <v>0.96940000000000004</v>
      </c>
      <c r="M108" s="3396">
        <v>0.96940000000000004</v>
      </c>
      <c r="N108" s="3396">
        <v>0.96940000000000004</v>
      </c>
    </row>
    <row r="109" spans="1:14">
      <c r="A109" s="3665"/>
      <c r="B109" s="3396">
        <v>4</v>
      </c>
      <c r="C109" s="3396">
        <v>0.94389999999999996</v>
      </c>
      <c r="D109" s="3396">
        <v>0.94389999999999996</v>
      </c>
      <c r="E109" s="3396">
        <v>0.88239999999999996</v>
      </c>
      <c r="F109" s="3396">
        <v>0.88239999999999996</v>
      </c>
      <c r="G109" s="3396">
        <v>0.88239999999999996</v>
      </c>
      <c r="H109" s="3396">
        <v>0.88239999999999996</v>
      </c>
      <c r="I109" s="3396">
        <v>0.88239999999999996</v>
      </c>
      <c r="J109" s="3396">
        <v>0.82299999999999995</v>
      </c>
      <c r="K109" s="3396">
        <v>0.82299999999999995</v>
      </c>
      <c r="L109" s="3396">
        <v>0.82299999999999995</v>
      </c>
      <c r="M109" s="3396">
        <v>0.82299999999999995</v>
      </c>
      <c r="N109" s="3396">
        <v>0.82299999999999995</v>
      </c>
    </row>
    <row r="110" spans="1:14">
      <c r="A110" s="3665"/>
      <c r="B110" s="3396">
        <v>5</v>
      </c>
      <c r="C110" s="3396">
        <v>0.89959999999999996</v>
      </c>
      <c r="D110" s="3396">
        <v>0.89959999999999996</v>
      </c>
      <c r="E110" s="3396">
        <v>0.84799999999999998</v>
      </c>
      <c r="F110" s="3396">
        <v>0.84799999999999998</v>
      </c>
      <c r="G110" s="3396">
        <v>0.84799999999999998</v>
      </c>
      <c r="H110" s="3396">
        <v>0.84799999999999998</v>
      </c>
      <c r="I110" s="3396">
        <v>0.84799999999999998</v>
      </c>
      <c r="J110" s="3396">
        <v>0.74980000000000002</v>
      </c>
      <c r="K110" s="3396">
        <v>0.74980000000000002</v>
      </c>
      <c r="L110" s="3396">
        <v>0.74980000000000002</v>
      </c>
      <c r="M110" s="3396">
        <v>0.74980000000000002</v>
      </c>
      <c r="N110" s="3396">
        <v>0.74980000000000002</v>
      </c>
    </row>
    <row r="111" spans="1:14">
      <c r="A111" s="3665"/>
      <c r="B111" s="3396" t="s">
        <v>3277</v>
      </c>
      <c r="C111" s="3397">
        <f>$I$3</f>
        <v>0</v>
      </c>
      <c r="D111" s="3397">
        <f t="shared" ref="D111:M111" si="33">$I$3</f>
        <v>0</v>
      </c>
      <c r="E111" s="3397">
        <f t="shared" si="33"/>
        <v>0</v>
      </c>
      <c r="F111" s="3397">
        <f t="shared" si="33"/>
        <v>0</v>
      </c>
      <c r="G111" s="3397">
        <f t="shared" si="33"/>
        <v>0</v>
      </c>
      <c r="H111" s="3397">
        <f t="shared" si="33"/>
        <v>0</v>
      </c>
      <c r="I111" s="3397">
        <f t="shared" si="33"/>
        <v>0</v>
      </c>
      <c r="J111" s="3397">
        <f t="shared" si="33"/>
        <v>0</v>
      </c>
      <c r="K111" s="3397">
        <f t="shared" si="33"/>
        <v>0</v>
      </c>
      <c r="L111" s="3397">
        <f t="shared" si="33"/>
        <v>0</v>
      </c>
      <c r="M111" s="3397">
        <f t="shared" si="33"/>
        <v>0</v>
      </c>
      <c r="N111" s="3397">
        <f>$I$3</f>
        <v>0</v>
      </c>
    </row>
    <row r="112" spans="1:14">
      <c r="A112" s="3666"/>
      <c r="B112" s="3396">
        <v>6</v>
      </c>
      <c r="C112" s="3389">
        <f>(-0.5556*(C111^2)-0.2719*C111+8944)*(10^(-4))</f>
        <v>0.89440000000000008</v>
      </c>
      <c r="D112" s="3389">
        <f>(-0.5556*(D111^2)-0.2719*D111+8944)*(10^(-4))</f>
        <v>0.89440000000000008</v>
      </c>
      <c r="E112" s="3389">
        <f>(-0.7912*(E111^2)-11.3794*E111+8482)*(10^(-4))</f>
        <v>0.84820000000000007</v>
      </c>
      <c r="F112" s="3389">
        <f t="shared" ref="F112:I112" si="34">(-0.7912*(F111^2)-11.3794*F111+8482)*(10^(-4))</f>
        <v>0.84820000000000007</v>
      </c>
      <c r="G112" s="3389">
        <f t="shared" si="34"/>
        <v>0.84820000000000007</v>
      </c>
      <c r="H112" s="3389">
        <f t="shared" si="34"/>
        <v>0.84820000000000007</v>
      </c>
      <c r="I112" s="3389">
        <f t="shared" si="34"/>
        <v>0.84820000000000007</v>
      </c>
      <c r="J112" s="3389">
        <f>(-0.989*(J111^2)-63.78*J111+7771)*(10^(-4))</f>
        <v>0.77710000000000001</v>
      </c>
      <c r="K112" s="3389">
        <f t="shared" ref="K112:N112" si="35">(-0.989*(K111^2)-63.78*K111+7771)*(10^(-4))</f>
        <v>0.77710000000000001</v>
      </c>
      <c r="L112" s="3389">
        <f t="shared" si="35"/>
        <v>0.77710000000000001</v>
      </c>
      <c r="M112" s="3389">
        <f t="shared" si="35"/>
        <v>0.77710000000000001</v>
      </c>
      <c r="N112" s="3389">
        <f t="shared" si="35"/>
        <v>0.77710000000000001</v>
      </c>
    </row>
    <row r="113" spans="1:14">
      <c r="A113" s="3667" t="s">
        <v>3320</v>
      </c>
      <c r="B113" s="3667"/>
      <c r="C113" s="3667"/>
      <c r="D113" s="3667"/>
      <c r="E113" s="3667"/>
      <c r="F113" s="3667"/>
      <c r="G113" s="3667"/>
      <c r="H113" s="3667"/>
      <c r="I113" s="3667"/>
      <c r="J113" s="3667"/>
      <c r="K113" s="3398"/>
      <c r="L113" s="3398"/>
      <c r="M113" s="3398"/>
      <c r="N113" s="3398"/>
    </row>
    <row r="114" spans="1:14">
      <c r="A114" s="3399"/>
      <c r="B114" s="3399"/>
      <c r="C114" s="3399"/>
      <c r="D114" s="3399"/>
      <c r="E114" s="3399"/>
      <c r="F114" s="3399"/>
      <c r="G114" s="3399"/>
      <c r="H114" s="3399"/>
      <c r="I114" s="3399"/>
      <c r="J114" s="3399"/>
      <c r="K114" s="3358"/>
      <c r="L114" s="3399"/>
      <c r="M114" s="3399"/>
      <c r="N114" s="3399"/>
    </row>
    <row r="115" spans="1:14" ht="13.5" thickBot="1">
      <c r="A115" s="3399"/>
      <c r="B115" s="3399"/>
      <c r="C115" s="3399"/>
      <c r="D115" s="3399"/>
      <c r="E115" s="3399"/>
      <c r="F115" s="3399"/>
      <c r="G115" s="3399"/>
      <c r="H115" s="3399"/>
      <c r="I115" s="3399"/>
      <c r="J115" s="3399"/>
      <c r="K115" s="3358"/>
      <c r="L115" s="3399"/>
      <c r="M115" s="3399"/>
      <c r="N115" s="3399"/>
    </row>
    <row r="116" spans="1:14" ht="25.5" thickBot="1">
      <c r="A116" s="3400" t="s">
        <v>3321</v>
      </c>
      <c r="B116" s="3417">
        <f>G3</f>
        <v>2</v>
      </c>
      <c r="C116" s="3401" t="s">
        <v>3322</v>
      </c>
      <c r="D116" s="3402">
        <f>SUMPRODUCT((A118:A122=F116)*(B117:M117=H116)*B118:M122)</f>
        <v>0.72299999999999998</v>
      </c>
      <c r="E116" s="2000" t="s">
        <v>3323</v>
      </c>
      <c r="F116" s="3403" t="str">
        <f>E2</f>
        <v>工业</v>
      </c>
      <c r="G116" s="2000" t="s">
        <v>3324</v>
      </c>
      <c r="H116" s="3403" t="str">
        <f>G2</f>
        <v>五级</v>
      </c>
      <c r="I116" s="2000"/>
      <c r="J116" s="3404"/>
      <c r="K116" s="3404"/>
      <c r="L116" s="3404"/>
      <c r="M116" s="3404"/>
      <c r="N116" s="3399"/>
    </row>
    <row r="117" spans="1:14">
      <c r="A117" s="3405"/>
      <c r="B117" s="3406" t="s">
        <v>3325</v>
      </c>
      <c r="C117" s="3406" t="s">
        <v>3326</v>
      </c>
      <c r="D117" s="3406" t="s">
        <v>3327</v>
      </c>
      <c r="E117" s="3407" t="s">
        <v>3328</v>
      </c>
      <c r="F117" s="3407" t="s">
        <v>3329</v>
      </c>
      <c r="G117" s="3407" t="s">
        <v>3330</v>
      </c>
      <c r="H117" s="3408" t="s">
        <v>3331</v>
      </c>
      <c r="I117" s="3408" t="s">
        <v>3332</v>
      </c>
      <c r="J117" s="3409" t="s">
        <v>3333</v>
      </c>
      <c r="K117" s="3409" t="s">
        <v>3334</v>
      </c>
      <c r="L117" s="3409" t="s">
        <v>3335</v>
      </c>
      <c r="M117" s="3410" t="s">
        <v>3336</v>
      </c>
      <c r="N117" s="3399"/>
    </row>
    <row r="118" spans="1:14">
      <c r="A118" s="3411" t="s">
        <v>3337</v>
      </c>
      <c r="B118" s="3389">
        <f>ROUND(0.9968-0.011*B116,4)</f>
        <v>0.9748</v>
      </c>
      <c r="C118" s="3389">
        <f>B118</f>
        <v>0.9748</v>
      </c>
      <c r="D118" s="3389">
        <f>ROUND(0.949-0.014*B116,4)</f>
        <v>0.92100000000000004</v>
      </c>
      <c r="E118" s="3389">
        <f>D118</f>
        <v>0.92100000000000004</v>
      </c>
      <c r="F118" s="3389">
        <f>E118</f>
        <v>0.92100000000000004</v>
      </c>
      <c r="G118" s="3389">
        <f>F118</f>
        <v>0.92100000000000004</v>
      </c>
      <c r="H118" s="3389">
        <f>G118</f>
        <v>0.92100000000000004</v>
      </c>
      <c r="I118" s="3389">
        <f>ROUND(0.8486-0.018*B116,4)</f>
        <v>0.81259999999999999</v>
      </c>
      <c r="J118" s="3389">
        <f t="shared" ref="J118:M122" si="36">I118</f>
        <v>0.81259999999999999</v>
      </c>
      <c r="K118" s="3389">
        <f t="shared" si="36"/>
        <v>0.81259999999999999</v>
      </c>
      <c r="L118" s="3389">
        <f t="shared" si="36"/>
        <v>0.81259999999999999</v>
      </c>
      <c r="M118" s="3412">
        <f t="shared" si="36"/>
        <v>0.81259999999999999</v>
      </c>
      <c r="N118" s="3399"/>
    </row>
    <row r="119" spans="1:14">
      <c r="A119" s="3411" t="s">
        <v>3338</v>
      </c>
      <c r="B119" s="3389">
        <f>ROUND(0.993-0.0112*B116,4)</f>
        <v>0.97060000000000002</v>
      </c>
      <c r="C119" s="3389">
        <f>B119</f>
        <v>0.97060000000000002</v>
      </c>
      <c r="D119" s="3389">
        <f>ROUND(0.9415-0.0142*B116,4)</f>
        <v>0.91310000000000002</v>
      </c>
      <c r="E119" s="3389">
        <f t="shared" ref="E119:H120" si="37">D119</f>
        <v>0.91310000000000002</v>
      </c>
      <c r="F119" s="3389">
        <f t="shared" si="37"/>
        <v>0.91310000000000002</v>
      </c>
      <c r="G119" s="3389">
        <f t="shared" si="37"/>
        <v>0.91310000000000002</v>
      </c>
      <c r="H119" s="3389">
        <f t="shared" si="37"/>
        <v>0.91310000000000002</v>
      </c>
      <c r="I119" s="3389">
        <f>ROUND(0.838-0.0182*B116,4)</f>
        <v>0.80159999999999998</v>
      </c>
      <c r="J119" s="3389">
        <f t="shared" si="36"/>
        <v>0.80159999999999998</v>
      </c>
      <c r="K119" s="3389">
        <f t="shared" si="36"/>
        <v>0.80159999999999998</v>
      </c>
      <c r="L119" s="3389">
        <f t="shared" si="36"/>
        <v>0.80159999999999998</v>
      </c>
      <c r="M119" s="3412">
        <f t="shared" si="36"/>
        <v>0.80159999999999998</v>
      </c>
      <c r="N119" s="3399"/>
    </row>
    <row r="120" spans="1:14">
      <c r="A120" s="3411" t="s">
        <v>3339</v>
      </c>
      <c r="B120" s="3389">
        <f>ROUND(0.9448-0.0115*B116,4)</f>
        <v>0.92179999999999995</v>
      </c>
      <c r="C120" s="3389">
        <f>B120</f>
        <v>0.92179999999999995</v>
      </c>
      <c r="D120" s="3389">
        <f>ROUND(0.937-0.0145*B116,4)</f>
        <v>0.90800000000000003</v>
      </c>
      <c r="E120" s="3389">
        <f t="shared" si="37"/>
        <v>0.90800000000000003</v>
      </c>
      <c r="F120" s="3389">
        <f t="shared" si="37"/>
        <v>0.90800000000000003</v>
      </c>
      <c r="G120" s="3389">
        <f t="shared" si="37"/>
        <v>0.90800000000000003</v>
      </c>
      <c r="H120" s="3389">
        <f t="shared" si="37"/>
        <v>0.90800000000000003</v>
      </c>
      <c r="I120" s="3389">
        <f>ROUND(0.7965-0.0185*B116,4)</f>
        <v>0.75949999999999995</v>
      </c>
      <c r="J120" s="3389">
        <f t="shared" si="36"/>
        <v>0.75949999999999995</v>
      </c>
      <c r="K120" s="3389">
        <f t="shared" si="36"/>
        <v>0.75949999999999995</v>
      </c>
      <c r="L120" s="3389">
        <f t="shared" si="36"/>
        <v>0.75949999999999995</v>
      </c>
      <c r="M120" s="3412">
        <f t="shared" si="36"/>
        <v>0.75949999999999995</v>
      </c>
      <c r="N120" s="3399"/>
    </row>
    <row r="121" spans="1:14" ht="13.5" thickBot="1">
      <c r="A121" s="3413" t="s">
        <v>3340</v>
      </c>
      <c r="B121" s="3414">
        <f>ROUND(0.7836-0.012*B116,4)</f>
        <v>0.75960000000000005</v>
      </c>
      <c r="C121" s="3414">
        <f>B121</f>
        <v>0.75960000000000005</v>
      </c>
      <c r="D121" s="3414">
        <f>ROUND(0.753-0.015*B116,4)</f>
        <v>0.72299999999999998</v>
      </c>
      <c r="E121" s="3414">
        <f>D121</f>
        <v>0.72299999999999998</v>
      </c>
      <c r="F121" s="3414">
        <f>E121</f>
        <v>0.72299999999999998</v>
      </c>
      <c r="G121" s="3414">
        <f>ROUND(0.6612-0.018*B116,4)</f>
        <v>0.62519999999999998</v>
      </c>
      <c r="H121" s="3414">
        <f>G121</f>
        <v>0.62519999999999998</v>
      </c>
      <c r="I121" s="3414">
        <f>ROUND(0.5905-0.019*B116,4)</f>
        <v>0.55249999999999999</v>
      </c>
      <c r="J121" s="3414">
        <f t="shared" si="36"/>
        <v>0.55249999999999999</v>
      </c>
      <c r="K121" s="3414">
        <f t="shared" si="36"/>
        <v>0.55249999999999999</v>
      </c>
      <c r="L121" s="3414">
        <f t="shared" si="36"/>
        <v>0.55249999999999999</v>
      </c>
      <c r="M121" s="3415">
        <f t="shared" si="36"/>
        <v>0.55249999999999999</v>
      </c>
      <c r="N121" s="3399"/>
    </row>
    <row r="122" spans="1:14">
      <c r="A122" s="3416" t="s">
        <v>2615</v>
      </c>
      <c r="B122" s="3389">
        <f>ROUND(0.9404-0.0106*B116,4)</f>
        <v>0.91920000000000002</v>
      </c>
      <c r="C122" s="3389">
        <f>B122</f>
        <v>0.91920000000000002</v>
      </c>
      <c r="D122" s="3389">
        <f>ROUND(0.8955-0.0135*B116,4)</f>
        <v>0.86850000000000005</v>
      </c>
      <c r="E122" s="3389">
        <f t="shared" ref="E122:H122" si="38">D122</f>
        <v>0.86850000000000005</v>
      </c>
      <c r="F122" s="3389">
        <f t="shared" si="38"/>
        <v>0.86850000000000005</v>
      </c>
      <c r="G122" s="3389">
        <f t="shared" si="38"/>
        <v>0.86850000000000005</v>
      </c>
      <c r="H122" s="3389">
        <f t="shared" si="38"/>
        <v>0.86850000000000005</v>
      </c>
      <c r="I122" s="3389">
        <f>ROUND(0.7632-0.0166*B116,4)</f>
        <v>0.73</v>
      </c>
      <c r="J122" s="3389">
        <f t="shared" si="36"/>
        <v>0.73</v>
      </c>
      <c r="K122" s="3389">
        <f t="shared" si="36"/>
        <v>0.73</v>
      </c>
      <c r="L122" s="3389">
        <f t="shared" si="36"/>
        <v>0.73</v>
      </c>
      <c r="M122" s="3412">
        <f t="shared" si="36"/>
        <v>0.73</v>
      </c>
      <c r="N122" s="3399"/>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81" priority="6" stopIfTrue="1" operator="notEqual">
      <formula>"——"</formula>
    </cfRule>
  </conditionalFormatting>
  <conditionalFormatting sqref="F61">
    <cfRule type="cellIs" dxfId="180" priority="5" stopIfTrue="1" operator="notEqual">
      <formula>"——"</formula>
    </cfRule>
  </conditionalFormatting>
  <conditionalFormatting sqref="F72">
    <cfRule type="cellIs" dxfId="179" priority="4" stopIfTrue="1" operator="notEqual">
      <formula>"——"</formula>
    </cfRule>
  </conditionalFormatting>
  <conditionalFormatting sqref="F83">
    <cfRule type="cellIs" dxfId="178" priority="3" stopIfTrue="1" operator="notEqual">
      <formula>"——"</formula>
    </cfRule>
  </conditionalFormatting>
  <conditionalFormatting sqref="H50:H58 H61:H69 H72:H80 H83:H91">
    <cfRule type="cellIs" dxfId="177" priority="2" operator="notEqual">
      <formula>"——"</formula>
    </cfRule>
  </conditionalFormatting>
  <conditionalFormatting sqref="H93:H101">
    <cfRule type="cellIs" dxfId="17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103" zoomScaleNormal="100" zoomScaleSheetLayoutView="100" zoomScalePageLayoutView="80" workbookViewId="0">
      <selection activeCell="J35" sqref="J35"/>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v>
      </c>
      <c r="D1" s="1747"/>
      <c r="E1" s="1747"/>
      <c r="F1" s="1749" t="s">
        <v>1263</v>
      </c>
      <c r="G1" s="1561"/>
      <c r="H1" s="1750" t="str">
        <f>IF(G1="现房","——","估价对象范围")</f>
        <v>估价对象范围</v>
      </c>
      <c r="I1" s="1751"/>
    </row>
    <row r="2" spans="1:12" ht="21.75" customHeight="1" thickBot="1">
      <c r="A2" s="3601" t="str">
        <f>项目基本情况!S2</f>
        <v>北京市房地产</v>
      </c>
      <c r="B2" s="3602"/>
      <c r="C2" s="3602"/>
      <c r="D2" s="3602"/>
      <c r="E2" s="3602"/>
      <c r="F2" s="3602"/>
      <c r="G2" s="3602"/>
      <c r="H2" s="3602"/>
      <c r="I2" s="3603"/>
    </row>
    <row r="3" spans="1:12" ht="12.75">
      <c r="A3" s="3605" t="s">
        <v>1264</v>
      </c>
      <c r="B3" s="3606"/>
      <c r="C3" s="3606"/>
      <c r="D3" s="3606"/>
      <c r="E3" s="3606"/>
      <c r="F3" s="3606"/>
      <c r="G3" s="3606"/>
      <c r="H3" s="3606"/>
      <c r="I3" s="3606"/>
    </row>
    <row r="4" spans="1:12" ht="14.25">
      <c r="A4" s="1754" t="s">
        <v>1265</v>
      </c>
      <c r="B4" s="1755" t="s">
        <v>1266</v>
      </c>
      <c r="C4" s="1756" t="s">
        <v>3406</v>
      </c>
      <c r="D4" s="1756" t="s">
        <v>3388</v>
      </c>
      <c r="E4" s="3607" t="s">
        <v>1267</v>
      </c>
      <c r="F4" s="3608"/>
      <c r="G4" s="3608"/>
      <c r="H4" s="3608"/>
      <c r="I4" s="3609"/>
      <c r="K4" s="146" t="str">
        <f>IF(ISNUMBER(FIND("比较法",'结果表 (2)'!C4)),"比较法",IF(ISNUMBER(FIND("成本法",'结果表 (2)'!C4)),"成本法",IF(ISNUMBER(FIND("假设开发法",'结果表 (2)'!C4)),"假设开发法",IF(ISNUMBER(FIND("收益法",'结果表 (2)'!C4)),"收益法","基准地价系数修正法"))))</f>
        <v>比较法</v>
      </c>
      <c r="L4" s="146" t="str">
        <f>IF(ISNUMBER(FIND("比较法",'结果表 (2)'!D4)),"比较法",IF(ISNUMBER(FIND("成本法",'结果表 (2)'!D4)),"成本法",IF(ISNUMBER(FIND("假设开发法",'结果表 (2)'!D4)),"假设开发法",IF(ISNUMBER(FIND("收益法",'结果表 (2)'!D4)),"收益法","基准地价系数修正法"))))</f>
        <v>收益法</v>
      </c>
    </row>
    <row r="5" spans="1:12" ht="12.75">
      <c r="A5" s="3581" t="s">
        <v>1268</v>
      </c>
      <c r="B5" s="3568">
        <v>25</v>
      </c>
      <c r="C5" s="3584"/>
      <c r="D5" s="3604"/>
      <c r="E5" s="131" t="s">
        <v>1269</v>
      </c>
      <c r="F5" s="1757"/>
      <c r="G5" s="1757"/>
      <c r="H5" s="1757"/>
      <c r="I5" s="1373"/>
    </row>
    <row r="6" spans="1:12" ht="12.75">
      <c r="A6" s="3581"/>
      <c r="B6" s="3568"/>
      <c r="C6" s="3585"/>
      <c r="D6" s="3604"/>
      <c r="E6" s="131" t="s">
        <v>1270</v>
      </c>
      <c r="F6" s="1757"/>
      <c r="G6" s="1757"/>
      <c r="H6" s="1757"/>
      <c r="I6" s="1373"/>
    </row>
    <row r="7" spans="1:12" ht="12.75">
      <c r="A7" s="3581"/>
      <c r="B7" s="3568"/>
      <c r="C7" s="3586"/>
      <c r="D7" s="3604"/>
      <c r="E7" s="131" t="s">
        <v>1271</v>
      </c>
      <c r="F7" s="1757"/>
      <c r="G7" s="1757"/>
      <c r="H7" s="1757"/>
      <c r="I7" s="1373"/>
    </row>
    <row r="8" spans="1:12" ht="12.75">
      <c r="A8" s="3581" t="s">
        <v>1272</v>
      </c>
      <c r="B8" s="3568">
        <v>15</v>
      </c>
      <c r="C8" s="3584"/>
      <c r="D8" s="3604"/>
      <c r="E8" s="131" t="s">
        <v>1273</v>
      </c>
      <c r="F8" s="1757"/>
      <c r="G8" s="1757"/>
      <c r="H8" s="1757"/>
      <c r="I8" s="1373"/>
    </row>
    <row r="9" spans="1:12" ht="12.75">
      <c r="A9" s="3581"/>
      <c r="B9" s="3568"/>
      <c r="C9" s="3586"/>
      <c r="D9" s="3604"/>
      <c r="E9" s="131" t="s">
        <v>1274</v>
      </c>
      <c r="F9" s="1757"/>
      <c r="G9" s="1757"/>
      <c r="H9" s="1757"/>
      <c r="I9" s="1373"/>
    </row>
    <row r="10" spans="1:12" ht="12.75">
      <c r="A10" s="3581" t="s">
        <v>1275</v>
      </c>
      <c r="B10" s="3568">
        <v>15</v>
      </c>
      <c r="C10" s="3584"/>
      <c r="D10" s="3604"/>
      <c r="E10" s="131" t="s">
        <v>1276</v>
      </c>
      <c r="F10" s="1757"/>
      <c r="G10" s="1757"/>
      <c r="H10" s="1757"/>
      <c r="I10" s="1373"/>
    </row>
    <row r="11" spans="1:12" ht="12.75">
      <c r="A11" s="3581"/>
      <c r="B11" s="3568"/>
      <c r="C11" s="3586"/>
      <c r="D11" s="3604"/>
      <c r="E11" s="131" t="s">
        <v>1277</v>
      </c>
      <c r="F11" s="1757"/>
      <c r="G11" s="1757"/>
      <c r="H11" s="1757"/>
      <c r="I11" s="1373"/>
    </row>
    <row r="12" spans="1:12" ht="12.75">
      <c r="A12" s="3581" t="s">
        <v>1278</v>
      </c>
      <c r="B12" s="3568">
        <v>15</v>
      </c>
      <c r="C12" s="3584"/>
      <c r="D12" s="3604"/>
      <c r="E12" s="131" t="s">
        <v>1279</v>
      </c>
      <c r="F12" s="1757"/>
      <c r="G12" s="1757"/>
      <c r="H12" s="1757"/>
      <c r="I12" s="1373"/>
    </row>
    <row r="13" spans="1:12" ht="12.75">
      <c r="A13" s="3581"/>
      <c r="B13" s="3568"/>
      <c r="C13" s="3586"/>
      <c r="D13" s="3604"/>
      <c r="E13" s="131" t="s">
        <v>1280</v>
      </c>
      <c r="F13" s="1757"/>
      <c r="G13" s="1757"/>
      <c r="H13" s="1757"/>
      <c r="I13" s="1373"/>
    </row>
    <row r="14" spans="1:12" ht="12.75">
      <c r="A14" s="3581" t="s">
        <v>1281</v>
      </c>
      <c r="B14" s="3568">
        <v>30</v>
      </c>
      <c r="C14" s="3584">
        <v>5</v>
      </c>
      <c r="D14" s="3604">
        <v>5</v>
      </c>
      <c r="E14" s="131" t="s">
        <v>1282</v>
      </c>
      <c r="F14" s="1757"/>
      <c r="G14" s="1757"/>
      <c r="H14" s="1757"/>
      <c r="I14" s="1373"/>
    </row>
    <row r="15" spans="1:12" ht="12.75">
      <c r="A15" s="3581"/>
      <c r="B15" s="3568"/>
      <c r="C15" s="3585"/>
      <c r="D15" s="3604"/>
      <c r="E15" s="131" t="s">
        <v>1283</v>
      </c>
      <c r="F15" s="1757"/>
      <c r="G15" s="1757"/>
      <c r="H15" s="1757"/>
      <c r="I15" s="1373"/>
    </row>
    <row r="16" spans="1:12" ht="12.75">
      <c r="A16" s="3581"/>
      <c r="B16" s="3568"/>
      <c r="C16" s="3586"/>
      <c r="D16" s="3604"/>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591" t="s">
        <v>2131</v>
      </c>
      <c r="F18" s="3592"/>
      <c r="G18" s="3592"/>
      <c r="H18" s="3592"/>
      <c r="I18" s="3592"/>
      <c r="K18" s="302" t="s">
        <v>1289</v>
      </c>
      <c r="L18" s="302">
        <f>IF(C1="",'数据-汇总表'!E3,SUMIF(项目类型,C1,'数据-汇总表'!E17:E26)+SUMIF(项目类型,C1,'数据-汇总表'!I17:I26))</f>
        <v>8240.15</v>
      </c>
      <c r="M18" s="302">
        <f>IF(C1="",'数据-汇总表'!E3,SUMIF(项目类型,C1,'数据-汇总表'!E17:E26))</f>
        <v>8240.15</v>
      </c>
    </row>
    <row r="19" spans="1:36" ht="15">
      <c r="A19" s="1761" t="s">
        <v>1290</v>
      </c>
      <c r="B19" s="1762" t="s">
        <v>1291</v>
      </c>
      <c r="C19" s="134">
        <f ca="1">SUMIF(INDIRECT("'"&amp;C4&amp;"'"&amp;"!A:A"),'结果表 (2)'!B19,INDIRECT("'"&amp;C4&amp;"'"&amp;"!B:B"))</f>
        <v>29514</v>
      </c>
      <c r="D19" s="135">
        <f ca="1">SUMIF(INDIRECT("'"&amp;D4&amp;"'"&amp;"!A:A"),'结果表 (2)'!B19,INDIRECT("'"&amp;D4&amp;"'"&amp;"!B:B"))</f>
        <v>25991</v>
      </c>
      <c r="E19" s="1761" t="s">
        <v>1292</v>
      </c>
      <c r="F19" s="1762" t="s">
        <v>1291</v>
      </c>
      <c r="G19" s="136">
        <f ca="1">ROUND(C19*$C$18+D19*$D$18,0)</f>
        <v>27753</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 (2)'!B20,INDIRECT("'"&amp;C4&amp;"'"&amp;"!B:B"))</f>
        <v>35817</v>
      </c>
      <c r="D20" s="138">
        <f ca="1">SUMIF(INDIRECT("'"&amp;D4&amp;"'"&amp;"!A:A"),'结果表 (2)'!B20,INDIRECT("'"&amp;D4&amp;"'"&amp;"!B:B"))</f>
        <v>31542</v>
      </c>
      <c r="E20" s="1764"/>
      <c r="F20" s="1026" t="s">
        <v>1295</v>
      </c>
      <c r="G20" s="139">
        <f ca="1">ROUND(C20*$C$18+D20*$D$18,0)</f>
        <v>33680</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0.13554692008772262</v>
      </c>
      <c r="E22" s="129"/>
      <c r="F22" s="129"/>
      <c r="G22" s="129"/>
      <c r="H22" s="129"/>
      <c r="I22" s="129"/>
    </row>
    <row r="23" spans="1:36" ht="13.5" thickBot="1">
      <c r="A23" s="1747"/>
      <c r="B23" s="1747"/>
      <c r="C23" s="1747"/>
      <c r="D23" s="1747"/>
      <c r="E23" s="129"/>
      <c r="F23" s="129"/>
      <c r="G23" s="129"/>
      <c r="H23" s="129"/>
      <c r="I23" s="129"/>
    </row>
    <row r="24" spans="1:36" ht="14.25">
      <c r="A24" s="3575" t="s">
        <v>1299</v>
      </c>
      <c r="B24" s="1762" t="s">
        <v>1291</v>
      </c>
      <c r="C24" s="136">
        <f>IF(B30=0,0,D30)</f>
        <v>0</v>
      </c>
      <c r="D24" s="1769"/>
      <c r="E24" s="129"/>
      <c r="F24" s="129"/>
      <c r="G24" s="129"/>
      <c r="H24" s="129"/>
      <c r="I24" s="129"/>
    </row>
    <row r="25" spans="1:36" ht="14.25">
      <c r="A25" s="357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27753</v>
      </c>
      <c r="D32" s="1775" t="s">
        <v>3409</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595" t="s">
        <v>1312</v>
      </c>
      <c r="B36" s="1787" t="s">
        <v>1313</v>
      </c>
      <c r="C36" s="145"/>
      <c r="D36" s="1788"/>
      <c r="E36" s="1789"/>
      <c r="F36" s="1790"/>
      <c r="G36" s="129"/>
      <c r="H36" s="129"/>
      <c r="I36" s="129"/>
    </row>
    <row r="37" spans="1:15" ht="15.75" thickBot="1">
      <c r="A37" s="3596"/>
      <c r="B37" s="1674" t="s">
        <v>1314</v>
      </c>
      <c r="C37" s="147"/>
      <c r="D37" s="1139"/>
      <c r="E37" s="1139"/>
      <c r="F37" s="1790"/>
      <c r="G37" s="129"/>
      <c r="H37" s="129"/>
      <c r="I37" s="129"/>
    </row>
    <row r="38" spans="1:15" ht="15.75" thickBot="1">
      <c r="A38" s="3597"/>
      <c r="B38" s="1791" t="s">
        <v>1315</v>
      </c>
      <c r="C38" s="674"/>
      <c r="D38" s="1792" t="s">
        <v>1316</v>
      </c>
      <c r="E38" s="1139"/>
      <c r="F38" s="1790"/>
      <c r="G38" s="129"/>
      <c r="H38" s="129"/>
      <c r="I38" s="129"/>
    </row>
    <row r="39" spans="1:15" ht="15">
      <c r="A39" s="1764" t="s">
        <v>1317</v>
      </c>
      <c r="B39" s="1793" t="s">
        <v>1318</v>
      </c>
      <c r="C39" s="1794" t="s">
        <v>1319</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72" t="s">
        <v>1326</v>
      </c>
      <c r="B45" s="3573"/>
      <c r="C45" s="3574"/>
      <c r="D45" s="155">
        <f ca="1">ROUND(H101*F45,0)</f>
        <v>27753</v>
      </c>
      <c r="E45" s="156" t="s">
        <v>1327</v>
      </c>
      <c r="F45" s="157">
        <v>1</v>
      </c>
      <c r="G45" s="158" t="s">
        <v>1328</v>
      </c>
      <c r="H45" s="129"/>
      <c r="I45" s="129"/>
      <c r="J45" s="3650" t="s">
        <v>1329</v>
      </c>
      <c r="K45" s="3650"/>
      <c r="L45" s="3650"/>
      <c r="M45" s="3650"/>
      <c r="N45" s="3650"/>
      <c r="O45" s="3650"/>
    </row>
    <row r="46" spans="1:15" ht="14.25" customHeight="1">
      <c r="A46" s="3569" t="s">
        <v>1330</v>
      </c>
      <c r="B46" s="3570"/>
      <c r="C46" s="3570"/>
      <c r="D46" s="3570"/>
      <c r="E46" s="3570"/>
      <c r="F46" s="3570"/>
      <c r="G46" s="3571"/>
      <c r="H46" s="1806"/>
      <c r="I46" s="159"/>
      <c r="J46" s="3465">
        <v>1</v>
      </c>
      <c r="K46" s="3631" t="s">
        <v>1331</v>
      </c>
      <c r="L46" s="3631"/>
      <c r="M46" s="3651"/>
      <c r="N46" s="3651"/>
      <c r="O46" s="3651"/>
    </row>
    <row r="47" spans="1:15" ht="12" customHeight="1">
      <c r="A47" s="160" t="s">
        <v>1332</v>
      </c>
      <c r="B47" s="161"/>
      <c r="C47" s="162"/>
      <c r="D47" s="1087" t="s">
        <v>1333</v>
      </c>
      <c r="E47" s="302" t="s">
        <v>1334</v>
      </c>
      <c r="F47" s="163" t="s">
        <v>1335</v>
      </c>
      <c r="G47" s="2546" t="s">
        <v>1336</v>
      </c>
      <c r="H47" s="2547"/>
      <c r="I47" s="159"/>
      <c r="J47" s="3465">
        <v>2</v>
      </c>
      <c r="K47" s="3631" t="s">
        <v>1337</v>
      </c>
      <c r="L47" s="3631"/>
      <c r="M47" s="3652">
        <f>'数据-取费表'!B2</f>
        <v>44937</v>
      </c>
      <c r="N47" s="3652"/>
      <c r="O47" s="3652"/>
    </row>
    <row r="48" spans="1:15" ht="25.5">
      <c r="A48" s="3600" t="s">
        <v>1338</v>
      </c>
      <c r="B48" s="3583"/>
      <c r="C48" s="3583"/>
      <c r="D48" s="3462" t="b">
        <f>IF(H48="情况1",0,IF(H48="情况2",D52,IF(H48="情况3",D53,IF(H48="情况4",D54))))</f>
        <v>0</v>
      </c>
      <c r="E48" s="3475" t="str">
        <f>IF(H48="情况4","(销售额-原购置价)×税（费）率","销售额×税（费）率")</f>
        <v>销售额×税（费）率</v>
      </c>
      <c r="F48" s="2548">
        <f>IF(H48="情况1","免征",'数据-取费表'!B41)</f>
        <v>5.6000000000000001E-2</v>
      </c>
      <c r="G48" s="2549" t="s">
        <v>1339</v>
      </c>
      <c r="H48" s="2550"/>
      <c r="I48" s="1806"/>
      <c r="J48" s="3465">
        <v>3</v>
      </c>
      <c r="K48" s="3631" t="s">
        <v>1340</v>
      </c>
      <c r="L48" s="3631"/>
      <c r="M48" s="3653">
        <f ca="1">H101</f>
        <v>27753</v>
      </c>
      <c r="N48" s="3653"/>
      <c r="O48" s="3653"/>
    </row>
    <row r="49" spans="1:35" ht="25.5" customHeight="1">
      <c r="A49" s="3474" t="s">
        <v>1341</v>
      </c>
      <c r="B49" s="3567" t="s">
        <v>1342</v>
      </c>
      <c r="C49" s="3567"/>
      <c r="D49" s="1590">
        <v>0</v>
      </c>
      <c r="E49" s="324" t="s">
        <v>1343</v>
      </c>
      <c r="F49" s="3460" t="s">
        <v>28</v>
      </c>
      <c r="G49" s="3637"/>
      <c r="H49" s="2310" t="s">
        <v>2134</v>
      </c>
      <c r="I49" s="2311"/>
      <c r="J49" s="3465">
        <v>4</v>
      </c>
      <c r="K49" s="3631" t="str">
        <f>IF(项目基本情况!E8="房地产抵押价值","房地产抵押价值","抵押担保权已注销时的房地产抵押价值")</f>
        <v>房地产抵押价值</v>
      </c>
      <c r="L49" s="3631"/>
      <c r="M49" s="3653">
        <f ca="1">IF(项目基本情况!E8="房地产抵押价值",H107,H109)</f>
        <v>27753</v>
      </c>
      <c r="N49" s="3653"/>
      <c r="O49" s="3653"/>
    </row>
    <row r="50" spans="1:35" ht="25.5" customHeight="1">
      <c r="A50" s="2551"/>
      <c r="B50" s="3567" t="s">
        <v>1344</v>
      </c>
      <c r="C50" s="3567"/>
      <c r="D50" s="2552"/>
      <c r="E50" s="332"/>
      <c r="F50" s="3460"/>
      <c r="G50" s="3638"/>
      <c r="H50" s="2312" t="s">
        <v>2135</v>
      </c>
      <c r="I50" s="2311"/>
      <c r="J50" s="3650" t="s">
        <v>1345</v>
      </c>
      <c r="K50" s="3650"/>
      <c r="L50" s="3650"/>
      <c r="M50" s="3650"/>
      <c r="N50" s="3650"/>
      <c r="O50" s="3650"/>
    </row>
    <row r="51" spans="1:35" ht="20.45" customHeight="1">
      <c r="A51" s="2553"/>
      <c r="B51" s="3567" t="s">
        <v>1346</v>
      </c>
      <c r="C51" s="3567"/>
      <c r="D51" s="1087"/>
      <c r="E51" s="327"/>
      <c r="F51" s="3460"/>
      <c r="G51" s="3639"/>
      <c r="H51" s="2312" t="s">
        <v>2136</v>
      </c>
      <c r="I51" s="2311"/>
      <c r="J51" s="3461" t="s">
        <v>1347</v>
      </c>
      <c r="K51" s="3631" t="s">
        <v>1348</v>
      </c>
      <c r="L51" s="3631"/>
      <c r="M51" s="3461" t="s">
        <v>1349</v>
      </c>
      <c r="N51" s="3461" t="s">
        <v>1350</v>
      </c>
      <c r="O51" s="3461" t="s">
        <v>1351</v>
      </c>
    </row>
    <row r="52" spans="1:35" ht="24" customHeight="1">
      <c r="A52" s="3476" t="s">
        <v>1352</v>
      </c>
      <c r="B52" s="3567" t="s">
        <v>1353</v>
      </c>
      <c r="C52" s="3567"/>
      <c r="D52" s="1087">
        <f ca="1">ROUND(D45*'数据-取费表'!B41/(1+'数据-取费表'!C42),0)</f>
        <v>1480</v>
      </c>
      <c r="E52" s="3475" t="s">
        <v>1354</v>
      </c>
      <c r="F52" s="2554">
        <f>'数据-取费表'!B41</f>
        <v>5.6000000000000001E-2</v>
      </c>
      <c r="G52" s="2555"/>
      <c r="H52" s="2544"/>
      <c r="I52" s="1807"/>
      <c r="J52" s="3465">
        <v>1</v>
      </c>
      <c r="K52" s="3632" t="s">
        <v>1355</v>
      </c>
      <c r="L52" s="3632"/>
      <c r="M52" s="2525" t="b">
        <f>D48</f>
        <v>0</v>
      </c>
      <c r="N52" s="3465" t="str">
        <f>E48</f>
        <v>销售额×税（费）率</v>
      </c>
      <c r="O52" s="2526">
        <f>F48</f>
        <v>5.6000000000000001E-2</v>
      </c>
    </row>
    <row r="53" spans="1:35" ht="12" customHeight="1">
      <c r="A53" s="3476" t="s">
        <v>1356</v>
      </c>
      <c r="B53" s="3593" t="s">
        <v>2291</v>
      </c>
      <c r="C53" s="3594"/>
      <c r="D53" s="1087">
        <f ca="1">ROUND(D45*'数据-取费表'!B41/(1+'数据-取费表'!C42),0)</f>
        <v>1480</v>
      </c>
      <c r="E53" s="3475" t="s">
        <v>1354</v>
      </c>
      <c r="F53" s="2554">
        <f>'数据-取费表'!B41</f>
        <v>5.6000000000000001E-2</v>
      </c>
      <c r="G53" s="2555"/>
      <c r="H53" s="2544"/>
      <c r="I53" s="1807"/>
      <c r="J53" s="3465">
        <v>2</v>
      </c>
      <c r="K53" s="3632" t="s">
        <v>1357</v>
      </c>
      <c r="L53" s="3632"/>
      <c r="M53" s="2525">
        <f t="shared" ref="M53:O54" ca="1" si="0">D55</f>
        <v>14</v>
      </c>
      <c r="N53" s="3465" t="str">
        <f t="shared" si="0"/>
        <v>销售额×税（费）率</v>
      </c>
      <c r="O53" s="2526" t="str">
        <f t="shared" si="0"/>
        <v>免征</v>
      </c>
    </row>
    <row r="54" spans="1:35" ht="12" customHeight="1">
      <c r="A54" s="3476" t="s">
        <v>1358</v>
      </c>
      <c r="B54" s="3593" t="s">
        <v>2292</v>
      </c>
      <c r="C54" s="3594"/>
      <c r="D54" s="1087">
        <f ca="1">C68</f>
        <v>1480</v>
      </c>
      <c r="E54" s="327" t="s">
        <v>1359</v>
      </c>
      <c r="F54" s="2554">
        <f>'数据-取费表'!B41</f>
        <v>5.6000000000000001E-2</v>
      </c>
      <c r="G54" s="2555"/>
      <c r="H54" s="2556"/>
      <c r="I54" s="1807"/>
      <c r="J54" s="3465">
        <v>3</v>
      </c>
      <c r="K54" s="3632" t="s">
        <v>1360</v>
      </c>
      <c r="L54" s="3632"/>
      <c r="M54" s="2525">
        <f t="shared" ca="1" si="0"/>
        <v>15708</v>
      </c>
      <c r="N54" s="3465" t="str">
        <f t="shared" si="0"/>
        <v>增值额×税（费）率</v>
      </c>
      <c r="O54" s="2527" t="str">
        <f t="shared" si="0"/>
        <v>免征</v>
      </c>
    </row>
    <row r="55" spans="1:35" ht="24" customHeight="1">
      <c r="A55" s="3582" t="s">
        <v>1361</v>
      </c>
      <c r="B55" s="3583"/>
      <c r="C55" s="3583"/>
      <c r="D55" s="3462">
        <f ca="1">IF(H55="个人住宅",0,ROUND(D45*I55,0))</f>
        <v>14</v>
      </c>
      <c r="E55" s="3475" t="s">
        <v>1362</v>
      </c>
      <c r="F55" s="2554" t="str">
        <f>IF(H55="正常",I55,"免征")</f>
        <v>免征</v>
      </c>
      <c r="G55" s="2555"/>
      <c r="H55" s="2550"/>
      <c r="I55" s="165">
        <f>'数据-取费表'!B49</f>
        <v>5.0000000000000001E-4</v>
      </c>
      <c r="J55" s="3465">
        <f>IF(H59="非个人房产","",4)</f>
        <v>4</v>
      </c>
      <c r="K55" s="3632" t="str">
        <f>IF(H59="非个人房产","——","个人所得税")</f>
        <v>个人所得税</v>
      </c>
      <c r="L55" s="3632"/>
      <c r="M55" s="2528">
        <f ca="1">D59</f>
        <v>264</v>
      </c>
      <c r="N55" s="3466" t="str">
        <f>E59</f>
        <v>差额计税</v>
      </c>
      <c r="O55" s="2529">
        <f>F59</f>
        <v>0.01</v>
      </c>
    </row>
    <row r="56" spans="1:35" ht="24.75">
      <c r="A56" s="3582" t="s">
        <v>1363</v>
      </c>
      <c r="B56" s="3583"/>
      <c r="C56" s="3583"/>
      <c r="D56" s="3462">
        <f ca="1">IF(H56="个人住宅",D57,D58)</f>
        <v>15708</v>
      </c>
      <c r="E56" s="3475" t="s">
        <v>1364</v>
      </c>
      <c r="F56" s="2554" t="str">
        <f>IF(H56="正常",F58,"免征")</f>
        <v>免征</v>
      </c>
      <c r="G56" s="2557" t="s">
        <v>1365</v>
      </c>
      <c r="H56" s="2558"/>
      <c r="I56" s="1808"/>
      <c r="J56" s="3465" t="str">
        <f>IF(项目基本情况!K6="上海银行",IF(J55="",4,J55+1),"")</f>
        <v/>
      </c>
      <c r="K56" s="3655" t="str">
        <f>IF(项目基本情况!K6="上海银行","其他处置费用","")</f>
        <v/>
      </c>
      <c r="L56" s="3656"/>
      <c r="M56" s="2525" t="str">
        <f>IF(项目基本情况!K6="上海银行",M69,"")</f>
        <v/>
      </c>
      <c r="N56" s="3655" t="str">
        <f>IF(项目基本情况!K6="上海银行","包含处置中涉及的律师、诉讼、拍卖、评估等费用","")</f>
        <v/>
      </c>
      <c r="O56" s="3658"/>
    </row>
    <row r="57" spans="1:35" ht="12.75">
      <c r="A57" s="3476" t="s">
        <v>1341</v>
      </c>
      <c r="B57" s="3593" t="s">
        <v>1366</v>
      </c>
      <c r="C57" s="3594"/>
      <c r="D57" s="1590">
        <v>0</v>
      </c>
      <c r="E57" s="324" t="s">
        <v>1343</v>
      </c>
      <c r="F57" s="302"/>
      <c r="G57" s="2555"/>
      <c r="H57" s="2559"/>
      <c r="I57" s="1808"/>
      <c r="J57" s="3632">
        <f>IF(AND(J55="",J56=""),4,IF(项目基本情况!K6="上海银行",'结果表 (2)'!J56+1,'结果表 (2)'!J55+1))</f>
        <v>5</v>
      </c>
      <c r="K57" s="3632" t="s">
        <v>1367</v>
      </c>
      <c r="L57" s="2530" t="s">
        <v>1368</v>
      </c>
      <c r="M57" s="2531"/>
      <c r="N57" s="2532">
        <f ca="1">SUMIF(M52:M56,"&lt;9e307")</f>
        <v>15986</v>
      </c>
      <c r="O57" s="2533"/>
      <c r="P57" s="2690">
        <f ca="1">N57/M49</f>
        <v>0.57600980074226205</v>
      </c>
    </row>
    <row r="58" spans="1:35" ht="24.75">
      <c r="A58" s="3476" t="s">
        <v>1352</v>
      </c>
      <c r="B58" s="3593" t="s">
        <v>1369</v>
      </c>
      <c r="C58" s="3567"/>
      <c r="D58" s="3462">
        <f ca="1">IF(H58="转让取得",C81,C97)</f>
        <v>15708</v>
      </c>
      <c r="E58" s="3475" t="s">
        <v>1364</v>
      </c>
      <c r="F58" s="302" t="s">
        <v>28</v>
      </c>
      <c r="G58" s="2555"/>
      <c r="H58" s="2558"/>
      <c r="I58" s="1808"/>
      <c r="J58" s="3632"/>
      <c r="K58" s="3632"/>
      <c r="L58" s="2530" t="s">
        <v>1370</v>
      </c>
      <c r="M58" s="2534"/>
      <c r="N58" s="2535" t="str">
        <f ca="1">NUMBERSTRING(INT(N57*10000),2)&amp;"元整"</f>
        <v>壹亿伍仟玖佰捌拾陆万元整</v>
      </c>
      <c r="O58" s="2536"/>
    </row>
    <row r="59" spans="1:35" ht="24.75" thickBot="1">
      <c r="A59" s="3635" t="s">
        <v>1371</v>
      </c>
      <c r="B59" s="3636"/>
      <c r="C59" s="3636"/>
      <c r="D59" s="2560">
        <f ca="1">IF(H59="非个人房产","——",IF(H59="个人住宅（满五唯一有凭证）",0,IF(H59="个人其他（无凭证）",ROUND(D45*F59,0),ROUND(C67*F59,0))))</f>
        <v>264</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633">
        <f>J57+1</f>
        <v>6</v>
      </c>
      <c r="K59" s="3632" t="s">
        <v>1372</v>
      </c>
      <c r="L59" s="3465" t="s">
        <v>1368</v>
      </c>
      <c r="M59" s="2537"/>
      <c r="N59" s="2538">
        <f ca="1">M49-N57</f>
        <v>11767</v>
      </c>
      <c r="O59" s="2539"/>
    </row>
    <row r="60" spans="1:35" ht="12" customHeight="1">
      <c r="A60" s="1809"/>
      <c r="B60" s="1747"/>
      <c r="C60" s="1747"/>
      <c r="D60" s="1747"/>
      <c r="E60" s="1578"/>
      <c r="F60" s="1808"/>
      <c r="G60" s="1808"/>
      <c r="H60" s="1810"/>
      <c r="I60" s="129"/>
      <c r="J60" s="3634"/>
      <c r="K60" s="3632"/>
      <c r="L60" s="2530" t="s">
        <v>1370</v>
      </c>
      <c r="M60" s="2534"/>
      <c r="N60" s="2535" t="str">
        <f ca="1">NUMBERSTRING(INT(N59*10000),2)&amp;"元整"</f>
        <v>壹亿壹仟柒佰陆拾柒万元整</v>
      </c>
      <c r="O60" s="2536"/>
    </row>
    <row r="61" spans="1:35" ht="13.5" thickBot="1">
      <c r="A61" s="3580" t="s">
        <v>1373</v>
      </c>
      <c r="B61" s="3580"/>
      <c r="C61" s="3580"/>
      <c r="D61" s="3580"/>
      <c r="E61" s="3580"/>
      <c r="F61" s="1808"/>
      <c r="G61" s="1808"/>
      <c r="H61" s="1810"/>
      <c r="I61" s="129"/>
      <c r="J61" s="3465">
        <f>J59+1</f>
        <v>7</v>
      </c>
      <c r="K61" s="3632" t="s">
        <v>1374</v>
      </c>
      <c r="L61" s="3632"/>
      <c r="M61" s="2540"/>
      <c r="N61" s="2541">
        <f ca="1">ROUND(N59*10000/'数据-汇总表'!E3,0)</f>
        <v>11459</v>
      </c>
      <c r="O61" s="2542"/>
    </row>
    <row r="62" spans="1:35" ht="12.75">
      <c r="A62" s="3598" t="s">
        <v>1375</v>
      </c>
      <c r="B62" s="3599"/>
      <c r="C62" s="3470"/>
      <c r="D62" s="3470" t="s">
        <v>1376</v>
      </c>
      <c r="E62" s="166" t="s">
        <v>1377</v>
      </c>
      <c r="F62" s="1808"/>
      <c r="G62" s="1808"/>
      <c r="H62" s="1810"/>
      <c r="I62" s="129"/>
    </row>
    <row r="63" spans="1:35" ht="12.75">
      <c r="A63" s="173" t="s">
        <v>330</v>
      </c>
      <c r="B63" s="167" t="s">
        <v>1378</v>
      </c>
      <c r="C63" s="2564">
        <f ca="1">ROUND((C64+C65)/(1+'数据-取费表'!C42),0)</f>
        <v>26431</v>
      </c>
      <c r="D63" s="167"/>
      <c r="E63" s="168"/>
      <c r="F63" s="1808"/>
      <c r="G63" s="1808"/>
      <c r="H63" s="1810"/>
      <c r="I63" s="129"/>
      <c r="J63" s="3657" t="s">
        <v>1379</v>
      </c>
      <c r="K63" s="3463" t="s">
        <v>1380</v>
      </c>
      <c r="L63" s="3463">
        <f ca="1">IF(M49&gt;10000,M49*0.5%,IF(AND(M49&gt;1000,M49&lt;=10000),M49*1%,IF(AND(M49&gt;100,M49&lt;=1000),M49*3%,IF(AND(M49&gt;10,M49&lt;=100),M49*5%,M49*8%))))</f>
        <v>138.76500000000001</v>
      </c>
      <c r="M63" s="302">
        <f ca="1">ROUND(L63,1)</f>
        <v>138.80000000000001</v>
      </c>
      <c r="N63" s="2543"/>
      <c r="Z63" s="1752"/>
      <c r="AI63" s="1753"/>
    </row>
    <row r="64" spans="1:35" ht="14.25" customHeight="1">
      <c r="A64" s="169" t="s">
        <v>325</v>
      </c>
      <c r="B64" s="170" t="s">
        <v>1381</v>
      </c>
      <c r="C64" s="2565">
        <f ca="1">D45</f>
        <v>27753</v>
      </c>
      <c r="D64" s="170" t="s">
        <v>26</v>
      </c>
      <c r="E64" s="172"/>
      <c r="F64" s="1808"/>
      <c r="G64" s="1808"/>
      <c r="H64" s="1810"/>
      <c r="I64" s="129"/>
      <c r="J64" s="3657"/>
      <c r="K64" s="3463" t="s">
        <v>1382</v>
      </c>
      <c r="L64" s="3463">
        <f ca="1">IF(M49&gt;2000,M49*0.5%,IF(AND(M49&gt;1000,M49&lt;=2000),M49*0.6%,IF(AND(M49&gt;500,M49&lt;=1000),M49*0.7%,IF(AND(M49&gt;200,M49&lt;=500),M49*0.8%,IF(AND(M49&gt;100,M49&lt;=200),M49*0.9%,IF(AND(M49&gt;50,M49&lt;=100),M49*1%,IF(AND(M49&gt;20,M49&lt;=50),M49*1.5%,IF(AND(M49&gt;10,M49&lt;=20),M49*2%,IF(AND(M49&gt;1,M49&lt;=10),M49*2.5%)))))))))</f>
        <v>138.76500000000001</v>
      </c>
      <c r="M64" s="302">
        <f t="shared" ref="M64:M65" ca="1" si="1">ROUND(L64,1)</f>
        <v>138.80000000000001</v>
      </c>
      <c r="N64" s="2544" t="s">
        <v>1383</v>
      </c>
      <c r="Z64" s="1752"/>
      <c r="AI64" s="1753"/>
    </row>
    <row r="65" spans="1:35" ht="14.25" customHeight="1">
      <c r="A65" s="169" t="s">
        <v>326</v>
      </c>
      <c r="B65" s="170" t="s">
        <v>1384</v>
      </c>
      <c r="C65" s="2566"/>
      <c r="D65" s="170"/>
      <c r="E65" s="172"/>
      <c r="F65" s="1808"/>
      <c r="G65" s="1808"/>
      <c r="H65" s="1810"/>
      <c r="I65" s="129"/>
      <c r="J65" s="3657"/>
      <c r="K65" s="3463" t="s">
        <v>1385</v>
      </c>
      <c r="L65" s="3463">
        <f ca="1">IF(M49&gt;1000,M49*0.1%,IF(AND(M49&gt;500,M49&lt;=1000),M49*0.5%,IF(AND(M49&gt;50,M49&lt;=500),M49*1%,IF(AND(M49&gt;1,M49&lt;=50),M49*1.5%))))</f>
        <v>27.753</v>
      </c>
      <c r="M65" s="302">
        <f t="shared" ca="1" si="1"/>
        <v>27.8</v>
      </c>
      <c r="N65" s="2544" t="s">
        <v>1383</v>
      </c>
      <c r="Z65" s="1752"/>
      <c r="AI65" s="1753"/>
    </row>
    <row r="66" spans="1:35" ht="14.25" customHeight="1">
      <c r="A66" s="173" t="s">
        <v>327</v>
      </c>
      <c r="B66" s="174" t="s">
        <v>1386</v>
      </c>
      <c r="C66" s="2567"/>
      <c r="D66" s="174" t="s">
        <v>26</v>
      </c>
      <c r="E66" s="1338" t="s">
        <v>671</v>
      </c>
      <c r="F66" s="1808"/>
      <c r="G66" s="1808"/>
      <c r="H66" s="1810"/>
      <c r="I66" s="129"/>
      <c r="J66" s="3657"/>
      <c r="K66" s="3463" t="s">
        <v>1387</v>
      </c>
      <c r="L66" s="3463">
        <f ca="1">M49*0.5%</f>
        <v>138.76500000000001</v>
      </c>
      <c r="M66" s="302">
        <f ca="1">IF(L66&gt;0.5,0.5,ROUND(L66,0))</f>
        <v>0.5</v>
      </c>
      <c r="N66" s="2544" t="s">
        <v>1388</v>
      </c>
      <c r="Z66" s="1752"/>
      <c r="AI66" s="1753"/>
    </row>
    <row r="67" spans="1:35" ht="14.25" customHeight="1">
      <c r="A67" s="173" t="s">
        <v>328</v>
      </c>
      <c r="B67" s="174" t="s">
        <v>1389</v>
      </c>
      <c r="C67" s="2568">
        <f ca="1">C63-C66</f>
        <v>26431</v>
      </c>
      <c r="D67" s="170" t="s">
        <v>26</v>
      </c>
      <c r="E67" s="172"/>
      <c r="F67" s="1808"/>
      <c r="G67" s="1808"/>
      <c r="H67" s="1810"/>
      <c r="I67" s="129"/>
      <c r="J67" s="3657"/>
      <c r="K67" s="3463" t="s">
        <v>1390</v>
      </c>
      <c r="L67" s="3463">
        <f ca="1">IF(M49&gt;=10000,(8.25+(M49-10000)*0.01%),IF(AND(M49&gt;=8000,M49&lt;10000),(7.85+(M49-8000)*0.02%),IF(AND(M49&gt;=5000,M49&lt;8000),(6.65+(M49-5000)*0.04%),IF(AND(M49&gt;=2000,M49&lt;5000),(4.25+(PM49-2000)*0.08%),IF(AND(M49&gt;=1000,M49&lt;2000),(2.75+(M49-1000)*0.15%),IF(AND(M49&gt;=100,M49&lt;1000),(0.5+(M49-100)*0.25%),IF(AND(M49&gt;0,M49&lt;100),M49*0.5%)))))))</f>
        <v>10.0253</v>
      </c>
      <c r="M67" s="302">
        <f ca="1">ROUND(L67*0.9,1)</f>
        <v>9</v>
      </c>
      <c r="N67" s="2543"/>
      <c r="Z67" s="1752"/>
      <c r="AI67" s="1753"/>
    </row>
    <row r="68" spans="1:35" ht="14.25" customHeight="1" thickBot="1">
      <c r="A68" s="176" t="s">
        <v>329</v>
      </c>
      <c r="B68" s="177" t="s">
        <v>1391</v>
      </c>
      <c r="C68" s="2569">
        <f ca="1">IF(C67&lt;=0,0,ROUND(C67*D68,0))</f>
        <v>1480</v>
      </c>
      <c r="D68" s="2570">
        <f>'数据-取费表'!B41</f>
        <v>5.6000000000000001E-2</v>
      </c>
      <c r="E68" s="178"/>
      <c r="F68" s="1808"/>
      <c r="G68" s="1808"/>
      <c r="H68" s="1810"/>
      <c r="I68" s="129"/>
      <c r="J68" s="3657"/>
      <c r="K68" s="3463" t="s">
        <v>1392</v>
      </c>
      <c r="L68" s="3463">
        <f ca="1">IF(M49&gt;10000,M49*0.5%,IF(AND(M49&gt;5000,M49&lt;=10000),M49*1%,IF(AND(M49&gt;1000,M49&lt;=5000),M49*2%,IF(AND(M49&gt;200,M49&lt;=1000),M49*3%,M49*5%))))</f>
        <v>138.76500000000001</v>
      </c>
      <c r="M68" s="302">
        <f ca="1">ROUND(L68,1)</f>
        <v>138.80000000000001</v>
      </c>
      <c r="N68" s="2543"/>
      <c r="Z68" s="1752"/>
      <c r="AI68" s="1753"/>
    </row>
    <row r="69" spans="1:35" s="1772" customFormat="1" ht="16.5" customHeight="1">
      <c r="A69" s="1811"/>
      <c r="B69" s="1812"/>
      <c r="C69" s="1813"/>
      <c r="D69" s="1814"/>
      <c r="E69" s="1815"/>
      <c r="F69" s="1578"/>
      <c r="G69" s="1578"/>
      <c r="H69" s="1577"/>
      <c r="I69" s="1747"/>
      <c r="J69" s="3657"/>
      <c r="K69" s="3463" t="s">
        <v>1393</v>
      </c>
      <c r="L69" s="3463"/>
      <c r="M69" s="302">
        <f ca="1">ROUND(SUM(M63:M68),0)</f>
        <v>454</v>
      </c>
      <c r="N69" s="2545">
        <f ca="1">M69/M49</f>
        <v>1.6358591863942638E-2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19" t="s">
        <v>1394</v>
      </c>
      <c r="B70" s="3620"/>
      <c r="C70" s="3620"/>
      <c r="D70" s="3620"/>
      <c r="E70" s="3620"/>
      <c r="F70" s="3620"/>
      <c r="G70" s="3620"/>
      <c r="H70" s="3620"/>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8" t="s">
        <v>1375</v>
      </c>
      <c r="B71" s="3599"/>
      <c r="C71" s="3470"/>
      <c r="D71" s="3470"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26431</v>
      </c>
      <c r="D72" s="170" t="s">
        <v>26</v>
      </c>
      <c r="E72" s="3472"/>
      <c r="F72" s="3471"/>
      <c r="G72" s="3471"/>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159</v>
      </c>
      <c r="D73" s="170" t="s">
        <v>26</v>
      </c>
      <c r="E73" s="3472"/>
      <c r="F73" s="3471"/>
      <c r="G73" s="3471"/>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72"/>
      <c r="F74" s="3471"/>
      <c r="G74" s="3471"/>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93" t="s">
        <v>1402</v>
      </c>
      <c r="F76" s="3567"/>
      <c r="G76" s="3567"/>
      <c r="H76" s="3618"/>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3462" t="s">
        <v>1404</v>
      </c>
      <c r="F77" s="186"/>
      <c r="G77" s="1822"/>
      <c r="H77" s="3473"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159</v>
      </c>
      <c r="D78" s="2577">
        <f>'数据-取费表'!B43</f>
        <v>6.000000000000001E-3</v>
      </c>
      <c r="E78" s="3577" t="s">
        <v>1406</v>
      </c>
      <c r="F78" s="3578"/>
      <c r="G78" s="3578"/>
      <c r="H78" s="3587"/>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328</v>
      </c>
      <c r="B79" s="174" t="s">
        <v>1407</v>
      </c>
      <c r="C79" s="2568">
        <f ca="1">C72-C73</f>
        <v>26272</v>
      </c>
      <c r="D79" s="170" t="s">
        <v>26</v>
      </c>
      <c r="E79" s="3472"/>
      <c r="F79" s="3471"/>
      <c r="G79" s="3471"/>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165.23270440251574</v>
      </c>
      <c r="D80" s="170" t="s">
        <v>26</v>
      </c>
      <c r="E80" s="3462" t="str">
        <f ca="1">IF(C80&gt;=200%,"增值额超过扣除项目金额200%",IF(C80&gt;=100%,"增值额超过扣除项目金额100%，未超过200%",IF(C80&gt;=50%,"增值额超过扣除项目金额50%，未超过100%",IF(C80&lt;50%,"增值额未超过扣除项目金额50%"))))</f>
        <v>增值额超过扣除项目金额200%</v>
      </c>
      <c r="F80" s="3471"/>
      <c r="G80" s="3471"/>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15708</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19" t="s">
        <v>1410</v>
      </c>
      <c r="B83" s="3620"/>
      <c r="C83" s="3620"/>
      <c r="D83" s="3620"/>
      <c r="E83" s="3620"/>
      <c r="F83" s="3620"/>
      <c r="G83" s="3620"/>
      <c r="H83" s="3620"/>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8" t="s">
        <v>1375</v>
      </c>
      <c r="B84" s="3599"/>
      <c r="C84" s="3470"/>
      <c r="D84" s="3470"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26431</v>
      </c>
      <c r="D85" s="170" t="s">
        <v>26</v>
      </c>
      <c r="E85" s="3472"/>
      <c r="F85" s="3471"/>
      <c r="G85" s="3471"/>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159</v>
      </c>
      <c r="D86" s="2581"/>
      <c r="E86" s="3472"/>
      <c r="F86" s="3471"/>
      <c r="G86" s="3471"/>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3467"/>
      <c r="F87" s="3468"/>
      <c r="G87" s="3468"/>
      <c r="H87" s="3469"/>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3468"/>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3468"/>
      <c r="G89" s="3468"/>
      <c r="H89" s="3469"/>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3468"/>
      <c r="G90" s="3659" t="s">
        <v>2129</v>
      </c>
      <c r="H90" s="3660"/>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77" t="s">
        <v>1419</v>
      </c>
      <c r="F91" s="3578"/>
      <c r="G91" s="3578"/>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77" t="s">
        <v>1422</v>
      </c>
      <c r="F92" s="3578"/>
      <c r="G92" s="3578"/>
      <c r="H92" s="3587"/>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159</v>
      </c>
      <c r="D93" s="2577">
        <f>'数据-取费表'!B43</f>
        <v>6.000000000000001E-3</v>
      </c>
      <c r="E93" s="3577" t="s">
        <v>1406</v>
      </c>
      <c r="F93" s="3578"/>
      <c r="G93" s="3578"/>
      <c r="H93" s="3587"/>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88" t="s">
        <v>1426</v>
      </c>
      <c r="F94" s="3589"/>
      <c r="G94" s="3589"/>
      <c r="H94" s="3590"/>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328</v>
      </c>
      <c r="B95" s="174" t="s">
        <v>1407</v>
      </c>
      <c r="C95" s="2568">
        <f ca="1">ROUND(C85-C86,0)</f>
        <v>26272</v>
      </c>
      <c r="D95" s="170" t="s">
        <v>26</v>
      </c>
      <c r="E95" s="3472"/>
      <c r="F95" s="3471"/>
      <c r="G95" s="3471"/>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165.23270440251574</v>
      </c>
      <c r="D96" s="170" t="s">
        <v>26</v>
      </c>
      <c r="E96" s="3462" t="str">
        <f ca="1">IF(C96&gt;=200%,"增值额超过扣除项目金额200%",IF(C96&gt;=100%,"增值额超过扣除项目金额100%，未超过200%",IF(C96&gt;=50%,"增值额超过扣除项目金额50%，未超过100%",IF(C96&lt;50%,"增值额未超过扣除项目金额50%"))))</f>
        <v>增值额超过扣除项目金额200%</v>
      </c>
      <c r="F96" s="3471"/>
      <c r="G96" s="3471"/>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15708</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1" t="s">
        <v>1428</v>
      </c>
      <c r="B100" s="3562"/>
      <c r="C100" s="3562"/>
      <c r="D100" s="3579"/>
      <c r="E100" s="3562" t="s">
        <v>1429</v>
      </c>
      <c r="F100" s="3562"/>
      <c r="G100" s="3562"/>
      <c r="H100" s="3579"/>
      <c r="I100" s="129"/>
    </row>
    <row r="101" spans="1:35" ht="18.75" customHeight="1">
      <c r="A101" s="3640" t="s">
        <v>1430</v>
      </c>
      <c r="B101" s="3641"/>
      <c r="C101" s="2585" t="str">
        <f>C4</f>
        <v>比较法-办公</v>
      </c>
      <c r="D101" s="2586" t="str">
        <f>D4</f>
        <v>收益法</v>
      </c>
      <c r="E101" s="3654" t="s">
        <v>1431</v>
      </c>
      <c r="F101" s="3611"/>
      <c r="G101" s="1827" t="s">
        <v>1432</v>
      </c>
      <c r="H101" s="2595">
        <f ca="1">H118</f>
        <v>27753</v>
      </c>
      <c r="I101" s="129"/>
    </row>
    <row r="102" spans="1:35" ht="18.75" customHeight="1">
      <c r="A102" s="3613" t="s">
        <v>1433</v>
      </c>
      <c r="B102" s="2584" t="s">
        <v>1432</v>
      </c>
      <c r="C102" s="2585">
        <f ca="1">IF(D32="楼面单价",ROUND(C19,0),C19)</f>
        <v>29514</v>
      </c>
      <c r="D102" s="2586">
        <f ca="1">IF(D32="楼面单价",ROUND(D19,0),D19)</f>
        <v>25991</v>
      </c>
      <c r="E102" s="3654"/>
      <c r="F102" s="3611"/>
      <c r="G102" s="1827" t="s">
        <v>1434</v>
      </c>
      <c r="H102" s="2555">
        <f ca="1">I118</f>
        <v>33680</v>
      </c>
      <c r="I102" s="129"/>
    </row>
    <row r="103" spans="1:35" ht="42.75" customHeight="1">
      <c r="A103" s="3613"/>
      <c r="B103" s="2584" t="s">
        <v>1434</v>
      </c>
      <c r="C103" s="2587">
        <f ca="1">C20</f>
        <v>35817</v>
      </c>
      <c r="D103" s="2588">
        <f ca="1">D20</f>
        <v>31542</v>
      </c>
      <c r="E103" s="3648" t="s">
        <v>1435</v>
      </c>
      <c r="F103" s="3649"/>
      <c r="G103" s="1828" t="s">
        <v>1436</v>
      </c>
      <c r="H103" s="2595">
        <f>IF(D36="正常操作",H104+H105+H106,H105+H106)</f>
        <v>0</v>
      </c>
      <c r="I103" s="129"/>
    </row>
    <row r="104" spans="1:35" ht="18.75" customHeight="1">
      <c r="A104" s="3613" t="s">
        <v>1437</v>
      </c>
      <c r="B104" s="2589" t="s">
        <v>1432</v>
      </c>
      <c r="C104" s="2590">
        <f ca="1">H118</f>
        <v>27753</v>
      </c>
      <c r="D104" s="2591"/>
      <c r="E104" s="1674" t="s">
        <v>1438</v>
      </c>
      <c r="F104" s="1666"/>
      <c r="G104" s="1828" t="s">
        <v>1436</v>
      </c>
      <c r="H104" s="2596">
        <f>IF(D36="同一抵押权人同一抵押物续贷",C36&amp;"（续贷，未扣减，详见特别提示）",C36)</f>
        <v>0</v>
      </c>
      <c r="I104" s="129"/>
    </row>
    <row r="105" spans="1:35" ht="18.75" customHeight="1" thickBot="1">
      <c r="A105" s="3614"/>
      <c r="B105" s="2592" t="s">
        <v>1434</v>
      </c>
      <c r="C105" s="2593">
        <f ca="1">I118</f>
        <v>33680</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10" t="str">
        <f>IF(项目基本情况!E8="已注销","——","3.房地产抵押价值")</f>
        <v>3.房地产抵押价值</v>
      </c>
      <c r="F107" s="3611"/>
      <c r="G107" s="1827" t="s">
        <v>1432</v>
      </c>
      <c r="H107" s="2595">
        <f ca="1">IF(E107="——","——",H101-H103)</f>
        <v>27753</v>
      </c>
      <c r="I107" s="129"/>
    </row>
    <row r="108" spans="1:35" ht="18.75" customHeight="1">
      <c r="A108" s="129"/>
      <c r="B108" s="129"/>
      <c r="C108" s="129"/>
      <c r="D108" s="129"/>
      <c r="E108" s="3610"/>
      <c r="F108" s="3611"/>
      <c r="G108" s="1827" t="s">
        <v>1434</v>
      </c>
      <c r="H108" s="2555">
        <f ca="1">IF(H107=H101,H102,ROUND(H107*10000/'数据-汇总表'!E3,0))</f>
        <v>33680</v>
      </c>
      <c r="I108" s="129"/>
    </row>
    <row r="109" spans="1:35" ht="18.75" customHeight="1">
      <c r="A109" s="129"/>
      <c r="B109" s="129"/>
      <c r="C109" s="129"/>
      <c r="D109" s="129"/>
      <c r="E109" s="3610" t="str">
        <f>IF(项目基本情况!E8="已注销及未注销","4.抵押担保权已注销时的房地产抵押价值",IF(项目基本情况!E8="已注销","3.抵押担保权已注销时的房地产抵押价值","——"))</f>
        <v>——</v>
      </c>
      <c r="F109" s="3611"/>
      <c r="G109" s="1827" t="s">
        <v>1432</v>
      </c>
      <c r="H109" s="2598" t="str">
        <f>IF(E109="——","——",H101-H105-H106)</f>
        <v>——</v>
      </c>
      <c r="I109" s="129"/>
    </row>
    <row r="110" spans="1:35" ht="18.75" customHeight="1">
      <c r="A110" s="129"/>
      <c r="B110" s="129"/>
      <c r="C110" s="129"/>
      <c r="D110" s="129"/>
      <c r="E110" s="3610"/>
      <c r="F110" s="3611"/>
      <c r="G110" s="1827" t="s">
        <v>1434</v>
      </c>
      <c r="H110" s="2555" t="str">
        <f>IF(H109="——","——",ROUND(H109*10000/'数据-汇总表'!E3,0))</f>
        <v>——</v>
      </c>
      <c r="I110" s="129"/>
    </row>
    <row r="111" spans="1:35" ht="18.75" customHeight="1">
      <c r="A111" s="129"/>
      <c r="B111" s="129"/>
      <c r="C111" s="129"/>
      <c r="D111" s="129"/>
      <c r="E111" s="3642" t="str">
        <f>IF(项目基本情况!E9="抵押净值",IF(OR(项目基本情况!E8="已注销",项目基本情况!E8="房地产抵押价值"),"4.抵押净值","5.抵押净值"),"——")</f>
        <v>——</v>
      </c>
      <c r="F111" s="3612"/>
      <c r="G111" s="1827" t="s">
        <v>1432</v>
      </c>
      <c r="H111" s="2595" t="str">
        <f>IF(E111="——","——",N59)</f>
        <v>——</v>
      </c>
      <c r="I111" s="129"/>
    </row>
    <row r="112" spans="1:35" ht="18.75" customHeight="1" thickBot="1">
      <c r="A112" s="129"/>
      <c r="B112" s="129"/>
      <c r="C112" s="129"/>
      <c r="D112" s="129"/>
      <c r="E112" s="3643"/>
      <c r="F112" s="3644"/>
      <c r="G112" s="1830" t="s">
        <v>1434</v>
      </c>
      <c r="H112" s="2599" t="str">
        <f>IF(E111="——","——",N61)</f>
        <v>——</v>
      </c>
      <c r="I112" s="129"/>
    </row>
    <row r="113" spans="1:27" ht="18.75" customHeight="1">
      <c r="A113" s="129"/>
      <c r="B113" s="129"/>
      <c r="C113" s="129"/>
      <c r="D113" s="129"/>
      <c r="E113" s="3615" t="s">
        <v>1440</v>
      </c>
      <c r="F113" s="3615"/>
      <c r="G113" s="3615"/>
      <c r="H113" s="3615"/>
      <c r="I113" s="129"/>
    </row>
    <row r="114" spans="1:27" ht="3.75" customHeight="1">
      <c r="A114" s="1747"/>
      <c r="B114" s="1747"/>
      <c r="C114" s="1747"/>
      <c r="D114" s="1747"/>
      <c r="E114" s="1809"/>
      <c r="F114" s="1809"/>
      <c r="G114" s="1809"/>
      <c r="H114" s="1809"/>
      <c r="I114" s="1747"/>
    </row>
    <row r="115" spans="1:27" ht="18.75" customHeight="1">
      <c r="A115" s="3625" t="s">
        <v>1442</v>
      </c>
      <c r="B115" s="3626"/>
      <c r="C115" s="3626"/>
      <c r="D115" s="3626"/>
      <c r="E115" s="3626"/>
      <c r="F115" s="3626"/>
      <c r="G115" s="3626"/>
      <c r="H115" s="3626"/>
      <c r="I115" s="3627"/>
    </row>
    <row r="116" spans="1:27" ht="27" customHeight="1">
      <c r="A116" s="3581" t="s">
        <v>1443</v>
      </c>
      <c r="B116" s="3616" t="s">
        <v>1444</v>
      </c>
      <c r="C116" s="3616" t="s">
        <v>1445</v>
      </c>
      <c r="D116" s="3629" t="s">
        <v>1446</v>
      </c>
      <c r="E116" s="3630"/>
      <c r="F116" s="3624" t="s">
        <v>1447</v>
      </c>
      <c r="G116" s="3624"/>
      <c r="H116" s="3581" t="s">
        <v>1448</v>
      </c>
      <c r="I116" s="3581"/>
    </row>
    <row r="117" spans="1:27" ht="18.75" customHeight="1">
      <c r="A117" s="3581"/>
      <c r="B117" s="3617"/>
      <c r="C117" s="3617"/>
      <c r="D117" s="3464" t="s">
        <v>1449</v>
      </c>
      <c r="E117" s="3464" t="s">
        <v>1450</v>
      </c>
      <c r="F117" s="3464" t="s">
        <v>1449</v>
      </c>
      <c r="G117" s="3464" t="s">
        <v>1451</v>
      </c>
      <c r="H117" s="3464" t="s">
        <v>1449</v>
      </c>
      <c r="I117" s="3464" t="s">
        <v>1451</v>
      </c>
    </row>
    <row r="118" spans="1:27" ht="24.75" customHeight="1">
      <c r="A118" s="2600" t="str">
        <f>项目基本情况!S2</f>
        <v>北京市房地产</v>
      </c>
      <c r="B118" s="3464">
        <f>M18</f>
        <v>8240.15</v>
      </c>
      <c r="C118" s="3464">
        <f>M19</f>
        <v>0</v>
      </c>
      <c r="D118" s="3464" t="e">
        <f ca="1">ROUND(IF(D32="总价",C34,E118*B118/10000),0)</f>
        <v>#REF!</v>
      </c>
      <c r="E118" s="3464" t="e">
        <f ca="1">ROUND(IF(C33="自定义",IF(D32="楼面单价",C34,D118*10000/B118),I118-G118),0)</f>
        <v>#REF!</v>
      </c>
      <c r="F118" s="3464" t="e">
        <f ca="1">ROUND(IF(D32="总价",C35,G118*B118/10000),0)</f>
        <v>#REF!</v>
      </c>
      <c r="G118" s="3464" t="e">
        <f ca="1">ROUND(IF(D32="楼面单价",C35,F118*10000/B118),0)</f>
        <v>#REF!</v>
      </c>
      <c r="H118" s="3464">
        <f ca="1">ROUND(IF(D32="总价",C32,I118*B118/10000),0)</f>
        <v>27753</v>
      </c>
      <c r="I118" s="3464">
        <f ca="1">ROUND(IF(D32="楼面单价",C32,H118*10000/B118),0)</f>
        <v>33680</v>
      </c>
    </row>
    <row r="119" spans="1:27" ht="18.75" customHeight="1">
      <c r="A119" s="3581" t="s">
        <v>1452</v>
      </c>
      <c r="B119" s="3581"/>
      <c r="C119" s="3581"/>
      <c r="D119" s="3621" t="e">
        <f ca="1">NUMBERSTRING(INT(D118*10000),2)&amp;"元整"</f>
        <v>#REF!</v>
      </c>
      <c r="E119" s="3623"/>
      <c r="F119" s="3621" t="e">
        <f ca="1">NUMBERSTRING(INT(F118*10000),2)&amp;"元整"</f>
        <v>#REF!</v>
      </c>
      <c r="G119" s="3623"/>
      <c r="H119" s="3621" t="str">
        <f ca="1">NUMBERSTRING(INT(H118*10000),2)&amp;"元整"</f>
        <v>贰亿柒仟柒佰伍拾叁万元整</v>
      </c>
      <c r="I119" s="3623"/>
    </row>
    <row r="120" spans="1:27" ht="18.75" customHeight="1">
      <c r="A120" s="3645" t="str">
        <f>IF(项目基本情况!B9="房地产市场价值","",MID(E103,3,LEN(E103)-2))</f>
        <v>估价师知悉的法定优先受偿款</v>
      </c>
      <c r="B120" s="3646"/>
      <c r="C120" s="3647"/>
      <c r="D120" s="3645">
        <f>H103</f>
        <v>0</v>
      </c>
      <c r="E120" s="3646"/>
      <c r="F120" s="3646"/>
      <c r="G120" s="3646"/>
      <c r="H120" s="3646"/>
      <c r="I120" s="3647"/>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1" t="s">
        <v>1452</v>
      </c>
      <c r="B121" s="3622"/>
      <c r="C121" s="3623"/>
      <c r="D121" s="3621" t="str">
        <f>IF(D120=0,"零元整",NUMBERSTRING(INT(D120*10000),2)&amp;"元整")</f>
        <v>零元整</v>
      </c>
      <c r="E121" s="3622"/>
      <c r="F121" s="3622"/>
      <c r="G121" s="3622"/>
      <c r="H121" s="3622"/>
      <c r="I121" s="3623"/>
      <c r="AA121" s="725"/>
    </row>
    <row r="122" spans="1:27" ht="18.75" customHeight="1">
      <c r="A122" s="3612" t="str">
        <f>IF(项目基本情况!B9="房地产市场价值","",MID(E107,3,LEN(E107)-2))</f>
        <v>房地产抵押价值</v>
      </c>
      <c r="B122" s="3612"/>
      <c r="C122" s="3612"/>
      <c r="D122" s="3645">
        <f ca="1">H107</f>
        <v>27753</v>
      </c>
      <c r="E122" s="3646"/>
      <c r="F122" s="3646"/>
      <c r="G122" s="3646"/>
      <c r="H122" s="3646"/>
      <c r="I122" s="3647"/>
      <c r="AA122" s="725"/>
    </row>
    <row r="123" spans="1:27" ht="18.75" customHeight="1">
      <c r="A123" s="3581" t="s">
        <v>1452</v>
      </c>
      <c r="B123" s="3581"/>
      <c r="C123" s="3581"/>
      <c r="D123" s="3621" t="str">
        <f ca="1">NUMBERSTRING(INT(D122*10000),2)&amp;"元整"</f>
        <v>贰亿柒仟柒佰伍拾叁万元整</v>
      </c>
      <c r="E123" s="3622"/>
      <c r="F123" s="3622"/>
      <c r="G123" s="3622"/>
      <c r="H123" s="3622"/>
      <c r="I123" s="3623"/>
      <c r="AA123" s="725"/>
    </row>
    <row r="124" spans="1:27" ht="18.75" customHeight="1">
      <c r="A124" s="3612" t="str">
        <f>IF(项目基本情况!B9="房地产市场价值","",MID(E109,3,LEN(E109)-2))</f>
        <v/>
      </c>
      <c r="B124" s="3612"/>
      <c r="C124" s="3612"/>
      <c r="D124" s="3645" t="str">
        <f>H109</f>
        <v>——</v>
      </c>
      <c r="E124" s="3646"/>
      <c r="F124" s="3646"/>
      <c r="G124" s="3646"/>
      <c r="H124" s="3646"/>
      <c r="I124" s="3647"/>
      <c r="AA124" s="725"/>
    </row>
    <row r="125" spans="1:27" ht="18.75" customHeight="1">
      <c r="A125" s="3581" t="s">
        <v>1452</v>
      </c>
      <c r="B125" s="3581"/>
      <c r="C125" s="3581"/>
      <c r="D125" s="3621" t="e">
        <f>NUMBERSTRING(INT(D124*10000),2)&amp;"元整"</f>
        <v>#VALUE!</v>
      </c>
      <c r="E125" s="3622"/>
      <c r="F125" s="3622"/>
      <c r="G125" s="3622"/>
      <c r="H125" s="3622"/>
      <c r="I125" s="3623"/>
      <c r="AA125" s="725"/>
    </row>
    <row r="126" spans="1:27" ht="18.75" customHeight="1">
      <c r="A126" s="3612" t="str">
        <f>IF(项目基本情况!B9="房地产市场价值","",MID(E111,3,LEN(E111)-2))</f>
        <v/>
      </c>
      <c r="B126" s="3612"/>
      <c r="C126" s="3612"/>
      <c r="D126" s="3645" t="str">
        <f>H111</f>
        <v>——</v>
      </c>
      <c r="E126" s="3646"/>
      <c r="F126" s="3646"/>
      <c r="G126" s="3646"/>
      <c r="H126" s="3646"/>
      <c r="I126" s="3647"/>
      <c r="AA126" s="725"/>
    </row>
    <row r="127" spans="1:27" ht="18.75" customHeight="1">
      <c r="A127" s="3581" t="s">
        <v>1452</v>
      </c>
      <c r="B127" s="3581"/>
      <c r="C127" s="3581"/>
      <c r="D127" s="3621" t="e">
        <f>NUMBERSTRING(INT(D126*10000),2)&amp;"元整"</f>
        <v>#VALUE!</v>
      </c>
      <c r="E127" s="3622"/>
      <c r="F127" s="3622"/>
      <c r="G127" s="3622"/>
      <c r="H127" s="3622"/>
      <c r="I127" s="3623"/>
      <c r="AA127" s="725"/>
    </row>
    <row r="128" spans="1:27" ht="21.75" customHeight="1">
      <c r="A128" s="3628" t="s">
        <v>1453</v>
      </c>
      <c r="B128" s="3628"/>
      <c r="C128" s="3628"/>
      <c r="D128" s="3628"/>
      <c r="E128" s="3628"/>
      <c r="F128" s="3628"/>
      <c r="G128" s="3628"/>
      <c r="H128" s="3628"/>
      <c r="I128" s="3628"/>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175" priority="10" stopIfTrue="1" operator="equal">
      <formula>25</formula>
    </cfRule>
  </conditionalFormatting>
  <conditionalFormatting sqref="C8:C9">
    <cfRule type="cellIs" dxfId="174" priority="9" stopIfTrue="1" operator="equal">
      <formula>15</formula>
    </cfRule>
  </conditionalFormatting>
  <conditionalFormatting sqref="C14:C16">
    <cfRule type="cellIs" dxfId="173" priority="8" stopIfTrue="1" operator="equal">
      <formula>30</formula>
    </cfRule>
  </conditionalFormatting>
  <conditionalFormatting sqref="D5:D7">
    <cfRule type="cellIs" dxfId="172" priority="7" stopIfTrue="1" operator="equal">
      <formula>25</formula>
    </cfRule>
  </conditionalFormatting>
  <conditionalFormatting sqref="D8:D9">
    <cfRule type="cellIs" dxfId="171" priority="6" stopIfTrue="1" operator="equal">
      <formula>15</formula>
    </cfRule>
  </conditionalFormatting>
  <conditionalFormatting sqref="C10:D13">
    <cfRule type="cellIs" dxfId="170" priority="5" stopIfTrue="1" operator="equal">
      <formula>15</formula>
    </cfRule>
  </conditionalFormatting>
  <conditionalFormatting sqref="D14:D16">
    <cfRule type="cellIs" dxfId="169" priority="4"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9" zoomScale="85" zoomScaleNormal="70" zoomScaleSheetLayoutView="85" workbookViewId="0">
      <selection activeCell="N15" sqref="N15"/>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3</v>
      </c>
      <c r="E1" s="3434" t="s">
        <v>3404</v>
      </c>
      <c r="F1" s="1879" t="s">
        <v>3405</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29514</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35817</v>
      </c>
      <c r="C3" s="354" t="s">
        <v>1768</v>
      </c>
      <c r="D3" s="353">
        <f>IF(D1="",'数据-汇总表'!E3,SUMIF('数据-汇总表'!$C19:$C33,D1,'数据-汇总表'!$E19:$E33))</f>
        <v>8240.15</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701" t="s">
        <v>1770</v>
      </c>
      <c r="D4" s="3702"/>
      <c r="E4" s="3703" t="s">
        <v>1771</v>
      </c>
      <c r="F4" s="3704"/>
      <c r="G4" s="3701" t="s">
        <v>1772</v>
      </c>
      <c r="H4" s="3702"/>
      <c r="I4" s="3701" t="s">
        <v>1773</v>
      </c>
      <c r="J4" s="3702"/>
      <c r="K4" s="559" t="s">
        <v>1774</v>
      </c>
      <c r="L4" s="2715"/>
      <c r="M4" s="2716"/>
      <c r="N4" s="2716"/>
      <c r="O4" s="2716"/>
      <c r="P4" s="3705" t="s">
        <v>1775</v>
      </c>
      <c r="Q4" s="3706"/>
      <c r="R4" s="3711" t="s">
        <v>1771</v>
      </c>
      <c r="S4" s="3712"/>
      <c r="T4" s="3711" t="s">
        <v>1772</v>
      </c>
      <c r="U4" s="3712"/>
      <c r="V4" s="3717" t="s">
        <v>1773</v>
      </c>
      <c r="W4" s="3717"/>
      <c r="X4" s="1958"/>
      <c r="Y4" s="3711" t="s">
        <v>1775</v>
      </c>
      <c r="Z4" s="3712"/>
      <c r="AA4" s="3729" t="s">
        <v>1771</v>
      </c>
      <c r="AB4" s="3729" t="s">
        <v>1772</v>
      </c>
      <c r="AC4" s="3698" t="s">
        <v>1773</v>
      </c>
    </row>
    <row r="5" spans="1:29" ht="15">
      <c r="A5" s="358"/>
      <c r="B5" s="359"/>
      <c r="C5" s="3721" t="s">
        <v>1673</v>
      </c>
      <c r="D5" s="3722"/>
      <c r="E5" s="3732" t="s">
        <v>1674</v>
      </c>
      <c r="F5" s="3733"/>
      <c r="G5" s="3721" t="s">
        <v>1675</v>
      </c>
      <c r="H5" s="3722"/>
      <c r="I5" s="3721" t="s">
        <v>1676</v>
      </c>
      <c r="J5" s="3722"/>
      <c r="K5" s="559"/>
      <c r="L5" s="2715"/>
      <c r="M5" s="2716"/>
      <c r="N5" s="2716"/>
      <c r="O5" s="2716"/>
      <c r="P5" s="3707"/>
      <c r="Q5" s="3708"/>
      <c r="R5" s="3713"/>
      <c r="S5" s="3714"/>
      <c r="T5" s="3713"/>
      <c r="U5" s="3714"/>
      <c r="V5" s="3718"/>
      <c r="W5" s="3718"/>
      <c r="X5" s="1355"/>
      <c r="Y5" s="3713"/>
      <c r="Z5" s="3714"/>
      <c r="AA5" s="3730"/>
      <c r="AB5" s="3730"/>
      <c r="AC5" s="3699"/>
    </row>
    <row r="6" spans="1:29" ht="15.75" thickBot="1">
      <c r="A6" s="360"/>
      <c r="B6" s="361"/>
      <c r="C6" s="3719" t="s">
        <v>1677</v>
      </c>
      <c r="D6" s="3720"/>
      <c r="E6" s="3727" t="s">
        <v>1677</v>
      </c>
      <c r="F6" s="3728"/>
      <c r="G6" s="3719" t="s">
        <v>1677</v>
      </c>
      <c r="H6" s="3720"/>
      <c r="I6" s="3719" t="s">
        <v>1677</v>
      </c>
      <c r="J6" s="3720"/>
      <c r="K6" s="559" t="s">
        <v>1678</v>
      </c>
      <c r="L6" s="2715"/>
      <c r="M6" s="2716"/>
      <c r="N6" s="2716"/>
      <c r="O6" s="2716"/>
      <c r="P6" s="3709"/>
      <c r="Q6" s="3710"/>
      <c r="R6" s="3713"/>
      <c r="S6" s="3714"/>
      <c r="T6" s="3715"/>
      <c r="U6" s="3716"/>
      <c r="V6" s="3718"/>
      <c r="W6" s="3718"/>
      <c r="X6" s="1355"/>
      <c r="Y6" s="3715"/>
      <c r="Z6" s="3716"/>
      <c r="AA6" s="3731"/>
      <c r="AB6" s="3731"/>
      <c r="AC6" s="3700"/>
    </row>
    <row r="7" spans="1:29" s="108" customFormat="1" ht="15.75" thickBot="1">
      <c r="A7" s="362" t="s">
        <v>1679</v>
      </c>
      <c r="B7" s="363"/>
      <c r="C7" s="364">
        <f>'数据-取费表'!B2</f>
        <v>44937</v>
      </c>
      <c r="D7" s="365">
        <v>100</v>
      </c>
      <c r="E7" s="366">
        <f>C7</f>
        <v>44937</v>
      </c>
      <c r="F7" s="367">
        <f>SUMIF(59:59,YEAR(E7)&amp;"-"&amp;MONTH(E7),60:60)</f>
        <v>100</v>
      </c>
      <c r="G7" s="366">
        <f>C7</f>
        <v>44937</v>
      </c>
      <c r="H7" s="365">
        <f>SUMIF(59:59,YEAR(G7)&amp;"-"&amp;MONTH(G7),60:60)</f>
        <v>100</v>
      </c>
      <c r="I7" s="366">
        <f>C7</f>
        <v>44937</v>
      </c>
      <c r="J7" s="365">
        <f>SUMIF(59:59,YEAR(I7)&amp;"-"&amp;MONTH(I7),60:60)</f>
        <v>100</v>
      </c>
      <c r="K7" s="560"/>
      <c r="L7" s="2717"/>
      <c r="M7" s="2718"/>
      <c r="N7" s="2718"/>
      <c r="O7" s="2718"/>
      <c r="P7" s="3723" t="s">
        <v>1680</v>
      </c>
      <c r="Q7" s="3726"/>
      <c r="R7" s="701" t="s">
        <v>14</v>
      </c>
      <c r="S7" s="702">
        <f t="shared" ref="S7:S15" si="0">F7</f>
        <v>100</v>
      </c>
      <c r="T7" s="701" t="s">
        <v>14</v>
      </c>
      <c r="U7" s="702">
        <f t="shared" ref="U7:U15" si="1">H7</f>
        <v>100</v>
      </c>
      <c r="V7" s="701" t="s">
        <v>14</v>
      </c>
      <c r="W7" s="702">
        <f t="shared" ref="W7:W15" si="2">J7</f>
        <v>100</v>
      </c>
      <c r="X7" s="703"/>
      <c r="Y7" s="3725" t="s">
        <v>1680</v>
      </c>
      <c r="Z7" s="3724"/>
      <c r="AA7" s="704">
        <f>D7/F7</f>
        <v>1</v>
      </c>
      <c r="AB7" s="704">
        <f>D7/H7</f>
        <v>1</v>
      </c>
      <c r="AC7" s="1959">
        <f>D7/J7</f>
        <v>1</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23" t="s">
        <v>1683</v>
      </c>
      <c r="Q8" s="3724"/>
      <c r="R8" s="701" t="s">
        <v>14</v>
      </c>
      <c r="S8" s="702">
        <f t="shared" si="0"/>
        <v>100</v>
      </c>
      <c r="T8" s="701" t="s">
        <v>14</v>
      </c>
      <c r="U8" s="702">
        <f t="shared" si="1"/>
        <v>100</v>
      </c>
      <c r="V8" s="701" t="s">
        <v>14</v>
      </c>
      <c r="W8" s="702">
        <f t="shared" si="2"/>
        <v>100</v>
      </c>
      <c r="X8" s="703"/>
      <c r="Y8" s="3725" t="s">
        <v>1683</v>
      </c>
      <c r="Z8" s="3724"/>
      <c r="AA8" s="704">
        <f t="shared" ref="AA8:AA47" si="3">D8/F8</f>
        <v>1</v>
      </c>
      <c r="AB8" s="704">
        <f t="shared" ref="AB8:AB47" si="4">D8/H8</f>
        <v>1</v>
      </c>
      <c r="AC8" s="1959">
        <f t="shared" ref="AC8:AC47" si="5">D8/J8</f>
        <v>1</v>
      </c>
    </row>
    <row r="9" spans="1:29" s="108" customFormat="1">
      <c r="A9" s="369" t="s">
        <v>1684</v>
      </c>
      <c r="B9" s="63" t="s">
        <v>1685</v>
      </c>
      <c r="C9" s="3477" t="s">
        <v>3407</v>
      </c>
      <c r="D9" s="126">
        <v>100</v>
      </c>
      <c r="E9" s="373" t="s">
        <v>3</v>
      </c>
      <c r="F9" s="126">
        <f>SUMIF(64:64,E9,65:65)-SUMIF(64:64,C9,65:65)+100</f>
        <v>100</v>
      </c>
      <c r="G9" s="373" t="s">
        <v>3</v>
      </c>
      <c r="H9" s="126">
        <f>SUMIF(64:64,G9,65:65)-SUMIF(64:64,C9,65:65)+100</f>
        <v>100</v>
      </c>
      <c r="I9" s="373" t="s">
        <v>3</v>
      </c>
      <c r="J9" s="126">
        <f>SUMIF(64:64,I9,65:65)-SUMIF(64:64,C9,65:65)+100</f>
        <v>100</v>
      </c>
      <c r="K9" s="560"/>
      <c r="L9" s="2717"/>
      <c r="M9" s="2718"/>
      <c r="N9" s="2718"/>
      <c r="O9" s="2718"/>
      <c r="P9" s="3683"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1959">
        <f t="shared" si="5"/>
        <v>1</v>
      </c>
    </row>
    <row r="10" spans="1:29" s="378" customFormat="1" ht="27">
      <c r="A10" s="374"/>
      <c r="B10" s="375" t="s">
        <v>1688</v>
      </c>
      <c r="C10" s="3435"/>
      <c r="D10" s="127">
        <v>100</v>
      </c>
      <c r="E10" s="3435"/>
      <c r="F10" s="127">
        <f>SUMIF(66:66,E10,67:67)-SUMIF(66:66,C10,67:67)+100</f>
        <v>100</v>
      </c>
      <c r="G10" s="3436"/>
      <c r="H10" s="127">
        <f>SUMIF(66:66,G10,67:67)-SUMIF(66:66,C10,67:67)+100</f>
        <v>100</v>
      </c>
      <c r="I10" s="3435"/>
      <c r="J10" s="127">
        <f>SUMIF(66:66,I10,67:67)-SUMIF(66:66,C10,67:67)+100</f>
        <v>100</v>
      </c>
      <c r="K10" s="560"/>
      <c r="L10" s="2719"/>
      <c r="M10" s="2720"/>
      <c r="N10" s="2720"/>
      <c r="O10" s="2720"/>
      <c r="P10" s="3683"/>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83"/>
      <c r="Q11" s="1343" t="str">
        <f t="shared" si="6"/>
        <v>容积率</v>
      </c>
      <c r="R11" s="701" t="s">
        <v>14</v>
      </c>
      <c r="S11" s="702">
        <f t="shared" si="0"/>
        <v>100</v>
      </c>
      <c r="T11" s="701" t="s">
        <v>14</v>
      </c>
      <c r="U11" s="702">
        <f t="shared" si="1"/>
        <v>100</v>
      </c>
      <c r="V11" s="701" t="s">
        <v>14</v>
      </c>
      <c r="W11" s="702">
        <f t="shared" si="2"/>
        <v>100</v>
      </c>
      <c r="X11" s="703"/>
      <c r="Y11" s="3568"/>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83"/>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83"/>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83"/>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97</v>
      </c>
      <c r="G15" s="393"/>
      <c r="H15" s="392">
        <f>SUMIF(77:77,G16,78:78)-SUMIF(77:77,C16,78:78)+100</f>
        <v>97</v>
      </c>
      <c r="I15" s="393"/>
      <c r="J15" s="392">
        <f>SUMIF(77:77,I16,78:78)-SUMIF(77:77,C16,78:78)+100</f>
        <v>97</v>
      </c>
      <c r="K15" s="563">
        <v>3</v>
      </c>
      <c r="L15" s="2722"/>
      <c r="M15" s="2716"/>
      <c r="N15" s="2716"/>
      <c r="O15" s="2716"/>
      <c r="P15" s="3689" t="s">
        <v>1691</v>
      </c>
      <c r="Q15" s="1352" t="str">
        <f t="shared" si="6"/>
        <v>办公集聚程度</v>
      </c>
      <c r="R15" s="705" t="s">
        <v>14</v>
      </c>
      <c r="S15" s="706">
        <f t="shared" si="0"/>
        <v>97</v>
      </c>
      <c r="T15" s="705" t="s">
        <v>14</v>
      </c>
      <c r="U15" s="706">
        <f t="shared" si="1"/>
        <v>97</v>
      </c>
      <c r="V15" s="705" t="s">
        <v>14</v>
      </c>
      <c r="W15" s="706">
        <f t="shared" si="2"/>
        <v>97</v>
      </c>
      <c r="X15" s="1355"/>
      <c r="Y15" s="3691" t="s">
        <v>1691</v>
      </c>
      <c r="Z15" s="1356" t="str">
        <f t="shared" si="7"/>
        <v>办公集聚程度</v>
      </c>
      <c r="AA15" s="1353">
        <f t="shared" si="3"/>
        <v>1.0309278350515463</v>
      </c>
      <c r="AB15" s="1353">
        <f t="shared" si="4"/>
        <v>1.0309278350515463</v>
      </c>
      <c r="AC15" s="1962">
        <f t="shared" si="5"/>
        <v>1.0309278350515463</v>
      </c>
    </row>
    <row r="16" spans="1:29" ht="15">
      <c r="A16" s="379"/>
      <c r="B16" s="578"/>
      <c r="C16" s="1904" t="s">
        <v>3398</v>
      </c>
      <c r="D16" s="399"/>
      <c r="E16" s="1904" t="s">
        <v>3397</v>
      </c>
      <c r="F16" s="399"/>
      <c r="G16" s="1904" t="s">
        <v>3397</v>
      </c>
      <c r="H16" s="401"/>
      <c r="I16" s="1904" t="s">
        <v>3397</v>
      </c>
      <c r="J16" s="399"/>
      <c r="K16" s="564"/>
      <c r="L16" s="2722"/>
      <c r="M16" s="2716"/>
      <c r="N16" s="2716"/>
      <c r="O16" s="2716"/>
      <c r="P16" s="3690"/>
      <c r="Q16" s="1352"/>
      <c r="R16" s="705"/>
      <c r="S16" s="706"/>
      <c r="T16" s="705"/>
      <c r="U16" s="706"/>
      <c r="V16" s="705"/>
      <c r="W16" s="706"/>
      <c r="X16" s="1355"/>
      <c r="Y16" s="3692"/>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2"/>
      <c r="M17" s="2716"/>
      <c r="N17" s="2716"/>
      <c r="O17" s="2716"/>
      <c r="P17" s="3690"/>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962">
        <f t="shared" si="5"/>
        <v>1</v>
      </c>
    </row>
    <row r="18" spans="1:29" ht="15">
      <c r="A18" s="379"/>
      <c r="B18" s="580"/>
      <c r="C18" s="1964" t="s">
        <v>3398</v>
      </c>
      <c r="D18" s="401"/>
      <c r="E18" s="1964" t="s">
        <v>3398</v>
      </c>
      <c r="F18" s="401"/>
      <c r="G18" s="1964" t="s">
        <v>3398</v>
      </c>
      <c r="H18" s="399"/>
      <c r="I18" s="1964" t="s">
        <v>3398</v>
      </c>
      <c r="J18" s="399"/>
      <c r="K18" s="564"/>
      <c r="L18" s="2722"/>
      <c r="M18" s="2716"/>
      <c r="N18" s="2716"/>
      <c r="O18" s="2716"/>
      <c r="P18" s="3690"/>
      <c r="Q18" s="1352"/>
      <c r="R18" s="705"/>
      <c r="S18" s="706"/>
      <c r="T18" s="705"/>
      <c r="U18" s="706"/>
      <c r="V18" s="705"/>
      <c r="W18" s="706"/>
      <c r="X18" s="1355"/>
      <c r="Y18" s="3692"/>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2"/>
      <c r="M19" s="2716"/>
      <c r="N19" s="2716"/>
      <c r="O19" s="2716"/>
      <c r="P19" s="3690"/>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962">
        <f t="shared" si="5"/>
        <v>1</v>
      </c>
    </row>
    <row r="20" spans="1:29" ht="15">
      <c r="A20" s="379"/>
      <c r="B20" s="580"/>
      <c r="C20" s="1904" t="s">
        <v>3398</v>
      </c>
      <c r="D20" s="399"/>
      <c r="E20" s="1904" t="s">
        <v>3398</v>
      </c>
      <c r="F20" s="399"/>
      <c r="G20" s="1904" t="s">
        <v>3398</v>
      </c>
      <c r="H20" s="399"/>
      <c r="I20" s="1904" t="s">
        <v>3398</v>
      </c>
      <c r="J20" s="399"/>
      <c r="K20" s="564"/>
      <c r="L20" s="2722"/>
      <c r="M20" s="2716"/>
      <c r="N20" s="2716"/>
      <c r="O20" s="2716"/>
      <c r="P20" s="3690"/>
      <c r="Q20" s="1352"/>
      <c r="R20" s="705"/>
      <c r="S20" s="706"/>
      <c r="T20" s="705"/>
      <c r="U20" s="706"/>
      <c r="V20" s="705"/>
      <c r="W20" s="706"/>
      <c r="X20" s="1355"/>
      <c r="Y20" s="3692"/>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962">
        <f t="shared" ref="AC21" si="10">D21/J21</f>
        <v>1</v>
      </c>
    </row>
    <row r="22" spans="1:29" ht="15">
      <c r="A22" s="379"/>
      <c r="B22" s="581"/>
      <c r="C22" s="1964" t="s">
        <v>3408</v>
      </c>
      <c r="D22" s="399"/>
      <c r="E22" s="1964" t="s">
        <v>3408</v>
      </c>
      <c r="F22" s="399"/>
      <c r="G22" s="1964" t="s">
        <v>3408</v>
      </c>
      <c r="H22" s="399"/>
      <c r="I22" s="1964" t="s">
        <v>3408</v>
      </c>
      <c r="J22" s="399"/>
      <c r="K22" s="1130"/>
      <c r="L22" s="2722"/>
      <c r="M22" s="2716"/>
      <c r="N22" s="2716"/>
      <c r="O22" s="2716"/>
      <c r="P22" s="3690"/>
      <c r="Q22" s="1352"/>
      <c r="R22" s="705"/>
      <c r="S22" s="706"/>
      <c r="T22" s="705"/>
      <c r="U22" s="706"/>
      <c r="V22" s="705"/>
      <c r="W22" s="706"/>
      <c r="X22" s="1355"/>
      <c r="Y22" s="3692"/>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97</v>
      </c>
      <c r="G23" s="403"/>
      <c r="H23" s="401">
        <f>SUMIF(85:85,G24,86:86)-SUMIF(85:85,C24,86:86)+100</f>
        <v>97</v>
      </c>
      <c r="I23" s="403"/>
      <c r="J23" s="401">
        <f>SUMIF(85:85,I24,86:86)-SUMIF(85:85,C24,86:86)+100</f>
        <v>97</v>
      </c>
      <c r="K23" s="563">
        <v>3</v>
      </c>
      <c r="L23" s="2722"/>
      <c r="M23" s="2716"/>
      <c r="N23" s="2716"/>
      <c r="O23" s="2716"/>
      <c r="P23" s="3690"/>
      <c r="Q23" s="1352" t="str">
        <f>B23</f>
        <v>环境质量</v>
      </c>
      <c r="R23" s="705" t="s">
        <v>14</v>
      </c>
      <c r="S23" s="706">
        <f>F23</f>
        <v>97</v>
      </c>
      <c r="T23" s="705" t="s">
        <v>14</v>
      </c>
      <c r="U23" s="706">
        <f>H23</f>
        <v>97</v>
      </c>
      <c r="V23" s="705" t="s">
        <v>14</v>
      </c>
      <c r="W23" s="706">
        <f>J23</f>
        <v>97</v>
      </c>
      <c r="X23" s="1355"/>
      <c r="Y23" s="3692"/>
      <c r="Z23" s="1356" t="str">
        <f>Q23</f>
        <v>环境质量</v>
      </c>
      <c r="AA23" s="1353">
        <f t="shared" si="3"/>
        <v>1.0309278350515463</v>
      </c>
      <c r="AB23" s="1353">
        <f t="shared" si="4"/>
        <v>1.0309278350515463</v>
      </c>
      <c r="AC23" s="1962">
        <f t="shared" si="5"/>
        <v>1.0309278350515463</v>
      </c>
    </row>
    <row r="24" spans="1:29" ht="15">
      <c r="A24" s="379"/>
      <c r="B24" s="581"/>
      <c r="C24" s="1904" t="s">
        <v>3398</v>
      </c>
      <c r="D24" s="399"/>
      <c r="E24" s="1904" t="s">
        <v>3397</v>
      </c>
      <c r="F24" s="399"/>
      <c r="G24" s="1904" t="s">
        <v>3397</v>
      </c>
      <c r="H24" s="399"/>
      <c r="I24" s="1904" t="s">
        <v>3397</v>
      </c>
      <c r="J24" s="399"/>
      <c r="K24" s="564"/>
      <c r="L24" s="2722"/>
      <c r="M24" s="2716"/>
      <c r="N24" s="2716"/>
      <c r="O24" s="2716"/>
      <c r="P24" s="3690"/>
      <c r="Q24" s="1352"/>
      <c r="R24" s="705"/>
      <c r="S24" s="706"/>
      <c r="T24" s="705"/>
      <c r="U24" s="706"/>
      <c r="V24" s="705"/>
      <c r="W24" s="706"/>
      <c r="X24" s="1355"/>
      <c r="Y24" s="3692"/>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690"/>
      <c r="Q25" s="1352" t="str">
        <f>B25</f>
        <v>毗邻道路的类型与等级</v>
      </c>
      <c r="R25" s="705" t="s">
        <v>14</v>
      </c>
      <c r="S25" s="706">
        <f>F25</f>
        <v>100</v>
      </c>
      <c r="T25" s="705" t="s">
        <v>14</v>
      </c>
      <c r="U25" s="706">
        <f>H25</f>
        <v>100</v>
      </c>
      <c r="V25" s="705" t="s">
        <v>14</v>
      </c>
      <c r="W25" s="706">
        <f>J25</f>
        <v>100</v>
      </c>
      <c r="X25" s="1355"/>
      <c r="Y25" s="3692"/>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90"/>
      <c r="Q26" s="1352"/>
      <c r="R26" s="705"/>
      <c r="S26" s="706"/>
      <c r="T26" s="705"/>
      <c r="U26" s="706"/>
      <c r="V26" s="705"/>
      <c r="W26" s="706"/>
      <c r="X26" s="1355"/>
      <c r="Y26" s="3692"/>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690"/>
      <c r="Q27" s="1352" t="str">
        <f t="shared" ref="Q27:Q47" si="11">B27</f>
        <v>楼层</v>
      </c>
      <c r="R27" s="705" t="s">
        <v>14</v>
      </c>
      <c r="S27" s="706">
        <f>F27</f>
        <v>100</v>
      </c>
      <c r="T27" s="705" t="s">
        <v>14</v>
      </c>
      <c r="U27" s="706">
        <f>H27</f>
        <v>100</v>
      </c>
      <c r="V27" s="705" t="s">
        <v>14</v>
      </c>
      <c r="W27" s="706">
        <f>J27</f>
        <v>100</v>
      </c>
      <c r="X27" s="1355"/>
      <c r="Y27" s="3692"/>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90"/>
      <c r="Q28" s="1343" t="str">
        <f t="shared" si="11"/>
        <v>朝向</v>
      </c>
      <c r="R28" s="701" t="s">
        <v>14</v>
      </c>
      <c r="S28" s="702">
        <f>F28</f>
        <v>100</v>
      </c>
      <c r="T28" s="701" t="s">
        <v>14</v>
      </c>
      <c r="U28" s="702">
        <f>H28</f>
        <v>100</v>
      </c>
      <c r="V28" s="701" t="s">
        <v>14</v>
      </c>
      <c r="W28" s="702">
        <f>J28</f>
        <v>100</v>
      </c>
      <c r="X28" s="703"/>
      <c r="Y28" s="3692"/>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90"/>
      <c r="Q29" s="1352">
        <f t="shared" si="11"/>
        <v>111</v>
      </c>
      <c r="R29" s="705" t="s">
        <v>14</v>
      </c>
      <c r="S29" s="706">
        <f t="shared" ref="S29:S47" si="12">F29</f>
        <v>100</v>
      </c>
      <c r="T29" s="705" t="s">
        <v>14</v>
      </c>
      <c r="U29" s="706">
        <f t="shared" ref="U29:U47" si="13">H29</f>
        <v>100</v>
      </c>
      <c r="V29" s="705" t="s">
        <v>14</v>
      </c>
      <c r="W29" s="706">
        <f t="shared" ref="W29:W47" si="14">J29</f>
        <v>100</v>
      </c>
      <c r="X29" s="1355"/>
      <c r="Y29" s="3692"/>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90"/>
      <c r="Q30" s="1352">
        <f t="shared" si="11"/>
        <v>111</v>
      </c>
      <c r="R30" s="705" t="s">
        <v>14</v>
      </c>
      <c r="S30" s="706">
        <f t="shared" si="12"/>
        <v>100</v>
      </c>
      <c r="T30" s="705" t="s">
        <v>14</v>
      </c>
      <c r="U30" s="706">
        <f t="shared" si="13"/>
        <v>100</v>
      </c>
      <c r="V30" s="705" t="s">
        <v>14</v>
      </c>
      <c r="W30" s="706">
        <f t="shared" si="14"/>
        <v>100</v>
      </c>
      <c r="X30" s="1355"/>
      <c r="Y30" s="3692"/>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90"/>
      <c r="Q31" s="1352">
        <f t="shared" si="11"/>
        <v>111</v>
      </c>
      <c r="R31" s="705" t="s">
        <v>14</v>
      </c>
      <c r="S31" s="706">
        <f t="shared" si="12"/>
        <v>100</v>
      </c>
      <c r="T31" s="705" t="s">
        <v>14</v>
      </c>
      <c r="U31" s="706">
        <f t="shared" si="13"/>
        <v>100</v>
      </c>
      <c r="V31" s="705" t="s">
        <v>14</v>
      </c>
      <c r="W31" s="706">
        <f t="shared" si="14"/>
        <v>100</v>
      </c>
      <c r="X31" s="1355"/>
      <c r="Y31" s="3692"/>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90"/>
      <c r="Q32" s="1352">
        <f t="shared" si="11"/>
        <v>111</v>
      </c>
      <c r="R32" s="705" t="s">
        <v>14</v>
      </c>
      <c r="S32" s="706">
        <f t="shared" si="12"/>
        <v>100</v>
      </c>
      <c r="T32" s="705" t="s">
        <v>14</v>
      </c>
      <c r="U32" s="706">
        <f t="shared" si="13"/>
        <v>100</v>
      </c>
      <c r="V32" s="705" t="s">
        <v>14</v>
      </c>
      <c r="W32" s="706">
        <f t="shared" si="14"/>
        <v>100</v>
      </c>
      <c r="X32" s="1355"/>
      <c r="Y32" s="3692"/>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693" t="s">
        <v>1696</v>
      </c>
      <c r="Q33" s="1352" t="str">
        <f t="shared" si="11"/>
        <v>建筑类型</v>
      </c>
      <c r="R33" s="705" t="s">
        <v>14</v>
      </c>
      <c r="S33" s="706">
        <f t="shared" si="12"/>
        <v>100</v>
      </c>
      <c r="T33" s="705" t="s">
        <v>14</v>
      </c>
      <c r="U33" s="706">
        <f t="shared" si="13"/>
        <v>100</v>
      </c>
      <c r="V33" s="705" t="s">
        <v>14</v>
      </c>
      <c r="W33" s="706">
        <f t="shared" si="14"/>
        <v>100</v>
      </c>
      <c r="X33" s="1355"/>
      <c r="Y33" s="3696"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f>LOOKUP(E34,104:104,105:105)-LOOKUP(C34,104:104,105:105)+100</f>
        <v>100</v>
      </c>
      <c r="G34" s="380"/>
      <c r="H34" s="127">
        <f>LOOKUP(G34,104:104,105:105)-LOOKUP(C34,104:104,105:105)+100</f>
        <v>100</v>
      </c>
      <c r="I34" s="380"/>
      <c r="J34" s="127">
        <f>LOOKUP(I34,104:104,105:105)-LOOKUP(C34,104:104,105:105)+100</f>
        <v>100</v>
      </c>
      <c r="K34" s="562"/>
      <c r="L34" s="2721"/>
      <c r="M34" s="2723"/>
      <c r="N34" s="2723"/>
      <c r="O34" s="2723"/>
      <c r="P34" s="3694"/>
      <c r="Q34" s="707" t="str">
        <f t="shared" si="11"/>
        <v>项目建筑规模</v>
      </c>
      <c r="R34" s="708" t="s">
        <v>14</v>
      </c>
      <c r="S34" s="709">
        <f t="shared" si="12"/>
        <v>100</v>
      </c>
      <c r="T34" s="708" t="s">
        <v>14</v>
      </c>
      <c r="U34" s="709">
        <f t="shared" si="13"/>
        <v>100</v>
      </c>
      <c r="V34" s="708" t="s">
        <v>14</v>
      </c>
      <c r="W34" s="709">
        <f t="shared" si="14"/>
        <v>100</v>
      </c>
      <c r="X34" s="710"/>
      <c r="Y34" s="3696"/>
      <c r="Z34" s="711" t="str">
        <f t="shared" si="15"/>
        <v>项目建筑规模</v>
      </c>
      <c r="AA34" s="1353">
        <f t="shared" si="3"/>
        <v>1</v>
      </c>
      <c r="AB34" s="1353">
        <f t="shared" si="4"/>
        <v>1</v>
      </c>
      <c r="AC34" s="1962">
        <f t="shared" si="5"/>
        <v>1</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694"/>
      <c r="Q35" s="1352" t="str">
        <f t="shared" si="11"/>
        <v>建筑结构</v>
      </c>
      <c r="R35" s="705" t="s">
        <v>14</v>
      </c>
      <c r="S35" s="706">
        <f t="shared" si="12"/>
        <v>100</v>
      </c>
      <c r="T35" s="705" t="s">
        <v>14</v>
      </c>
      <c r="U35" s="706">
        <f t="shared" si="13"/>
        <v>100</v>
      </c>
      <c r="V35" s="705" t="s">
        <v>14</v>
      </c>
      <c r="W35" s="706">
        <f t="shared" si="14"/>
        <v>100</v>
      </c>
      <c r="X35" s="1355"/>
      <c r="Y35" s="3696"/>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694"/>
      <c r="Q36" s="1352" t="str">
        <f t="shared" si="11"/>
        <v>公共部分装修</v>
      </c>
      <c r="R36" s="705" t="s">
        <v>14</v>
      </c>
      <c r="S36" s="706">
        <f t="shared" si="12"/>
        <v>100</v>
      </c>
      <c r="T36" s="705" t="s">
        <v>14</v>
      </c>
      <c r="U36" s="706">
        <f t="shared" si="13"/>
        <v>100</v>
      </c>
      <c r="V36" s="705" t="s">
        <v>14</v>
      </c>
      <c r="W36" s="706">
        <f t="shared" si="14"/>
        <v>100</v>
      </c>
      <c r="X36" s="1355"/>
      <c r="Y36" s="3696"/>
      <c r="Z36" s="1356" t="str">
        <f t="shared" si="15"/>
        <v>公共部分装修</v>
      </c>
      <c r="AA36" s="1353">
        <f t="shared" si="3"/>
        <v>1</v>
      </c>
      <c r="AB36" s="1353">
        <f t="shared" si="4"/>
        <v>1</v>
      </c>
      <c r="AC36" s="1962">
        <f t="shared" si="5"/>
        <v>1</v>
      </c>
    </row>
    <row r="37" spans="1:29" ht="15">
      <c r="A37" s="423"/>
      <c r="B37" s="375" t="s">
        <v>1786</v>
      </c>
      <c r="C37" s="425">
        <f>'数据-取费表'!N6</f>
        <v>0.82</v>
      </c>
      <c r="D37" s="386">
        <v>100</v>
      </c>
      <c r="E37" s="425">
        <f>C37</f>
        <v>0.82</v>
      </c>
      <c r="F37" s="412">
        <f>LOOKUP(E37,111:111,112:112)-LOOKUP(C37,111:111,112:112)+100</f>
        <v>100</v>
      </c>
      <c r="G37" s="425">
        <f>C37</f>
        <v>0.82</v>
      </c>
      <c r="H37" s="412">
        <f>LOOKUP(G37,111:111,112:112)-LOOKUP(C37,111:111,112:112)+100</f>
        <v>100</v>
      </c>
      <c r="I37" s="425">
        <f>C37</f>
        <v>0.82</v>
      </c>
      <c r="J37" s="386">
        <f>LOOKUP(I37,111:111,112:112)-LOOKUP(C37,111:111,112:112)+100</f>
        <v>100</v>
      </c>
      <c r="K37" s="561"/>
      <c r="L37" s="2722"/>
      <c r="M37" s="2716"/>
      <c r="N37" s="2716"/>
      <c r="O37" s="2716"/>
      <c r="P37" s="3694"/>
      <c r="Q37" s="1352" t="str">
        <f t="shared" si="11"/>
        <v>成新度</v>
      </c>
      <c r="R37" s="705" t="s">
        <v>14</v>
      </c>
      <c r="S37" s="706">
        <f t="shared" si="12"/>
        <v>100</v>
      </c>
      <c r="T37" s="705" t="s">
        <v>14</v>
      </c>
      <c r="U37" s="706">
        <f t="shared" si="13"/>
        <v>100</v>
      </c>
      <c r="V37" s="705" t="s">
        <v>14</v>
      </c>
      <c r="W37" s="706">
        <f t="shared" si="14"/>
        <v>100</v>
      </c>
      <c r="X37" s="1355"/>
      <c r="Y37" s="3696"/>
      <c r="Z37" s="1356" t="str">
        <f t="shared" si="15"/>
        <v>成新度</v>
      </c>
      <c r="AA37" s="1353">
        <f t="shared" si="3"/>
        <v>1</v>
      </c>
      <c r="AB37" s="1353">
        <f t="shared" si="4"/>
        <v>1</v>
      </c>
      <c r="AC37" s="1962">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94"/>
      <c r="Q38" s="1343" t="str">
        <f t="shared" si="11"/>
        <v>写字楼等级</v>
      </c>
      <c r="R38" s="701" t="s">
        <v>14</v>
      </c>
      <c r="S38" s="702">
        <f t="shared" si="12"/>
        <v>100</v>
      </c>
      <c r="T38" s="701" t="s">
        <v>14</v>
      </c>
      <c r="U38" s="702">
        <f t="shared" si="13"/>
        <v>100</v>
      </c>
      <c r="V38" s="701" t="s">
        <v>14</v>
      </c>
      <c r="W38" s="702">
        <f t="shared" si="14"/>
        <v>100</v>
      </c>
      <c r="X38" s="703"/>
      <c r="Y38" s="3696"/>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694" t="s">
        <v>1696</v>
      </c>
      <c r="Q39" s="1352" t="str">
        <f t="shared" si="11"/>
        <v>物业管理</v>
      </c>
      <c r="R39" s="705" t="s">
        <v>14</v>
      </c>
      <c r="S39" s="706">
        <f t="shared" si="12"/>
        <v>100</v>
      </c>
      <c r="T39" s="705" t="s">
        <v>14</v>
      </c>
      <c r="U39" s="706">
        <f t="shared" si="13"/>
        <v>100</v>
      </c>
      <c r="V39" s="705" t="s">
        <v>14</v>
      </c>
      <c r="W39" s="706">
        <f t="shared" si="14"/>
        <v>100</v>
      </c>
      <c r="X39" s="1355"/>
      <c r="Y39" s="3696"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694"/>
      <c r="Q40" s="1352" t="str">
        <f t="shared" si="11"/>
        <v>市政基础设施</v>
      </c>
      <c r="R40" s="705" t="s">
        <v>14</v>
      </c>
      <c r="S40" s="706">
        <f t="shared" si="12"/>
        <v>100</v>
      </c>
      <c r="T40" s="705" t="s">
        <v>14</v>
      </c>
      <c r="U40" s="706">
        <f t="shared" si="13"/>
        <v>100</v>
      </c>
      <c r="V40" s="705" t="s">
        <v>14</v>
      </c>
      <c r="W40" s="706">
        <f t="shared" si="14"/>
        <v>100</v>
      </c>
      <c r="X40" s="1355"/>
      <c r="Y40" s="3696"/>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94"/>
      <c r="Q41" s="1352" t="str">
        <f t="shared" si="11"/>
        <v>层高</v>
      </c>
      <c r="R41" s="705" t="s">
        <v>14</v>
      </c>
      <c r="S41" s="706">
        <f t="shared" si="12"/>
        <v>100</v>
      </c>
      <c r="T41" s="705" t="s">
        <v>14</v>
      </c>
      <c r="U41" s="706">
        <f t="shared" si="13"/>
        <v>100</v>
      </c>
      <c r="V41" s="705" t="s">
        <v>14</v>
      </c>
      <c r="W41" s="706">
        <f t="shared" si="14"/>
        <v>100</v>
      </c>
      <c r="X41" s="1355"/>
      <c r="Y41" s="3696"/>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94"/>
      <c r="Q42" s="707" t="str">
        <f t="shared" si="11"/>
        <v>单套建筑面积</v>
      </c>
      <c r="R42" s="708" t="s">
        <v>14</v>
      </c>
      <c r="S42" s="709">
        <f t="shared" si="12"/>
        <v>100</v>
      </c>
      <c r="T42" s="708" t="s">
        <v>14</v>
      </c>
      <c r="U42" s="709">
        <f t="shared" si="13"/>
        <v>100</v>
      </c>
      <c r="V42" s="708" t="s">
        <v>14</v>
      </c>
      <c r="W42" s="709">
        <f t="shared" si="14"/>
        <v>100</v>
      </c>
      <c r="X42" s="710"/>
      <c r="Y42" s="3696"/>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694"/>
      <c r="Q43" s="1352" t="str">
        <f t="shared" si="11"/>
        <v>内部装修</v>
      </c>
      <c r="R43" s="705" t="s">
        <v>14</v>
      </c>
      <c r="S43" s="706">
        <f t="shared" si="12"/>
        <v>100</v>
      </c>
      <c r="T43" s="705" t="s">
        <v>14</v>
      </c>
      <c r="U43" s="706">
        <f t="shared" si="13"/>
        <v>100</v>
      </c>
      <c r="V43" s="705" t="s">
        <v>14</v>
      </c>
      <c r="W43" s="706">
        <f t="shared" si="14"/>
        <v>100</v>
      </c>
      <c r="X43" s="1355"/>
      <c r="Y43" s="3696"/>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694"/>
      <c r="Q44" s="1352" t="str">
        <f t="shared" si="11"/>
        <v>内部装修维护情况</v>
      </c>
      <c r="R44" s="705" t="s">
        <v>14</v>
      </c>
      <c r="S44" s="706">
        <f t="shared" si="12"/>
        <v>100</v>
      </c>
      <c r="T44" s="705" t="s">
        <v>14</v>
      </c>
      <c r="U44" s="706">
        <f t="shared" si="13"/>
        <v>100</v>
      </c>
      <c r="V44" s="705" t="s">
        <v>14</v>
      </c>
      <c r="W44" s="706">
        <f t="shared" si="14"/>
        <v>100</v>
      </c>
      <c r="X44" s="1355"/>
      <c r="Y44" s="3696"/>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94"/>
      <c r="Q45" s="1343">
        <f t="shared" si="11"/>
        <v>111</v>
      </c>
      <c r="R45" s="701" t="s">
        <v>14</v>
      </c>
      <c r="S45" s="702">
        <f t="shared" si="12"/>
        <v>100</v>
      </c>
      <c r="T45" s="701" t="s">
        <v>14</v>
      </c>
      <c r="U45" s="702">
        <f t="shared" si="13"/>
        <v>100</v>
      </c>
      <c r="V45" s="701" t="s">
        <v>14</v>
      </c>
      <c r="W45" s="702">
        <f t="shared" si="14"/>
        <v>100</v>
      </c>
      <c r="X45" s="703"/>
      <c r="Y45" s="3696"/>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94"/>
      <c r="Q46" s="1352">
        <f t="shared" si="11"/>
        <v>111</v>
      </c>
      <c r="R46" s="705" t="s">
        <v>14</v>
      </c>
      <c r="S46" s="706">
        <f t="shared" si="12"/>
        <v>100</v>
      </c>
      <c r="T46" s="705" t="s">
        <v>14</v>
      </c>
      <c r="U46" s="706">
        <f t="shared" si="13"/>
        <v>100</v>
      </c>
      <c r="V46" s="705" t="s">
        <v>14</v>
      </c>
      <c r="W46" s="706">
        <f t="shared" si="14"/>
        <v>100</v>
      </c>
      <c r="X46" s="1355"/>
      <c r="Y46" s="3696"/>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95"/>
      <c r="Q47" s="1352">
        <f t="shared" si="11"/>
        <v>111</v>
      </c>
      <c r="R47" s="705" t="s">
        <v>14</v>
      </c>
      <c r="S47" s="706">
        <f t="shared" si="12"/>
        <v>100</v>
      </c>
      <c r="T47" s="705" t="s">
        <v>14</v>
      </c>
      <c r="U47" s="706">
        <f t="shared" si="13"/>
        <v>100</v>
      </c>
      <c r="V47" s="705" t="s">
        <v>14</v>
      </c>
      <c r="W47" s="706">
        <f t="shared" si="14"/>
        <v>100</v>
      </c>
      <c r="X47" s="1355"/>
      <c r="Y47" s="3697"/>
      <c r="Z47" s="1356">
        <f t="shared" si="15"/>
        <v>111</v>
      </c>
      <c r="AA47" s="1353">
        <f t="shared" si="3"/>
        <v>1</v>
      </c>
      <c r="AB47" s="1353">
        <f t="shared" si="4"/>
        <v>1</v>
      </c>
      <c r="AC47" s="1962">
        <f t="shared" si="5"/>
        <v>1</v>
      </c>
    </row>
    <row r="48" spans="1:29" ht="15">
      <c r="A48" s="430" t="s">
        <v>1708</v>
      </c>
      <c r="B48" s="431"/>
      <c r="C48" s="1154" t="s">
        <v>0</v>
      </c>
      <c r="D48" s="1155"/>
      <c r="E48" s="1156">
        <v>34500</v>
      </c>
      <c r="F48" s="1157"/>
      <c r="G48" s="1158">
        <v>36600</v>
      </c>
      <c r="H48" s="1159"/>
      <c r="I48" s="1156">
        <v>30000</v>
      </c>
      <c r="J48" s="436"/>
      <c r="K48" s="714"/>
      <c r="L48" s="2724"/>
      <c r="M48" s="2716"/>
      <c r="N48" s="2716"/>
      <c r="O48" s="2716"/>
      <c r="P48" s="3683" t="str">
        <f>A48</f>
        <v>成交单价（元/平方米）</v>
      </c>
      <c r="Q48" s="3684"/>
      <c r="R48" s="3685">
        <f>E48</f>
        <v>34500</v>
      </c>
      <c r="S48" s="3685"/>
      <c r="T48" s="3685">
        <f>G48</f>
        <v>36600</v>
      </c>
      <c r="U48" s="3685"/>
      <c r="V48" s="3685">
        <f>I48</f>
        <v>30000</v>
      </c>
      <c r="W48" s="3685"/>
      <c r="X48" s="397"/>
      <c r="Y48" s="712"/>
      <c r="Z48" s="397"/>
      <c r="AA48" s="397"/>
      <c r="AB48" s="397"/>
      <c r="AC48" s="578"/>
    </row>
    <row r="49" spans="1:29" ht="15.75" thickBot="1">
      <c r="A49" s="437" t="s">
        <v>1793</v>
      </c>
      <c r="B49" s="438"/>
      <c r="C49" s="1160">
        <f>R50</f>
        <v>35817</v>
      </c>
      <c r="D49" s="2317" t="s">
        <v>2138</v>
      </c>
      <c r="E49" s="1161">
        <f>R49</f>
        <v>36667</v>
      </c>
      <c r="F49" s="2318"/>
      <c r="G49" s="1160">
        <f>T49</f>
        <v>38899</v>
      </c>
      <c r="H49" s="2318"/>
      <c r="I49" s="1161">
        <f>V49</f>
        <v>31884</v>
      </c>
      <c r="J49" s="2318"/>
      <c r="K49" s="2320">
        <f>F49+H49+J49</f>
        <v>0</v>
      </c>
      <c r="L49" s="2724"/>
      <c r="M49" s="2716"/>
      <c r="N49" s="2716"/>
      <c r="O49" s="2716"/>
      <c r="P49" s="3683" t="str">
        <f>A49</f>
        <v>比较价值（元/平方米）</v>
      </c>
      <c r="Q49" s="3684"/>
      <c r="R49" s="3685">
        <f>IF(F1="售价",ROUND(PRODUCT(R48,AA7:AA47),0),ROUND(PRODUCT(R48,AA7:AA47),1))</f>
        <v>36667</v>
      </c>
      <c r="S49" s="3685"/>
      <c r="T49" s="3685">
        <f>IF(F1="售价",ROUND(PRODUCT(T48,AB7:AB47),0),ROUND(PRODUCT(T48,AB7:AB47),1))</f>
        <v>38899</v>
      </c>
      <c r="U49" s="3685"/>
      <c r="V49" s="3685">
        <f>IF(F1="售价",ROUND(PRODUCT(V48,AC7:AC47),0),ROUND(PRODUCT(V48,AC7:AC47),1))</f>
        <v>31884</v>
      </c>
      <c r="W49" s="3685"/>
      <c r="X49" s="397"/>
      <c r="Y49" s="397"/>
      <c r="Z49" s="397"/>
      <c r="AA49" s="397"/>
      <c r="AB49" s="397"/>
      <c r="AC49" s="578"/>
    </row>
    <row r="50" spans="1:29" ht="15.75" thickBot="1">
      <c r="A50" s="441" t="s">
        <v>1794</v>
      </c>
      <c r="B50" s="442"/>
      <c r="C50" s="1163">
        <f>R50</f>
        <v>35817</v>
      </c>
      <c r="D50" s="1163"/>
      <c r="E50" s="1163"/>
      <c r="F50" s="1163"/>
      <c r="G50" s="1163"/>
      <c r="H50" s="1163"/>
      <c r="I50" s="1163"/>
      <c r="J50" s="443"/>
      <c r="K50" s="715"/>
      <c r="L50" s="2724"/>
      <c r="M50" s="2716"/>
      <c r="N50" s="2716"/>
      <c r="O50" s="2716"/>
      <c r="P50" s="3686" t="str">
        <f>A50</f>
        <v>估价对象XX用房的比较价值（楼面单价，元/平方米）</v>
      </c>
      <c r="Q50" s="3687"/>
      <c r="R50" s="3688">
        <f>IF(F1="售价",ROUND(IF(D49="简单平均",AVERAGE(R49:V49),R49*F49+T49*H49+V49*J49),0),ROUND(IF(D49="简单平均",AVERAGE(R49:V49),R49*F49+T49*H49+V49*J49),1))</f>
        <v>35817</v>
      </c>
      <c r="S50" s="3688"/>
      <c r="T50" s="3688"/>
      <c r="U50" s="3688"/>
      <c r="V50" s="3688"/>
      <c r="W50" s="3688"/>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6.2811594202898613E-2</v>
      </c>
      <c r="F53" s="449" t="str">
        <f>IF(OR(E53&gt;=0.3,E53&lt;=-0.3),"超过30%","")</f>
        <v/>
      </c>
      <c r="G53" s="448">
        <f>IF(G48&lt;G49,G49/G48-1,G48/G49-1)</f>
        <v>6.2814207650273124E-2</v>
      </c>
      <c r="H53" s="449" t="str">
        <f>IF(OR(G53&gt;=0.3,G53&lt;=-0.3),"超过30%","")</f>
        <v/>
      </c>
      <c r="I53" s="448">
        <f>IF(I48&lt;I49,I49/I48-1,I48/I49-1)</f>
        <v>6.2799999999999967E-2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6.0872173889328307E-2</v>
      </c>
      <c r="F54" s="449" t="str">
        <f>IF(OR(E54&gt;=0.2,E54&lt;=-0.2),"超过20%","")</f>
        <v/>
      </c>
      <c r="G54" s="448">
        <f>IF(G49&lt;I49,I49/G49-1,G49/I49-1)</f>
        <v>0.22001630912056203</v>
      </c>
      <c r="H54" s="449" t="str">
        <f>IF(OR(G54&gt;=0.2,G54&lt;=-0.2),"超过20%","")</f>
        <v>超过20%</v>
      </c>
      <c r="I54" s="448">
        <f>IF(I49&lt;E49,E49/I49-1,I49/E49-1)</f>
        <v>0.15001254547735532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6.0869565217391397E-2</v>
      </c>
      <c r="F55" s="449" t="str">
        <f>IF(OR(E55&gt;=0.3,E55&lt;=-0.3),"超过30%","")</f>
        <v/>
      </c>
      <c r="G55" s="448">
        <f>IF(G48&lt;I48,I48/G48-1,G48/I48-1)</f>
        <v>0.21999999999999997</v>
      </c>
      <c r="H55" s="449" t="str">
        <f>IF(OR(G55&gt;=0.3,G55&lt;=-0.3),"超过30%","")</f>
        <v/>
      </c>
      <c r="I55" s="448">
        <f>IF(I48&lt;E48,E48/I48-1,I48/E48-1)</f>
        <v>0.14999999999999991</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2023-1</v>
      </c>
      <c r="D59" s="1185">
        <f>EDATE(C59,-1)</f>
        <v>44896</v>
      </c>
      <c r="E59" s="1185">
        <f>EDATE(D59,-1)</f>
        <v>44866</v>
      </c>
      <c r="F59" s="1185">
        <f t="shared" ref="F59:O59" si="16">EDATE(E59,-1)</f>
        <v>44835</v>
      </c>
      <c r="G59" s="1185">
        <f t="shared" si="16"/>
        <v>44805</v>
      </c>
      <c r="H59" s="1185">
        <f t="shared" si="16"/>
        <v>44774</v>
      </c>
      <c r="I59" s="1185">
        <f t="shared" si="16"/>
        <v>44743</v>
      </c>
      <c r="J59" s="1185">
        <f t="shared" si="16"/>
        <v>44713</v>
      </c>
      <c r="K59" s="1185">
        <f t="shared" si="16"/>
        <v>44682</v>
      </c>
      <c r="L59" s="1185">
        <f t="shared" si="16"/>
        <v>44652</v>
      </c>
      <c r="M59" s="1185">
        <f t="shared" si="16"/>
        <v>44621</v>
      </c>
      <c r="N59" s="1185">
        <f t="shared" si="16"/>
        <v>44593</v>
      </c>
      <c r="O59" s="1185">
        <f t="shared" si="16"/>
        <v>44562</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工业</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97</v>
      </c>
      <c r="E78" s="493">
        <f>D78-$K15</f>
        <v>94</v>
      </c>
      <c r="F78" s="493">
        <f>E78-$K15</f>
        <v>91</v>
      </c>
      <c r="G78" s="493">
        <f>F78-$K15</f>
        <v>88</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97</v>
      </c>
      <c r="E80" s="493">
        <f>D80-$K17</f>
        <v>94</v>
      </c>
      <c r="F80" s="493">
        <f>E80-$K17</f>
        <v>91</v>
      </c>
      <c r="G80" s="493">
        <f>F80-$K17</f>
        <v>88</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97</v>
      </c>
      <c r="E82" s="493">
        <f>D82-$K19</f>
        <v>94</v>
      </c>
      <c r="F82" s="493">
        <f>E82-$K19</f>
        <v>91</v>
      </c>
      <c r="G82" s="493">
        <f>F82-$K19</f>
        <v>88</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99</v>
      </c>
      <c r="E84" s="493">
        <f>D84-$K21</f>
        <v>98</v>
      </c>
      <c r="F84" s="493">
        <f>E84-$K21</f>
        <v>97</v>
      </c>
      <c r="G84" s="493">
        <f>F84-$K21</f>
        <v>96</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97</v>
      </c>
      <c r="E86" s="493">
        <f>D86-$K23</f>
        <v>94</v>
      </c>
      <c r="F86" s="493">
        <f>E86-$K23</f>
        <v>91</v>
      </c>
      <c r="G86" s="493">
        <f>F86-$K23</f>
        <v>88</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0(含)-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5" zoomScaleNormal="70" zoomScaleSheetLayoutView="85" workbookViewId="0">
      <selection activeCell="I57" sqref="I5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v>
      </c>
      <c r="D1" s="1362" t="s">
        <v>43</v>
      </c>
      <c r="E1" s="1363" t="s">
        <v>678</v>
      </c>
      <c r="F1" s="1062">
        <f ca="1">J53</f>
        <v>33.4</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25991</v>
      </c>
      <c r="C2" s="1387" t="s">
        <v>805</v>
      </c>
      <c r="D2" s="1387"/>
      <c r="E2" s="1388"/>
      <c r="F2" s="1389"/>
      <c r="G2" s="2706"/>
      <c r="H2" s="2695"/>
      <c r="I2" s="2695"/>
      <c r="J2" s="2695"/>
      <c r="K2" s="2696"/>
      <c r="L2" s="2695"/>
      <c r="M2" s="2695"/>
    </row>
    <row r="3" spans="1:37" ht="18" customHeight="1" thickBot="1">
      <c r="A3" s="1390" t="s">
        <v>806</v>
      </c>
      <c r="B3" s="1391">
        <f ca="1">IF(ISERROR(B2*10000/F43),0,ROUND(B2*10000/F43,0))</f>
        <v>31542</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1491</v>
      </c>
      <c r="D5" s="1364" t="s">
        <v>693</v>
      </c>
      <c r="E5" s="1071"/>
      <c r="F5" s="1072"/>
      <c r="G5" s="1384"/>
      <c r="H5" s="299">
        <v>1</v>
      </c>
      <c r="I5" s="300" t="s">
        <v>692</v>
      </c>
      <c r="J5" s="1070">
        <f ca="1">J6+J10+J12</f>
        <v>0</v>
      </c>
      <c r="K5" s="1364" t="s">
        <v>693</v>
      </c>
      <c r="L5" s="1071"/>
      <c r="M5" s="1072"/>
    </row>
    <row r="6" spans="1:37" ht="18" customHeight="1">
      <c r="A6" s="1069" t="s">
        <v>398</v>
      </c>
      <c r="B6" s="3736" t="s">
        <v>694</v>
      </c>
      <c r="C6" s="1074">
        <f ca="1">ROUND(F6*F8*F7*(1-F9)/10000,0)</f>
        <v>1489</v>
      </c>
      <c r="D6" s="155" t="s">
        <v>2109</v>
      </c>
      <c r="E6" s="302" t="s">
        <v>696</v>
      </c>
      <c r="F6" s="303">
        <f ca="1">INDIRECT("'数据-取费表'!u"&amp;$G$1)</f>
        <v>5.5</v>
      </c>
      <c r="G6" s="1384"/>
      <c r="H6" s="1069" t="s">
        <v>398</v>
      </c>
      <c r="I6" s="3736" t="s">
        <v>694</v>
      </c>
      <c r="J6" s="301">
        <f ca="1">ROUND(M6*M8*M7*(1-M9)/10000,0)</f>
        <v>0</v>
      </c>
      <c r="K6" s="155" t="s">
        <v>2108</v>
      </c>
      <c r="L6" s="302" t="s">
        <v>696</v>
      </c>
      <c r="M6" s="303">
        <f ca="1">INDIRECT("'数据-取费表'!z"&amp;$G$1)</f>
        <v>0</v>
      </c>
    </row>
    <row r="7" spans="1:37" ht="18" customHeight="1">
      <c r="A7" s="1073"/>
      <c r="B7" s="3737"/>
      <c r="C7" s="1075"/>
      <c r="D7" s="307"/>
      <c r="E7" s="1076" t="s">
        <v>697</v>
      </c>
      <c r="F7" s="303">
        <f ca="1">IF(INDIRECT("'数据-取费表'!ah"&amp;$G$1)="",INDIRECT("'数据-取费表'!k"&amp;$G$1),INDIRECT("'数据-取费表'!ah"&amp;$G$1))</f>
        <v>8240.15</v>
      </c>
      <c r="G7" s="1384"/>
      <c r="H7" s="304"/>
      <c r="I7" s="3737"/>
      <c r="J7" s="306"/>
      <c r="K7" s="307"/>
      <c r="L7" s="302" t="s">
        <v>697</v>
      </c>
      <c r="M7" s="303">
        <f ca="1">F7</f>
        <v>8240.15</v>
      </c>
    </row>
    <row r="8" spans="1:37" ht="18" customHeight="1">
      <c r="A8" s="304"/>
      <c r="B8" s="3737"/>
      <c r="C8" s="306"/>
      <c r="D8" s="307"/>
      <c r="E8" s="302" t="s">
        <v>698</v>
      </c>
      <c r="F8" s="303">
        <f ca="1">INDIRECT("'数据-取费表'!ai"&amp;$G$1)</f>
        <v>365</v>
      </c>
      <c r="G8" s="1384"/>
      <c r="H8" s="304"/>
      <c r="I8" s="3737"/>
      <c r="J8" s="306"/>
      <c r="K8" s="307"/>
      <c r="L8" s="302" t="s">
        <v>698</v>
      </c>
      <c r="M8" s="303">
        <f ca="1">INDIRECT("'数据-取费表'!ai"&amp;$G$1)</f>
        <v>365</v>
      </c>
    </row>
    <row r="9" spans="1:37" ht="18" customHeight="1">
      <c r="A9" s="304"/>
      <c r="B9" s="3738"/>
      <c r="C9" s="306"/>
      <c r="D9" s="307"/>
      <c r="E9" s="302" t="s">
        <v>699</v>
      </c>
      <c r="F9" s="312">
        <f ca="1">INDIRECT("'数据-取费表'!w"&amp;$G$1)</f>
        <v>0.1</v>
      </c>
      <c r="G9" s="1384"/>
      <c r="H9" s="304"/>
      <c r="I9" s="3738"/>
      <c r="J9" s="306"/>
      <c r="K9" s="307"/>
      <c r="L9" s="313" t="s">
        <v>699</v>
      </c>
      <c r="M9" s="314">
        <f ca="1">INDIRECT("'数据-取费表'!ab"&amp;$G$1)</f>
        <v>0</v>
      </c>
    </row>
    <row r="10" spans="1:37" ht="18" customHeight="1">
      <c r="A10" s="1069" t="s">
        <v>402</v>
      </c>
      <c r="B10" s="1365" t="s">
        <v>700</v>
      </c>
      <c r="C10" s="316">
        <f ca="1">ROUND(IF(F10="押一",C6/12*F11,IF(F10="押二",C6/12*2*F11,IF(F10="押三",C6/12*3*F11,C11*F11))),0)</f>
        <v>2</v>
      </c>
      <c r="D10" s="1366" t="s">
        <v>2117</v>
      </c>
      <c r="E10" s="313" t="s">
        <v>701</v>
      </c>
      <c r="F10" s="1116" t="s">
        <v>3389</v>
      </c>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3464</v>
      </c>
      <c r="D13" s="1081" t="s">
        <v>705</v>
      </c>
      <c r="E13" s="1081" t="s">
        <v>706</v>
      </c>
      <c r="F13" s="1082">
        <f ca="1">INDIRECT("'数据-取费表'!y"&amp;$G$1)</f>
        <v>0.82</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2884</v>
      </c>
      <c r="D14" s="1345" t="s">
        <v>708</v>
      </c>
      <c r="E14" s="1342"/>
      <c r="F14" s="319"/>
      <c r="G14" s="1384"/>
      <c r="H14" s="982" t="s">
        <v>398</v>
      </c>
      <c r="I14" s="302" t="s">
        <v>709</v>
      </c>
      <c r="J14" s="21">
        <f ca="1">C29</f>
        <v>4224</v>
      </c>
      <c r="K14" s="12"/>
      <c r="L14" s="807"/>
      <c r="M14" s="808"/>
    </row>
    <row r="15" spans="1:37" s="1397" customFormat="1" ht="18" customHeight="1" thickBot="1">
      <c r="A15" s="982" t="s">
        <v>399</v>
      </c>
      <c r="B15" s="302" t="s">
        <v>710</v>
      </c>
      <c r="C15" s="21">
        <f ca="1">ROUND(C14*F15,0)</f>
        <v>115</v>
      </c>
      <c r="D15" s="320" t="s">
        <v>711</v>
      </c>
      <c r="E15" s="320" t="s">
        <v>712</v>
      </c>
      <c r="F15" s="321">
        <f>'数据-取费表'!B33</f>
        <v>0.04</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42</v>
      </c>
      <c r="K16" s="1087" t="s">
        <v>715</v>
      </c>
      <c r="L16" s="1088"/>
      <c r="M16" s="1072"/>
    </row>
    <row r="17" spans="1:37" s="1397" customFormat="1" ht="18" customHeight="1">
      <c r="A17" s="982" t="s">
        <v>681</v>
      </c>
      <c r="B17" s="302" t="s">
        <v>716</v>
      </c>
      <c r="C17" s="21">
        <f ca="1">ROUND(F17*(F43+INDIRECT("'数据-取费表'!S"&amp;$G$1))/10000,0)</f>
        <v>165</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43</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3207</v>
      </c>
      <c r="D19" s="131" t="s">
        <v>726</v>
      </c>
      <c r="E19" s="1360"/>
      <c r="F19" s="23"/>
      <c r="G19" s="1384"/>
      <c r="H19" s="982" t="s">
        <v>399</v>
      </c>
      <c r="I19" s="302" t="s">
        <v>727</v>
      </c>
      <c r="J19" s="21">
        <f ca="1">IF(K19="按租金收入计税",ROUND(J6*M19/(1+'数据-取费表'!C42),2),ROUND(C29*M19*0.7,2))</f>
        <v>0</v>
      </c>
      <c r="K19" s="1370" t="s">
        <v>3345</v>
      </c>
      <c r="L19" s="302" t="s">
        <v>712</v>
      </c>
      <c r="M19" s="322">
        <f>IF(K19="按租金收入计税",'数据-取费表'!B51,'数据-取费表'!B50)</f>
        <v>0.12</v>
      </c>
    </row>
    <row r="20" spans="1:37" s="1397" customFormat="1" ht="18" customHeight="1">
      <c r="A20" s="982" t="s">
        <v>402</v>
      </c>
      <c r="B20" s="302" t="s">
        <v>728</v>
      </c>
      <c r="C20" s="21">
        <f ca="1">ROUND(C19*F20,0)</f>
        <v>64</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42.24</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136</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-42</v>
      </c>
      <c r="K25" s="1095" t="s">
        <v>753</v>
      </c>
      <c r="L25" s="1096"/>
      <c r="M25" s="1097"/>
    </row>
    <row r="26" spans="1:37">
      <c r="A26" s="982" t="s">
        <v>397</v>
      </c>
      <c r="B26" s="302" t="s">
        <v>754</v>
      </c>
      <c r="C26" s="21">
        <f ca="1">ROUND((C19+C20)*F26,0)</f>
        <v>491</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4224</v>
      </c>
      <c r="D29" s="1092"/>
      <c r="E29" s="1090"/>
      <c r="F29" s="1093"/>
      <c r="G29" s="1396"/>
      <c r="H29" s="334" t="s">
        <v>396</v>
      </c>
      <c r="I29" s="335" t="s">
        <v>768</v>
      </c>
      <c r="J29" s="336">
        <f ca="1">ROUND(J26/(1+F40)^F41,0)</f>
        <v>0</v>
      </c>
      <c r="K29" s="337" t="s">
        <v>769</v>
      </c>
      <c r="L29" s="338"/>
      <c r="M29" s="339">
        <f ca="1">INDIRECT("'数据-取费表'!k"&amp;$G$1)</f>
        <v>8240.15</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312</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249.58</v>
      </c>
      <c r="D31" s="1345" t="s">
        <v>720</v>
      </c>
      <c r="E31" s="1344" t="s">
        <v>770</v>
      </c>
      <c r="F31" s="2315">
        <f ca="1">IF(项目基本情况!B11="企业","——",IF(M47="住宅",IF(F6*F7*F8/12/(1+'数据-取费表'!F30)&gt;100000,4%,2.5%),IF(F6*F7*F8/12/(1+'数据-取费表'!F30)&gt;100000,12%,7%)))</f>
        <v>0.12</v>
      </c>
      <c r="G31" s="1384"/>
      <c r="H31" s="2808" t="s">
        <v>2310</v>
      </c>
      <c r="I31" s="1398"/>
      <c r="J31" s="1399"/>
      <c r="K31" s="2475"/>
      <c r="L31" s="2698"/>
      <c r="M31" s="2699"/>
    </row>
    <row r="32" spans="1:37" ht="18" customHeight="1">
      <c r="A32" s="982" t="s">
        <v>397</v>
      </c>
      <c r="B32" s="302" t="s">
        <v>723</v>
      </c>
      <c r="C32" s="21">
        <f ca="1">IF(项目基本情况!B11="自然人","——",ROUND(C6*F32/(1+'数据-取费表'!C42),2))</f>
        <v>79.41</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170.17</v>
      </c>
      <c r="D33" s="1370" t="s">
        <v>3345</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42.24</v>
      </c>
      <c r="D36" s="1344" t="s">
        <v>771</v>
      </c>
      <c r="E36" s="302" t="s">
        <v>712</v>
      </c>
      <c r="F36" s="328">
        <f ca="1">INDIRECT("'数据-取费表'!Ak"&amp;$G$1)</f>
        <v>0.01</v>
      </c>
      <c r="G36" s="1384"/>
      <c r="H36" s="2700"/>
      <c r="I36" s="1398"/>
      <c r="J36" s="1399"/>
      <c r="K36" s="2544"/>
      <c r="L36" s="2700"/>
      <c r="M36" s="2700"/>
    </row>
    <row r="37" spans="1:18" ht="18" customHeight="1">
      <c r="A37" s="982" t="s">
        <v>437</v>
      </c>
      <c r="B37" s="302" t="s">
        <v>742</v>
      </c>
      <c r="C37" s="21">
        <f ca="1">ROUND(C13*F37,2)</f>
        <v>5.2</v>
      </c>
      <c r="D37" s="1344" t="s">
        <v>743</v>
      </c>
      <c r="E37" s="302" t="s">
        <v>744</v>
      </c>
      <c r="F37" s="330">
        <f ca="1">INDIRECT("'数据-取费表'!Al"&amp;$G$1)</f>
        <v>1.5E-3</v>
      </c>
      <c r="G37" s="1384"/>
      <c r="H37" s="2700"/>
      <c r="I37" s="1398"/>
      <c r="J37" s="1399"/>
      <c r="K37" s="2544"/>
      <c r="L37" s="2700"/>
      <c r="M37" s="2700"/>
    </row>
    <row r="38" spans="1:18" ht="18" customHeight="1" thickBot="1">
      <c r="A38" s="1089" t="s">
        <v>684</v>
      </c>
      <c r="B38" s="1090" t="s">
        <v>728</v>
      </c>
      <c r="C38" s="1091">
        <f ca="1">ROUND(C5*F38,2)</f>
        <v>14.91</v>
      </c>
      <c r="D38" s="1092" t="s">
        <v>748</v>
      </c>
      <c r="E38" s="1090" t="s">
        <v>744</v>
      </c>
      <c r="F38" s="1086">
        <f ca="1">INDIRECT("'数据-取费表'!Am"&amp;$G$1)</f>
        <v>0.01</v>
      </c>
      <c r="G38" s="1384"/>
      <c r="H38" s="2700"/>
      <c r="I38" s="1398"/>
      <c r="J38" s="1399"/>
      <c r="K38" s="2704"/>
      <c r="L38" s="2700"/>
      <c r="M38" s="2700"/>
    </row>
    <row r="39" spans="1:18" ht="24.6" customHeight="1" thickTop="1">
      <c r="A39" s="1079" t="s">
        <v>394</v>
      </c>
      <c r="B39" s="1094" t="s">
        <v>772</v>
      </c>
      <c r="C39" s="310">
        <f ca="1">C5-C30</f>
        <v>1179</v>
      </c>
      <c r="D39" s="1095" t="s">
        <v>773</v>
      </c>
      <c r="E39" s="1096"/>
      <c r="F39" s="1097"/>
      <c r="G39" s="1384"/>
      <c r="H39" s="2700"/>
      <c r="I39" s="1398"/>
      <c r="J39" s="1399"/>
      <c r="K39" s="2704"/>
      <c r="L39" s="2700"/>
      <c r="M39" s="2700"/>
    </row>
    <row r="40" spans="1:18" ht="18" customHeight="1">
      <c r="A40" s="299" t="s">
        <v>395</v>
      </c>
      <c r="B40" s="300" t="s">
        <v>774</v>
      </c>
      <c r="C40" s="301">
        <f ca="1">ROUND(C39*(1-((1+F42)/(1+F40))^F41)/(F40-F42),0)</f>
        <v>25991</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33.4</v>
      </c>
      <c r="G41" s="1384"/>
      <c r="H41" s="1191"/>
      <c r="I41" s="1398"/>
      <c r="J41" s="1399"/>
      <c r="K41" s="2544"/>
      <c r="L41" s="1191"/>
      <c r="M41" s="1191"/>
    </row>
    <row r="42" spans="1:18" ht="18" customHeight="1">
      <c r="A42" s="308"/>
      <c r="B42" s="309"/>
      <c r="C42" s="310"/>
      <c r="D42" s="327"/>
      <c r="E42" s="302" t="s">
        <v>766</v>
      </c>
      <c r="F42" s="312">
        <f ca="1">INDIRECT("'数据-取费表'!v"&amp;$G$1)</f>
        <v>0.03</v>
      </c>
      <c r="G42" s="1384"/>
      <c r="H42" s="1191"/>
      <c r="I42" s="1398"/>
      <c r="J42" s="1399"/>
      <c r="K42" s="2544"/>
      <c r="L42" s="1191"/>
      <c r="M42" s="1191"/>
    </row>
    <row r="43" spans="1:18" ht="18" customHeight="1" thickBot="1">
      <c r="A43" s="334" t="s">
        <v>396</v>
      </c>
      <c r="B43" s="335" t="s">
        <v>776</v>
      </c>
      <c r="C43" s="336">
        <f ca="1">ROUND(C40*10000/F43,0)</f>
        <v>31542</v>
      </c>
      <c r="D43" s="337" t="s">
        <v>777</v>
      </c>
      <c r="E43" s="338" t="s">
        <v>778</v>
      </c>
      <c r="F43" s="339">
        <f ca="1">INDIRECT("'数据-取费表'!k"&amp;$G$1)</f>
        <v>8240.15</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-26703</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3390</v>
      </c>
      <c r="K47" s="1416" t="s">
        <v>816</v>
      </c>
      <c r="L47" s="1417">
        <f ca="1">INDIRECT("'数据-取费表'!d"&amp;$G$1)</f>
        <v>50</v>
      </c>
      <c r="M47" s="1380" t="str">
        <f>IF(ISNUMBER(FIND("住宅",C1)),"住宅","非住宅")</f>
        <v>非住宅</v>
      </c>
      <c r="O47" s="1418" t="s">
        <v>403</v>
      </c>
      <c r="P47" s="1419" t="s">
        <v>817</v>
      </c>
      <c r="Q47" s="1420">
        <f ca="1">C40+J29</f>
        <v>25991</v>
      </c>
      <c r="R47" s="1420" t="s">
        <v>818</v>
      </c>
    </row>
    <row r="48" spans="1:18" s="1384" customFormat="1" ht="28.5" thickBot="1">
      <c r="A48" s="1110" t="s">
        <v>438</v>
      </c>
      <c r="B48" s="300" t="s">
        <v>692</v>
      </c>
      <c r="C48" s="1359">
        <f ca="1">C49+C53+C55</f>
        <v>0</v>
      </c>
      <c r="D48" s="1112"/>
      <c r="E48" s="1113"/>
      <c r="F48" s="962"/>
      <c r="G48" s="722"/>
      <c r="H48" s="723"/>
      <c r="I48" s="1421" t="s">
        <v>819</v>
      </c>
      <c r="J48" s="1422" t="s">
        <v>3391</v>
      </c>
      <c r="K48" s="1423" t="s">
        <v>820</v>
      </c>
      <c r="L48" s="1424">
        <f ca="1">INDIRECT("'数据-取费表'!f"&amp;$G$1)</f>
        <v>33.4</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2012</v>
      </c>
      <c r="K49" s="1423" t="s">
        <v>824</v>
      </c>
      <c r="L49" s="1427"/>
      <c r="O49" s="1428" t="s">
        <v>405</v>
      </c>
      <c r="P49" s="1419" t="s">
        <v>825</v>
      </c>
      <c r="Q49" s="1420">
        <f ca="1">C29</f>
        <v>4224</v>
      </c>
      <c r="R49" s="1420" t="s">
        <v>818</v>
      </c>
    </row>
    <row r="50" spans="1:18" s="1384" customFormat="1" ht="13.5" thickBot="1">
      <c r="A50" s="976"/>
      <c r="B50" s="979"/>
      <c r="C50" s="1118"/>
      <c r="D50" s="953"/>
      <c r="E50" s="1056" t="s">
        <v>697</v>
      </c>
      <c r="F50" s="1057">
        <f ca="1">F7</f>
        <v>8240.15</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365</v>
      </c>
      <c r="I51" s="1432" t="s">
        <v>829</v>
      </c>
      <c r="J51" s="1433">
        <f>IF(J49="",J50,J49+J50-YEAR('数据-取费表'!B2))</f>
        <v>49</v>
      </c>
      <c r="K51" s="1434" t="s">
        <v>830</v>
      </c>
      <c r="L51" s="1435">
        <f ca="1">ROUND(-PV(INDIRECT("'数据-取费表'!h"&amp;$G$1),J51,(C39-C13*C76),0),0)</f>
        <v>16701</v>
      </c>
      <c r="M51" s="1436"/>
      <c r="O51" s="1428" t="s">
        <v>407</v>
      </c>
      <c r="P51" s="1419" t="s">
        <v>831</v>
      </c>
      <c r="Q51" s="1431">
        <f>J52</f>
        <v>0.08</v>
      </c>
      <c r="R51" s="1420"/>
    </row>
    <row r="52" spans="1:18" s="1384" customFormat="1" ht="13.5" thickBot="1">
      <c r="A52" s="977"/>
      <c r="B52" s="979"/>
      <c r="C52" s="980"/>
      <c r="D52" s="953"/>
      <c r="E52" s="981" t="s">
        <v>699</v>
      </c>
      <c r="F52" s="1054"/>
      <c r="I52" s="1437" t="s">
        <v>832</v>
      </c>
      <c r="J52" s="1438">
        <v>0.08</v>
      </c>
      <c r="K52" s="1437" t="s">
        <v>833</v>
      </c>
      <c r="L52" s="1438"/>
      <c r="O52" s="1428" t="s">
        <v>408</v>
      </c>
      <c r="P52" s="1419" t="s">
        <v>834</v>
      </c>
      <c r="Q52" s="1420">
        <f ca="1">J53</f>
        <v>33.4</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33.4</v>
      </c>
      <c r="K53" s="3734" t="s">
        <v>837</v>
      </c>
      <c r="L53" s="3735"/>
      <c r="O53" s="1418" t="s">
        <v>409</v>
      </c>
      <c r="P53" s="1419" t="s">
        <v>838</v>
      </c>
      <c r="Q53" s="1420">
        <f ca="1">Q47+Q48</f>
        <v>25991</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3464</v>
      </c>
      <c r="D56" s="1447"/>
      <c r="E56" s="1448"/>
      <c r="F56" s="1440"/>
      <c r="I56" s="1449" t="s">
        <v>842</v>
      </c>
      <c r="J56" s="1450" t="s">
        <v>3385</v>
      </c>
      <c r="K56" s="1421" t="s">
        <v>843</v>
      </c>
      <c r="L56" s="1424" t="str">
        <f ca="1">IF(L48&lt;J51,"——",L48-J53)</f>
        <v>——</v>
      </c>
      <c r="O56" s="1418" t="s">
        <v>403</v>
      </c>
      <c r="P56" s="1419" t="s">
        <v>817</v>
      </c>
      <c r="Q56" s="1420">
        <f ca="1">C40+J29</f>
        <v>25991</v>
      </c>
      <c r="R56" s="1420" t="s">
        <v>818</v>
      </c>
    </row>
    <row r="57" spans="1:18" s="1384" customFormat="1" ht="24.75" thickBot="1">
      <c r="A57" s="1451"/>
      <c r="B57" s="950" t="s">
        <v>767</v>
      </c>
      <c r="C57" s="238">
        <f ca="1">C29</f>
        <v>4224</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47</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3345</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25991</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42.24</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5.2</v>
      </c>
      <c r="D65" s="964" t="s">
        <v>743</v>
      </c>
      <c r="E65" s="950" t="s">
        <v>744</v>
      </c>
      <c r="F65" s="330">
        <f t="shared" ca="1" si="0"/>
        <v>1.5E-3</v>
      </c>
      <c r="I65" s="1462" t="s">
        <v>867</v>
      </c>
      <c r="J65" s="1463">
        <v>40</v>
      </c>
      <c r="K65" s="1463">
        <v>30</v>
      </c>
      <c r="L65" s="1463">
        <v>50</v>
      </c>
      <c r="M65" s="1465">
        <v>0.02</v>
      </c>
      <c r="O65" s="1418" t="s">
        <v>403</v>
      </c>
      <c r="P65" s="1419" t="s">
        <v>868</v>
      </c>
      <c r="Q65" s="1420">
        <f ca="1">C40+J29</f>
        <v>25991</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-47</v>
      </c>
      <c r="D67" s="963" t="s">
        <v>753</v>
      </c>
      <c r="E67" s="968"/>
      <c r="F67" s="969"/>
      <c r="O67" s="1428" t="s">
        <v>405</v>
      </c>
      <c r="P67" s="1419" t="s">
        <v>850</v>
      </c>
      <c r="Q67" s="1466">
        <f ca="1">L51</f>
        <v>16701</v>
      </c>
      <c r="R67" s="1420" t="s">
        <v>870</v>
      </c>
    </row>
    <row r="68" spans="1:18" s="1384" customFormat="1" ht="16.5" thickBot="1">
      <c r="A68" s="947" t="s">
        <v>395</v>
      </c>
      <c r="B68" s="948" t="s">
        <v>774</v>
      </c>
      <c r="C68" s="301">
        <f ca="1">ROUND(C67*(1-((1+F70)/(1+F68))^F69)/(F68-F70),0)</f>
        <v>-712</v>
      </c>
      <c r="D68" s="965" t="s">
        <v>758</v>
      </c>
      <c r="E68" s="950" t="s">
        <v>759</v>
      </c>
      <c r="F68" s="312">
        <f ca="1">F40</f>
        <v>5.5E-2</v>
      </c>
      <c r="O68" s="1428" t="s">
        <v>406</v>
      </c>
      <c r="P68" s="1467" t="s">
        <v>871</v>
      </c>
      <c r="Q68" s="1420">
        <f ca="1">ROUND(Q69-Q70*Q71,0)</f>
        <v>919</v>
      </c>
      <c r="R68" s="1420" t="s">
        <v>414</v>
      </c>
    </row>
    <row r="69" spans="1:18" s="1384" customFormat="1" ht="13.5" thickBot="1">
      <c r="A69" s="951"/>
      <c r="B69" s="952"/>
      <c r="C69" s="306"/>
      <c r="D69" s="970" t="s">
        <v>762</v>
      </c>
      <c r="E69" s="950" t="s">
        <v>763</v>
      </c>
      <c r="F69" s="333">
        <f ca="1">F41</f>
        <v>33.4</v>
      </c>
      <c r="O69" s="1428" t="s">
        <v>411</v>
      </c>
      <c r="P69" s="1467" t="s">
        <v>872</v>
      </c>
      <c r="Q69" s="1420">
        <f ca="1">C39</f>
        <v>1179</v>
      </c>
      <c r="R69" s="1420" t="s">
        <v>818</v>
      </c>
    </row>
    <row r="70" spans="1:18" s="1384" customFormat="1" ht="13.5" thickBot="1">
      <c r="A70" s="954"/>
      <c r="B70" s="955"/>
      <c r="C70" s="310"/>
      <c r="D70" s="966"/>
      <c r="E70" s="950" t="s">
        <v>766</v>
      </c>
      <c r="F70" s="1054"/>
      <c r="O70" s="1428" t="s">
        <v>412</v>
      </c>
      <c r="P70" s="1467" t="s">
        <v>873</v>
      </c>
      <c r="Q70" s="1420">
        <f ca="1">C13</f>
        <v>3464</v>
      </c>
      <c r="R70" s="1420" t="s">
        <v>818</v>
      </c>
    </row>
    <row r="71" spans="1:18" s="1384" customFormat="1" ht="13.5" thickBot="1">
      <c r="A71" s="971" t="s">
        <v>396</v>
      </c>
      <c r="B71" s="972" t="s">
        <v>776</v>
      </c>
      <c r="C71" s="336">
        <f ca="1">ROUND(C68*10000/F71,0)</f>
        <v>-864</v>
      </c>
      <c r="D71" s="973" t="s">
        <v>777</v>
      </c>
      <c r="E71" s="974" t="s">
        <v>778</v>
      </c>
      <c r="F71" s="339">
        <f ca="1">F43</f>
        <v>8240.15</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260</v>
      </c>
      <c r="D75" s="1384"/>
      <c r="E75" s="1384"/>
      <c r="F75" s="1384"/>
      <c r="K75" s="1402"/>
      <c r="L75" s="1384"/>
      <c r="O75" s="1418" t="s">
        <v>409</v>
      </c>
      <c r="P75" s="1419" t="s">
        <v>838</v>
      </c>
      <c r="Q75" s="1420">
        <f ca="1">Q65+Q66</f>
        <v>25991</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0.77900000000000003</v>
      </c>
    </row>
    <row r="80" spans="1:18">
      <c r="B80" s="340" t="s">
        <v>800</v>
      </c>
      <c r="C80" s="274">
        <f ca="1">ROUND(C75/C39,3)</f>
        <v>0.221</v>
      </c>
    </row>
    <row r="81" spans="2:3">
      <c r="B81" s="270" t="s">
        <v>801</v>
      </c>
      <c r="C81" s="238"/>
    </row>
    <row r="82" spans="2:3">
      <c r="B82" s="273" t="s">
        <v>802</v>
      </c>
      <c r="C82" s="275">
        <f ca="1">1-C83</f>
        <v>0.86699999999999999</v>
      </c>
    </row>
    <row r="83" spans="2:3">
      <c r="B83" s="273" t="s">
        <v>803</v>
      </c>
      <c r="C83" s="274">
        <f ca="1">ROUND(C13/C40,3)</f>
        <v>0.13300000000000001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5" priority="56">
      <formula>$L$48&gt;$J$51</formula>
    </cfRule>
  </conditionalFormatting>
  <conditionalFormatting sqref="I55 I60">
    <cfRule type="expression" dxfId="144" priority="57">
      <formula>$J$51&gt;$L$48</formula>
    </cfRule>
  </conditionalFormatting>
  <conditionalFormatting sqref="C11">
    <cfRule type="expression" dxfId="143" priority="3">
      <formula>$F$10="自定义"</formula>
    </cfRule>
  </conditionalFormatting>
  <conditionalFormatting sqref="J11">
    <cfRule type="expression" dxfId="142" priority="2">
      <formula>$M$10="自定义"</formula>
    </cfRule>
  </conditionalFormatting>
  <conditionalFormatting sqref="C54">
    <cfRule type="expression" dxfId="14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E41" sqref="E4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3343</v>
      </c>
      <c r="D1" s="1362" t="s">
        <v>43</v>
      </c>
      <c r="E1" s="1363" t="s">
        <v>678</v>
      </c>
      <c r="F1" s="1062">
        <f ca="1">J53</f>
        <v>33.4</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3626</v>
      </c>
      <c r="C2" s="1387" t="s">
        <v>805</v>
      </c>
      <c r="D2" s="1387"/>
      <c r="E2" s="1388"/>
      <c r="F2" s="1389"/>
      <c r="G2" s="2706"/>
      <c r="H2" s="2695"/>
      <c r="I2" s="2695"/>
      <c r="J2" s="2695"/>
      <c r="K2" s="2696"/>
      <c r="L2" s="2695"/>
      <c r="M2" s="2695"/>
    </row>
    <row r="3" spans="1:37" ht="18" customHeight="1" thickBot="1">
      <c r="A3" s="1390" t="s">
        <v>806</v>
      </c>
      <c r="B3" s="1391">
        <f ca="1">IF(ISERROR(B2*10000/F43),0,ROUND(B2*10000/F43,0))</f>
        <v>17875</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200</v>
      </c>
      <c r="D5" s="1364" t="s">
        <v>693</v>
      </c>
      <c r="E5" s="1071"/>
      <c r="F5" s="1072"/>
      <c r="G5" s="1384"/>
      <c r="H5" s="299">
        <v>1</v>
      </c>
      <c r="I5" s="300" t="s">
        <v>692</v>
      </c>
      <c r="J5" s="1070">
        <f ca="1">J6+J10+J12</f>
        <v>0</v>
      </c>
      <c r="K5" s="1364" t="s">
        <v>693</v>
      </c>
      <c r="L5" s="1071"/>
      <c r="M5" s="1072"/>
    </row>
    <row r="6" spans="1:37" ht="18" customHeight="1">
      <c r="A6" s="1069" t="s">
        <v>398</v>
      </c>
      <c r="B6" s="3736" t="s">
        <v>694</v>
      </c>
      <c r="C6" s="1074">
        <f ca="1">ROUND(F6*F8*F7*(1-F9)/10000,0)</f>
        <v>200</v>
      </c>
      <c r="D6" s="155" t="s">
        <v>2109</v>
      </c>
      <c r="E6" s="302" t="s">
        <v>696</v>
      </c>
      <c r="F6" s="303">
        <f ca="1">INDIRECT("'数据-取费表'!u"&amp;$G$1)</f>
        <v>3</v>
      </c>
      <c r="G6" s="1384"/>
      <c r="H6" s="1069" t="s">
        <v>398</v>
      </c>
      <c r="I6" s="3736" t="s">
        <v>694</v>
      </c>
      <c r="J6" s="301">
        <f ca="1">ROUND(M6*M8*M7*(1-M9)/10000,0)</f>
        <v>0</v>
      </c>
      <c r="K6" s="155" t="s">
        <v>2108</v>
      </c>
      <c r="L6" s="302" t="s">
        <v>696</v>
      </c>
      <c r="M6" s="303">
        <f ca="1">INDIRECT("'数据-取费表'!z"&amp;$G$1)</f>
        <v>0</v>
      </c>
    </row>
    <row r="7" spans="1:37" ht="18" customHeight="1">
      <c r="A7" s="1073"/>
      <c r="B7" s="3737"/>
      <c r="C7" s="1075"/>
      <c r="D7" s="307"/>
      <c r="E7" s="3456" t="s">
        <v>697</v>
      </c>
      <c r="F7" s="303">
        <f ca="1">IF(INDIRECT("'数据-取费表'!ah"&amp;$G$1)="",INDIRECT("'数据-取费表'!k"&amp;$G$1),INDIRECT("'数据-取费表'!ah"&amp;$G$1))</f>
        <v>2028.52</v>
      </c>
      <c r="G7" s="1384"/>
      <c r="H7" s="304"/>
      <c r="I7" s="3737"/>
      <c r="J7" s="306"/>
      <c r="K7" s="307"/>
      <c r="L7" s="302" t="s">
        <v>697</v>
      </c>
      <c r="M7" s="303">
        <f ca="1">F7</f>
        <v>2028.52</v>
      </c>
    </row>
    <row r="8" spans="1:37" ht="18" customHeight="1">
      <c r="A8" s="304"/>
      <c r="B8" s="3737"/>
      <c r="C8" s="306"/>
      <c r="D8" s="307"/>
      <c r="E8" s="302" t="s">
        <v>698</v>
      </c>
      <c r="F8" s="303">
        <f ca="1">INDIRECT("'数据-取费表'!ai"&amp;$G$1)</f>
        <v>365</v>
      </c>
      <c r="G8" s="1384"/>
      <c r="H8" s="304"/>
      <c r="I8" s="3737"/>
      <c r="J8" s="306"/>
      <c r="K8" s="307"/>
      <c r="L8" s="302" t="s">
        <v>698</v>
      </c>
      <c r="M8" s="303">
        <f ca="1">INDIRECT("'数据-取费表'!ai"&amp;$G$1)</f>
        <v>365</v>
      </c>
    </row>
    <row r="9" spans="1:37" ht="18" customHeight="1">
      <c r="A9" s="304"/>
      <c r="B9" s="3738"/>
      <c r="C9" s="306"/>
      <c r="D9" s="307"/>
      <c r="E9" s="302" t="s">
        <v>699</v>
      </c>
      <c r="F9" s="312">
        <f ca="1">INDIRECT("'数据-取费表'!w"&amp;$G$1)</f>
        <v>0.1</v>
      </c>
      <c r="G9" s="1384"/>
      <c r="H9" s="304"/>
      <c r="I9" s="3738"/>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t="s">
        <v>3389</v>
      </c>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818</v>
      </c>
      <c r="D13" s="3448" t="s">
        <v>705</v>
      </c>
      <c r="E13" s="3448" t="s">
        <v>706</v>
      </c>
      <c r="F13" s="1082">
        <f ca="1">INDIRECT("'数据-取费表'!y"&amp;$G$1)</f>
        <v>0.82</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710</v>
      </c>
      <c r="D14" s="3452" t="s">
        <v>708</v>
      </c>
      <c r="E14" s="3450"/>
      <c r="F14" s="319"/>
      <c r="G14" s="1384"/>
      <c r="H14" s="982" t="s">
        <v>398</v>
      </c>
      <c r="I14" s="302" t="s">
        <v>709</v>
      </c>
      <c r="J14" s="21">
        <f ca="1">C29</f>
        <v>997</v>
      </c>
      <c r="K14" s="3455"/>
      <c r="L14" s="807"/>
      <c r="M14" s="808"/>
    </row>
    <row r="15" spans="1:37" s="1397" customFormat="1" ht="18" customHeight="1" thickBot="1">
      <c r="A15" s="982" t="s">
        <v>399</v>
      </c>
      <c r="B15" s="302" t="s">
        <v>710</v>
      </c>
      <c r="C15" s="21">
        <f ca="1">ROUND(C14*F15,0)</f>
        <v>28</v>
      </c>
      <c r="D15" s="3449" t="s">
        <v>711</v>
      </c>
      <c r="E15" s="3449" t="s">
        <v>712</v>
      </c>
      <c r="F15" s="321">
        <f>'数据-取费表'!B33</f>
        <v>0.04</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10</v>
      </c>
      <c r="K16" s="1087" t="s">
        <v>715</v>
      </c>
      <c r="L16" s="3453"/>
      <c r="M16" s="1072"/>
    </row>
    <row r="17" spans="1:37" s="1397" customFormat="1" ht="18" customHeight="1">
      <c r="A17" s="982" t="s">
        <v>681</v>
      </c>
      <c r="B17" s="302" t="s">
        <v>716</v>
      </c>
      <c r="C17" s="21">
        <f ca="1">ROUND(F17*(F43+INDIRECT("'数据-取费表'!S"&amp;$G$1))/10000,0)</f>
        <v>41</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3452" t="s">
        <v>720</v>
      </c>
      <c r="L17" s="3451"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11</v>
      </c>
      <c r="D18" s="302" t="s">
        <v>711</v>
      </c>
      <c r="E18" s="302" t="s">
        <v>712</v>
      </c>
      <c r="F18" s="322">
        <f>'数据-取费表'!B36</f>
        <v>1.4999999999999999E-2</v>
      </c>
      <c r="G18" s="1396"/>
      <c r="H18" s="982" t="s">
        <v>397</v>
      </c>
      <c r="I18" s="302" t="s">
        <v>723</v>
      </c>
      <c r="J18" s="21">
        <f ca="1">ROUND(J6*M18/(1+'数据-取费表'!C42),2)</f>
        <v>0</v>
      </c>
      <c r="K18" s="3451"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790</v>
      </c>
      <c r="D19" s="131" t="s">
        <v>726</v>
      </c>
      <c r="E19" s="3458"/>
      <c r="F19" s="23"/>
      <c r="G19" s="1384"/>
      <c r="H19" s="982" t="s">
        <v>399</v>
      </c>
      <c r="I19" s="302" t="s">
        <v>727</v>
      </c>
      <c r="J19" s="21">
        <f ca="1">IF(K19="按租金收入计税",ROUND(J6*M19/(1+'数据-取费表'!C42),2),ROUND(C29*M19*0.7,2))</f>
        <v>0</v>
      </c>
      <c r="K19" s="1370" t="s">
        <v>3345</v>
      </c>
      <c r="L19" s="302" t="s">
        <v>712</v>
      </c>
      <c r="M19" s="322">
        <f>IF(K19="按租金收入计税",'数据-取费表'!B51,'数据-取费表'!B50)</f>
        <v>0.12</v>
      </c>
    </row>
    <row r="20" spans="1:37" s="1397" customFormat="1" ht="18" customHeight="1">
      <c r="A20" s="982" t="s">
        <v>402</v>
      </c>
      <c r="B20" s="302" t="s">
        <v>728</v>
      </c>
      <c r="C20" s="21">
        <f ca="1">ROUND(C19*F20,0)</f>
        <v>16</v>
      </c>
      <c r="D20" s="2428"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58"/>
      <c r="F22" s="23"/>
      <c r="G22" s="1384"/>
      <c r="H22" s="982" t="s">
        <v>402</v>
      </c>
      <c r="I22" s="302" t="s">
        <v>738</v>
      </c>
      <c r="J22" s="21">
        <f ca="1">ROUND(J14*M22,2)</f>
        <v>9.9700000000000006</v>
      </c>
      <c r="K22" s="3451"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34</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51"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58"/>
      <c r="F25" s="23"/>
      <c r="G25" s="1384"/>
      <c r="H25" s="1079" t="s">
        <v>394</v>
      </c>
      <c r="I25" s="1094" t="s">
        <v>752</v>
      </c>
      <c r="J25" s="310">
        <f ca="1">J5-J16</f>
        <v>-10</v>
      </c>
      <c r="K25" s="1095" t="s">
        <v>753</v>
      </c>
      <c r="L25" s="1096"/>
      <c r="M25" s="1097"/>
    </row>
    <row r="26" spans="1:37">
      <c r="A26" s="982" t="s">
        <v>397</v>
      </c>
      <c r="B26" s="302" t="s">
        <v>754</v>
      </c>
      <c r="C26" s="21">
        <f ca="1">ROUND((C19+C20)*F26,0)</f>
        <v>81</v>
      </c>
      <c r="D26" s="2428" t="s">
        <v>755</v>
      </c>
      <c r="E26" s="313" t="s">
        <v>756</v>
      </c>
      <c r="F26" s="312">
        <f ca="1">INDIRECT("'数据-取费表'!q"&amp;$G$1)</f>
        <v>0.1</v>
      </c>
      <c r="G26" s="1384"/>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2E-3</v>
      </c>
      <c r="D27" s="2428" t="s">
        <v>761</v>
      </c>
      <c r="E27" s="3449"/>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997</v>
      </c>
      <c r="D29" s="1092"/>
      <c r="E29" s="1090"/>
      <c r="F29" s="1093"/>
      <c r="G29" s="1396"/>
      <c r="H29" s="334" t="s">
        <v>396</v>
      </c>
      <c r="I29" s="335" t="s">
        <v>768</v>
      </c>
      <c r="J29" s="336">
        <f ca="1">ROUND(J26/(1+F40)^F41,0)</f>
        <v>0</v>
      </c>
      <c r="K29" s="337" t="s">
        <v>769</v>
      </c>
      <c r="L29" s="338"/>
      <c r="M29" s="339">
        <f ca="1">INDIRECT("'数据-取费表'!k"&amp;$G$1)</f>
        <v>2028.52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47</v>
      </c>
      <c r="D30" s="1087" t="s">
        <v>715</v>
      </c>
      <c r="E30" s="3453"/>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33.53</v>
      </c>
      <c r="D31" s="3452" t="s">
        <v>720</v>
      </c>
      <c r="E31" s="3451" t="s">
        <v>770</v>
      </c>
      <c r="F31" s="2315">
        <f ca="1">IF(项目基本情况!B11="企业","——",IF(M47="住宅",IF(F6*F7*F8/12/(1+'数据-取费表'!F30)&gt;100000,4%,2.5%),IF(F6*F7*F8/12/(1+'数据-取费表'!F30)&gt;100000,12%,7%)))</f>
        <v>0.12</v>
      </c>
      <c r="G31" s="1384"/>
      <c r="H31" s="2808" t="s">
        <v>2310</v>
      </c>
      <c r="I31" s="1398"/>
      <c r="J31" s="1399"/>
      <c r="K31" s="2475"/>
      <c r="L31" s="2698"/>
      <c r="M31" s="2699"/>
    </row>
    <row r="32" spans="1:37" ht="18" customHeight="1">
      <c r="A32" s="982" t="s">
        <v>397</v>
      </c>
      <c r="B32" s="302" t="s">
        <v>723</v>
      </c>
      <c r="C32" s="21">
        <f ca="1">IF(项目基本情况!B11="自然人","——",ROUND(C6*F32/(1+'数据-取费表'!C42),2))</f>
        <v>10.67</v>
      </c>
      <c r="D32" s="3451"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22.86</v>
      </c>
      <c r="D33" s="1370" t="s">
        <v>3345</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9.9700000000000006</v>
      </c>
      <c r="D36" s="3451" t="s">
        <v>771</v>
      </c>
      <c r="E36" s="302" t="s">
        <v>712</v>
      </c>
      <c r="F36" s="328">
        <f ca="1">INDIRECT("'数据-取费表'!Ak"&amp;$G$1)</f>
        <v>0.01</v>
      </c>
      <c r="G36" s="1384"/>
      <c r="H36" s="2700"/>
      <c r="I36" s="1398"/>
      <c r="J36" s="1399"/>
      <c r="K36" s="2544"/>
      <c r="L36" s="2700"/>
      <c r="M36" s="2700"/>
    </row>
    <row r="37" spans="1:18" ht="18" customHeight="1">
      <c r="A37" s="982" t="s">
        <v>437</v>
      </c>
      <c r="B37" s="302" t="s">
        <v>742</v>
      </c>
      <c r="C37" s="21">
        <f ca="1">ROUND(C13*F37,2)</f>
        <v>1.23</v>
      </c>
      <c r="D37" s="3451" t="s">
        <v>743</v>
      </c>
      <c r="E37" s="302" t="s">
        <v>744</v>
      </c>
      <c r="F37" s="330">
        <f ca="1">INDIRECT("'数据-取费表'!Al"&amp;$G$1)</f>
        <v>1.5E-3</v>
      </c>
      <c r="G37" s="1384"/>
      <c r="H37" s="2700"/>
      <c r="I37" s="1398"/>
      <c r="J37" s="1399"/>
      <c r="K37" s="2544"/>
      <c r="L37" s="2700"/>
      <c r="M37" s="2700"/>
    </row>
    <row r="38" spans="1:18" ht="18" customHeight="1" thickBot="1">
      <c r="A38" s="1089" t="s">
        <v>684</v>
      </c>
      <c r="B38" s="1090" t="s">
        <v>728</v>
      </c>
      <c r="C38" s="1091">
        <f ca="1">ROUND(C5*F38,2)</f>
        <v>2</v>
      </c>
      <c r="D38" s="1092" t="s">
        <v>748</v>
      </c>
      <c r="E38" s="1090" t="s">
        <v>744</v>
      </c>
      <c r="F38" s="1086">
        <f ca="1">INDIRECT("'数据-取费表'!Am"&amp;$G$1)</f>
        <v>0.01</v>
      </c>
      <c r="G38" s="1384"/>
      <c r="H38" s="2700"/>
      <c r="I38" s="1398"/>
      <c r="J38" s="1399"/>
      <c r="K38" s="2704"/>
      <c r="L38" s="2700"/>
      <c r="M38" s="2700"/>
    </row>
    <row r="39" spans="1:18" ht="24.6" customHeight="1" thickTop="1">
      <c r="A39" s="1079" t="s">
        <v>394</v>
      </c>
      <c r="B39" s="1094" t="s">
        <v>772</v>
      </c>
      <c r="C39" s="310">
        <f ca="1">C5-C30</f>
        <v>153</v>
      </c>
      <c r="D39" s="1095" t="s">
        <v>773</v>
      </c>
      <c r="E39" s="1096"/>
      <c r="F39" s="1097"/>
      <c r="G39" s="1384"/>
      <c r="H39" s="2700"/>
      <c r="I39" s="1398"/>
      <c r="J39" s="1399"/>
      <c r="K39" s="2704"/>
      <c r="L39" s="2700"/>
      <c r="M39" s="2700"/>
    </row>
    <row r="40" spans="1:18" ht="18" customHeight="1">
      <c r="A40" s="299" t="s">
        <v>395</v>
      </c>
      <c r="B40" s="300" t="s">
        <v>774</v>
      </c>
      <c r="C40" s="301">
        <f ca="1">ROUND(C39*(1-((1+F42)/(1+F40))^F41)/(F40-F42),0)</f>
        <v>3626</v>
      </c>
      <c r="D40" s="324" t="s">
        <v>758</v>
      </c>
      <c r="E40" s="302" t="s">
        <v>759</v>
      </c>
      <c r="F40" s="312">
        <f ca="1">INDIRECT("'数据-取费表'!I"&amp;$G$1)</f>
        <v>0.05</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33.4</v>
      </c>
      <c r="G41" s="1384"/>
      <c r="H41" s="1191"/>
      <c r="I41" s="1398"/>
      <c r="J41" s="1399"/>
      <c r="K41" s="2544"/>
      <c r="L41" s="1191"/>
      <c r="M41" s="1191"/>
    </row>
    <row r="42" spans="1:18" ht="18" customHeight="1">
      <c r="A42" s="308"/>
      <c r="B42" s="309"/>
      <c r="C42" s="310"/>
      <c r="D42" s="327"/>
      <c r="E42" s="302" t="s">
        <v>766</v>
      </c>
      <c r="F42" s="312">
        <f ca="1">INDIRECT("'数据-取费表'!v"&amp;$G$1)</f>
        <v>0.03</v>
      </c>
      <c r="G42" s="1384"/>
      <c r="H42" s="1191"/>
      <c r="I42" s="1398"/>
      <c r="J42" s="1399"/>
      <c r="K42" s="2544"/>
      <c r="L42" s="1191"/>
      <c r="M42" s="1191"/>
    </row>
    <row r="43" spans="1:18" ht="18" customHeight="1" thickBot="1">
      <c r="A43" s="334" t="s">
        <v>396</v>
      </c>
      <c r="B43" s="335" t="s">
        <v>776</v>
      </c>
      <c r="C43" s="336">
        <f ca="1">ROUND(C40*10000/F43,0)</f>
        <v>17875</v>
      </c>
      <c r="D43" s="337" t="s">
        <v>777</v>
      </c>
      <c r="E43" s="338" t="s">
        <v>778</v>
      </c>
      <c r="F43" s="339">
        <f ca="1">INDIRECT("'数据-取费表'!k"&amp;$G$1)</f>
        <v>2028.52</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-3803</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3390</v>
      </c>
      <c r="K47" s="1416" t="s">
        <v>816</v>
      </c>
      <c r="L47" s="1417">
        <f ca="1">INDIRECT("'数据-取费表'!d"&amp;$G$1)</f>
        <v>50</v>
      </c>
      <c r="M47" s="1380" t="str">
        <f>IF(ISNUMBER(FIND("住宅",C1)),"住宅","非住宅")</f>
        <v>非住宅</v>
      </c>
      <c r="O47" s="1418" t="s">
        <v>403</v>
      </c>
      <c r="P47" s="1419" t="s">
        <v>817</v>
      </c>
      <c r="Q47" s="1420">
        <f ca="1">C40+J29</f>
        <v>3626</v>
      </c>
      <c r="R47" s="1420" t="s">
        <v>818</v>
      </c>
    </row>
    <row r="48" spans="1:18" s="1384" customFormat="1" ht="28.5" thickBot="1">
      <c r="A48" s="1110" t="s">
        <v>438</v>
      </c>
      <c r="B48" s="300" t="s">
        <v>692</v>
      </c>
      <c r="C48" s="3457">
        <f ca="1">C49+C53+C55</f>
        <v>0</v>
      </c>
      <c r="D48" s="1112"/>
      <c r="E48" s="1113"/>
      <c r="F48" s="962"/>
      <c r="G48" s="722"/>
      <c r="H48" s="723"/>
      <c r="I48" s="1421" t="s">
        <v>819</v>
      </c>
      <c r="J48" s="1422" t="s">
        <v>3391</v>
      </c>
      <c r="K48" s="1423" t="s">
        <v>820</v>
      </c>
      <c r="L48" s="1424">
        <f ca="1">INDIRECT("'数据-取费表'!f"&amp;$G$1)</f>
        <v>33.4</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2108</v>
      </c>
      <c r="E49" s="1372" t="s">
        <v>780</v>
      </c>
      <c r="F49" s="1060"/>
      <c r="G49" s="1425"/>
      <c r="H49" s="723"/>
      <c r="I49" s="1421" t="s">
        <v>823</v>
      </c>
      <c r="J49" s="1426">
        <v>2012</v>
      </c>
      <c r="K49" s="1423" t="s">
        <v>824</v>
      </c>
      <c r="L49" s="1427"/>
      <c r="O49" s="1428" t="s">
        <v>405</v>
      </c>
      <c r="P49" s="1419" t="s">
        <v>825</v>
      </c>
      <c r="Q49" s="1420">
        <f ca="1">C29</f>
        <v>997</v>
      </c>
      <c r="R49" s="1420" t="s">
        <v>818</v>
      </c>
    </row>
    <row r="50" spans="1:18" s="1384" customFormat="1" ht="13.5" thickBot="1">
      <c r="A50" s="976"/>
      <c r="B50" s="979"/>
      <c r="C50" s="1118"/>
      <c r="D50" s="953"/>
      <c r="E50" s="1056" t="s">
        <v>697</v>
      </c>
      <c r="F50" s="1057">
        <f ca="1">F7</f>
        <v>2028.52</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365</v>
      </c>
      <c r="I51" s="1432" t="s">
        <v>829</v>
      </c>
      <c r="J51" s="1433">
        <f>IF(J49="",J50,J49+J50-YEAR('数据-取费表'!B2))</f>
        <v>49</v>
      </c>
      <c r="K51" s="1434" t="s">
        <v>830</v>
      </c>
      <c r="L51" s="1435">
        <f ca="1">ROUND(-PV(INDIRECT("'数据-取费表'!h"&amp;$G$1),J51,(C39-C13*C76),0),0)</f>
        <v>1801</v>
      </c>
      <c r="M51" s="1436"/>
      <c r="O51" s="1428" t="s">
        <v>407</v>
      </c>
      <c r="P51" s="1419" t="s">
        <v>831</v>
      </c>
      <c r="Q51" s="1431">
        <f>J52</f>
        <v>0.08</v>
      </c>
      <c r="R51" s="1420"/>
    </row>
    <row r="52" spans="1:18" s="1384" customFormat="1" ht="13.5" thickBot="1">
      <c r="A52" s="977"/>
      <c r="B52" s="979"/>
      <c r="C52" s="980"/>
      <c r="D52" s="953"/>
      <c r="E52" s="981" t="s">
        <v>699</v>
      </c>
      <c r="F52" s="1054"/>
      <c r="I52" s="1437" t="s">
        <v>832</v>
      </c>
      <c r="J52" s="1438">
        <v>0.08</v>
      </c>
      <c r="K52" s="1437" t="s">
        <v>833</v>
      </c>
      <c r="L52" s="1438"/>
      <c r="O52" s="1428" t="s">
        <v>408</v>
      </c>
      <c r="P52" s="1419" t="s">
        <v>834</v>
      </c>
      <c r="Q52" s="1420">
        <f ca="1">J53</f>
        <v>33.4</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33.4</v>
      </c>
      <c r="K53" s="3734" t="s">
        <v>837</v>
      </c>
      <c r="L53" s="3735"/>
      <c r="O53" s="1418" t="s">
        <v>409</v>
      </c>
      <c r="P53" s="1419" t="s">
        <v>838</v>
      </c>
      <c r="Q53" s="1420">
        <f ca="1">Q47+Q48</f>
        <v>3626</v>
      </c>
      <c r="R53" s="1420" t="s">
        <v>410</v>
      </c>
    </row>
    <row r="54" spans="1:18" s="1384" customFormat="1" ht="13.5" thickBot="1">
      <c r="A54" s="1153"/>
      <c r="B54" s="1367" t="s">
        <v>679</v>
      </c>
      <c r="C54" s="959"/>
      <c r="D54" s="1366"/>
      <c r="E54" s="345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4"/>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818</v>
      </c>
      <c r="D56" s="1447"/>
      <c r="E56" s="1448"/>
      <c r="F56" s="1440"/>
      <c r="I56" s="1449" t="s">
        <v>842</v>
      </c>
      <c r="J56" s="1450" t="s">
        <v>3385</v>
      </c>
      <c r="K56" s="1421" t="s">
        <v>843</v>
      </c>
      <c r="L56" s="1424" t="str">
        <f ca="1">IF(L48&lt;J51,"——",L48-J53)</f>
        <v>——</v>
      </c>
      <c r="O56" s="1418" t="s">
        <v>403</v>
      </c>
      <c r="P56" s="1419" t="s">
        <v>817</v>
      </c>
      <c r="Q56" s="1420">
        <f ca="1">C40+J29</f>
        <v>3626</v>
      </c>
      <c r="R56" s="1420" t="s">
        <v>818</v>
      </c>
    </row>
    <row r="57" spans="1:18" s="1384" customFormat="1" ht="24.75" thickBot="1">
      <c r="A57" s="1451"/>
      <c r="B57" s="950" t="s">
        <v>767</v>
      </c>
      <c r="C57" s="238">
        <f ca="1">C29</f>
        <v>997</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11</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3345</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3626</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738</v>
      </c>
      <c r="C64" s="21">
        <f ca="1">ROUND(C57*F64,2)</f>
        <v>9.9700000000000006</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1.23</v>
      </c>
      <c r="D65" s="964" t="s">
        <v>743</v>
      </c>
      <c r="E65" s="950" t="s">
        <v>744</v>
      </c>
      <c r="F65" s="330">
        <f t="shared" ca="1" si="0"/>
        <v>1.5E-3</v>
      </c>
      <c r="I65" s="1462" t="s">
        <v>867</v>
      </c>
      <c r="J65" s="1463">
        <v>40</v>
      </c>
      <c r="K65" s="1463">
        <v>30</v>
      </c>
      <c r="L65" s="1463">
        <v>50</v>
      </c>
      <c r="M65" s="1465">
        <v>0.02</v>
      </c>
      <c r="O65" s="1418" t="s">
        <v>403</v>
      </c>
      <c r="P65" s="1419" t="s">
        <v>868</v>
      </c>
      <c r="Q65" s="1420">
        <f ca="1">C40+J29</f>
        <v>3626</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-11</v>
      </c>
      <c r="D67" s="963" t="s">
        <v>753</v>
      </c>
      <c r="E67" s="968"/>
      <c r="F67" s="969"/>
      <c r="O67" s="1428" t="s">
        <v>405</v>
      </c>
      <c r="P67" s="1419" t="s">
        <v>850</v>
      </c>
      <c r="Q67" s="1466">
        <f ca="1">L51</f>
        <v>1801</v>
      </c>
      <c r="R67" s="1420" t="s">
        <v>870</v>
      </c>
    </row>
    <row r="68" spans="1:18" s="1384" customFormat="1" ht="16.5" thickBot="1">
      <c r="A68" s="947" t="s">
        <v>395</v>
      </c>
      <c r="B68" s="948" t="s">
        <v>774</v>
      </c>
      <c r="C68" s="301">
        <f ca="1">ROUND(C67*(1-((1+F70)/(1+F68))^F69)/(F68-F70),0)</f>
        <v>-177</v>
      </c>
      <c r="D68" s="965" t="s">
        <v>758</v>
      </c>
      <c r="E68" s="950" t="s">
        <v>759</v>
      </c>
      <c r="F68" s="312">
        <f ca="1">F40</f>
        <v>0.05</v>
      </c>
      <c r="O68" s="1428" t="s">
        <v>406</v>
      </c>
      <c r="P68" s="1467" t="s">
        <v>871</v>
      </c>
      <c r="Q68" s="1420">
        <f ca="1">ROUND(Q69-Q70*Q71,0)</f>
        <v>92</v>
      </c>
      <c r="R68" s="1420" t="s">
        <v>414</v>
      </c>
    </row>
    <row r="69" spans="1:18" s="1384" customFormat="1" ht="13.5" thickBot="1">
      <c r="A69" s="951"/>
      <c r="B69" s="952"/>
      <c r="C69" s="306"/>
      <c r="D69" s="970" t="s">
        <v>762</v>
      </c>
      <c r="E69" s="950" t="s">
        <v>763</v>
      </c>
      <c r="F69" s="333">
        <f ca="1">F41</f>
        <v>33.4</v>
      </c>
      <c r="O69" s="1428" t="s">
        <v>411</v>
      </c>
      <c r="P69" s="1467" t="s">
        <v>872</v>
      </c>
      <c r="Q69" s="1420">
        <f ca="1">C39</f>
        <v>153</v>
      </c>
      <c r="R69" s="1420" t="s">
        <v>818</v>
      </c>
    </row>
    <row r="70" spans="1:18" s="1384" customFormat="1" ht="13.5" thickBot="1">
      <c r="A70" s="954"/>
      <c r="B70" s="955"/>
      <c r="C70" s="310"/>
      <c r="D70" s="966"/>
      <c r="E70" s="950" t="s">
        <v>766</v>
      </c>
      <c r="F70" s="1054"/>
      <c r="O70" s="1428" t="s">
        <v>412</v>
      </c>
      <c r="P70" s="1467" t="s">
        <v>873</v>
      </c>
      <c r="Q70" s="1420">
        <f ca="1">C13</f>
        <v>818</v>
      </c>
      <c r="R70" s="1420" t="s">
        <v>818</v>
      </c>
    </row>
    <row r="71" spans="1:18" s="1384" customFormat="1" ht="13.5" thickBot="1">
      <c r="A71" s="971" t="s">
        <v>396</v>
      </c>
      <c r="B71" s="972" t="s">
        <v>776</v>
      </c>
      <c r="C71" s="336">
        <f ca="1">ROUND(C68*10000/F71,0)</f>
        <v>-873</v>
      </c>
      <c r="D71" s="973" t="s">
        <v>777</v>
      </c>
      <c r="E71" s="974" t="s">
        <v>778</v>
      </c>
      <c r="F71" s="339">
        <f ca="1">F43</f>
        <v>2028.52</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61</v>
      </c>
      <c r="D75" s="1384"/>
      <c r="E75" s="1384"/>
      <c r="F75" s="1384"/>
      <c r="K75" s="1402"/>
      <c r="L75" s="1384"/>
      <c r="O75" s="1418" t="s">
        <v>409</v>
      </c>
      <c r="P75" s="1419" t="s">
        <v>838</v>
      </c>
      <c r="Q75" s="1420">
        <f ca="1">Q65+Q66</f>
        <v>3626</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0.60099999999999998</v>
      </c>
    </row>
    <row r="80" spans="1:18">
      <c r="B80" s="340" t="s">
        <v>800</v>
      </c>
      <c r="C80" s="274">
        <f ca="1">ROUND(C75/C39,3)</f>
        <v>0.39900000000000002</v>
      </c>
    </row>
    <row r="81" spans="2:3">
      <c r="B81" s="270" t="s">
        <v>801</v>
      </c>
      <c r="C81" s="238"/>
    </row>
    <row r="82" spans="2:3">
      <c r="B82" s="273" t="s">
        <v>802</v>
      </c>
      <c r="C82" s="275">
        <f ca="1">1-C83</f>
        <v>0.77400000000000002</v>
      </c>
    </row>
    <row r="83" spans="2:3">
      <c r="B83" s="273" t="s">
        <v>803</v>
      </c>
      <c r="C83" s="274">
        <f ca="1">ROUND(C13/C40,3)</f>
        <v>0.22600000000000001</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40" priority="4">
      <formula>$L$48&gt;$J$51</formula>
    </cfRule>
  </conditionalFormatting>
  <conditionalFormatting sqref="I55 I60">
    <cfRule type="expression" dxfId="139" priority="5">
      <formula>$J$51&gt;$L$48</formula>
    </cfRule>
  </conditionalFormatting>
  <conditionalFormatting sqref="C11">
    <cfRule type="expression" dxfId="138" priority="3">
      <formula>$F$10="自定义"</formula>
    </cfRule>
  </conditionalFormatting>
  <conditionalFormatting sqref="J11">
    <cfRule type="expression" dxfId="137" priority="2">
      <formula>$M$10="自定义"</formula>
    </cfRule>
  </conditionalFormatting>
  <conditionalFormatting sqref="C54">
    <cfRule type="expression" dxfId="136"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6" t="e">
        <f ca="1">ROUND(D2/10000,4)</f>
        <v>#DIV/0!</v>
      </c>
      <c r="C2" s="1387" t="s">
        <v>879</v>
      </c>
      <c r="D2" s="1471" t="e">
        <f ca="1">C40+J29+L46</f>
        <v>#DIV/0!</v>
      </c>
      <c r="E2" s="1388" t="s">
        <v>880</v>
      </c>
      <c r="F2" s="1389"/>
      <c r="G2" s="2706"/>
      <c r="H2" s="2695"/>
      <c r="I2" s="2695"/>
      <c r="J2" s="2695"/>
      <c r="K2" s="2696"/>
      <c r="L2" s="2695"/>
      <c r="M2" s="2695"/>
    </row>
    <row r="3" spans="1:37" ht="18" customHeight="1" thickBot="1">
      <c r="A3" s="1390" t="s">
        <v>881</v>
      </c>
      <c r="B3" s="1391">
        <f ca="1">IF(ISERROR(D2/F43),0,ROUND(D2/F43,0))</f>
        <v>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36" t="s">
        <v>694</v>
      </c>
      <c r="C6" s="1074">
        <f ca="1">ROUND(F6*F8*F7*(1-F9),0)</f>
        <v>0</v>
      </c>
      <c r="D6" s="155" t="s">
        <v>2106</v>
      </c>
      <c r="E6" s="302" t="s">
        <v>696</v>
      </c>
      <c r="F6" s="303">
        <f ca="1">INDIRECT("'数据-取费表'!u"&amp;$G$1)</f>
        <v>0</v>
      </c>
      <c r="G6" s="1384"/>
      <c r="H6" s="1069" t="s">
        <v>398</v>
      </c>
      <c r="I6" s="3736" t="s">
        <v>694</v>
      </c>
      <c r="J6" s="301">
        <f ca="1">ROUND(M6*M8*M7*(1-M9),0)</f>
        <v>0</v>
      </c>
      <c r="K6" s="1376" t="s">
        <v>2107</v>
      </c>
      <c r="L6" s="302" t="s">
        <v>696</v>
      </c>
      <c r="M6" s="303">
        <f ca="1">INDIRECT("'数据-取费表'!z"&amp;$G$1)</f>
        <v>0</v>
      </c>
    </row>
    <row r="7" spans="1:37" ht="18" customHeight="1">
      <c r="A7" s="1073"/>
      <c r="B7" s="3737"/>
      <c r="C7" s="1075"/>
      <c r="D7" s="307"/>
      <c r="E7" s="1076" t="s">
        <v>697</v>
      </c>
      <c r="F7" s="303">
        <f ca="1">IF(INDIRECT("'数据-取费表'!ah"&amp;$G$1)="",INDIRECT("'数据-取费表'!k"&amp;$G$1),INDIRECT("'数据-取费表'!ah"&amp;$G$1))</f>
        <v>0</v>
      </c>
      <c r="G7" s="1384"/>
      <c r="H7" s="304"/>
      <c r="I7" s="3737"/>
      <c r="J7" s="306"/>
      <c r="K7" s="307"/>
      <c r="L7" s="302" t="s">
        <v>697</v>
      </c>
      <c r="M7" s="303">
        <f ca="1">F7</f>
        <v>0</v>
      </c>
    </row>
    <row r="8" spans="1:37" ht="18" customHeight="1">
      <c r="A8" s="304"/>
      <c r="B8" s="3737"/>
      <c r="C8" s="306"/>
      <c r="D8" s="307"/>
      <c r="E8" s="302" t="s">
        <v>698</v>
      </c>
      <c r="F8" s="303">
        <f ca="1">INDIRECT("'数据-取费表'!ai"&amp;$G$1)</f>
        <v>0</v>
      </c>
      <c r="G8" s="1384"/>
      <c r="H8" s="304"/>
      <c r="I8" s="3737"/>
      <c r="J8" s="306"/>
      <c r="K8" s="307"/>
      <c r="L8" s="302" t="s">
        <v>698</v>
      </c>
      <c r="M8" s="303">
        <f ca="1">INDIRECT("'数据-取费表'!ai"&amp;$G$1)</f>
        <v>0</v>
      </c>
    </row>
    <row r="9" spans="1:37" ht="18" customHeight="1">
      <c r="A9" s="304"/>
      <c r="B9" s="3738"/>
      <c r="C9" s="306"/>
      <c r="D9" s="307"/>
      <c r="E9" s="302" t="s">
        <v>699</v>
      </c>
      <c r="F9" s="312">
        <f ca="1">INDIRECT("'数据-取费表'!w"&amp;$G$1)</f>
        <v>0</v>
      </c>
      <c r="G9" s="1384"/>
      <c r="H9" s="304"/>
      <c r="I9" s="3738"/>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0.04</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3345</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0</v>
      </c>
      <c r="D31" s="1345" t="s">
        <v>720</v>
      </c>
      <c r="E31" s="1344" t="s">
        <v>770</v>
      </c>
      <c r="F31" s="2315">
        <f ca="1">IF(项目基本情况!B11="企业","——",IF(M47="住宅",IF(F6*F7*F8/12/(1+'数据-取费表'!F30)&gt;100000,4%,2.5%),IF(F6*F7*F8/12/(1+'数据-取费表'!F30)&gt;100000,12%,7%)))</f>
        <v>7.0000000000000007E-2</v>
      </c>
      <c r="G31" s="1384"/>
      <c r="H31" s="2808" t="s">
        <v>2310</v>
      </c>
      <c r="I31" s="1398"/>
      <c r="J31" s="1399"/>
      <c r="K31" s="2475"/>
      <c r="L31" s="2698"/>
      <c r="M31" s="2699"/>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3345</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ROUND(C13*F37,0)</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ROUND(C5*F38,0)</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2" t="s">
        <v>3361</v>
      </c>
      <c r="B45" s="1400"/>
      <c r="C45" s="1472" t="e">
        <f ca="1">ROUND((C68-C40)/10000,4)</f>
        <v>#DIV/0!</v>
      </c>
      <c r="D45" s="3433" t="s">
        <v>3362</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734" t="s">
        <v>837</v>
      </c>
      <c r="L53" s="3735"/>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3345</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35" priority="4">
      <formula>$L$48&gt;$J$51</formula>
    </cfRule>
  </conditionalFormatting>
  <conditionalFormatting sqref="I55 I60">
    <cfRule type="expression" dxfId="134" priority="5">
      <formula>$J$51&gt;$L$48</formula>
    </cfRule>
  </conditionalFormatting>
  <conditionalFormatting sqref="C11">
    <cfRule type="expression" dxfId="133" priority="3">
      <formula>$F$10="自定义"</formula>
    </cfRule>
  </conditionalFormatting>
  <conditionalFormatting sqref="J11">
    <cfRule type="expression" dxfId="132" priority="2">
      <formula>$M$10="自定义"</formula>
    </cfRule>
  </conditionalFormatting>
  <conditionalFormatting sqref="C54">
    <cfRule type="expression" dxfId="13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4" t="s">
        <v>3370</v>
      </c>
      <c r="E2" s="3445"/>
      <c r="F2" s="2846"/>
      <c r="G2" s="2847"/>
      <c r="H2" s="2848"/>
      <c r="I2" s="2849"/>
      <c r="J2" s="3745" t="s">
        <v>2320</v>
      </c>
      <c r="K2" s="3746"/>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747" t="s">
        <v>2330</v>
      </c>
      <c r="K3" s="3748"/>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747" t="s">
        <v>2332</v>
      </c>
      <c r="K4" s="3748"/>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753" t="s">
        <v>2336</v>
      </c>
      <c r="B6" s="3754"/>
      <c r="C6" s="3755"/>
      <c r="D6" s="2870"/>
      <c r="E6" s="2871"/>
      <c r="F6" s="2872"/>
      <c r="G6" s="2873"/>
      <c r="H6" s="2848"/>
      <c r="I6" s="2849"/>
      <c r="J6" s="3739">
        <v>1</v>
      </c>
      <c r="K6" s="3740"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739"/>
      <c r="K7" s="3741"/>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756" t="s">
        <v>2350</v>
      </c>
      <c r="C8" s="3757"/>
      <c r="D8" s="2889" t="s">
        <v>2351</v>
      </c>
      <c r="E8" s="2890" t="s">
        <v>2352</v>
      </c>
      <c r="F8" s="2891" t="s">
        <v>2353</v>
      </c>
      <c r="G8" s="2892"/>
      <c r="H8" s="2848"/>
      <c r="I8" s="2849"/>
      <c r="J8" s="3739"/>
      <c r="K8" s="3741"/>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756" t="s">
        <v>2356</v>
      </c>
      <c r="C9" s="3757"/>
      <c r="D9" s="2889">
        <f>ROUND(D6*E9,0)</f>
        <v>0</v>
      </c>
      <c r="E9" s="2893"/>
      <c r="F9" s="2894" t="s">
        <v>2357</v>
      </c>
      <c r="G9" s="2873"/>
      <c r="H9" s="2848"/>
      <c r="I9" s="2849"/>
      <c r="J9" s="3739"/>
      <c r="K9" s="3741"/>
      <c r="L9" s="2883" t="s">
        <v>2358</v>
      </c>
      <c r="M9" s="2884"/>
      <c r="N9" s="2860"/>
      <c r="O9" s="2885"/>
      <c r="P9" s="2885"/>
      <c r="Q9" s="2886">
        <v>365</v>
      </c>
      <c r="R9" s="2887">
        <f t="shared" si="0"/>
        <v>0</v>
      </c>
      <c r="S9" s="2841"/>
      <c r="T9" s="2841"/>
      <c r="U9" s="2841"/>
      <c r="V9" s="2849"/>
    </row>
    <row r="10" spans="1:22" s="2853" customFormat="1" ht="13.15" customHeight="1">
      <c r="A10" s="2888">
        <v>2</v>
      </c>
      <c r="B10" s="3756" t="s">
        <v>2359</v>
      </c>
      <c r="C10" s="3757"/>
      <c r="D10" s="2889">
        <f>ROUND(D6*E10,0)</f>
        <v>0</v>
      </c>
      <c r="E10" s="2893"/>
      <c r="F10" s="2894" t="s">
        <v>2360</v>
      </c>
      <c r="G10" s="2873"/>
      <c r="H10" s="2848"/>
      <c r="I10" s="2849"/>
      <c r="J10" s="3739"/>
      <c r="K10" s="3741"/>
      <c r="L10" s="2883" t="s">
        <v>2361</v>
      </c>
      <c r="M10" s="2884"/>
      <c r="N10" s="2860"/>
      <c r="O10" s="2885"/>
      <c r="P10" s="2885"/>
      <c r="Q10" s="2886">
        <v>365</v>
      </c>
      <c r="R10" s="2887">
        <f t="shared" si="0"/>
        <v>0</v>
      </c>
      <c r="S10" s="2841"/>
      <c r="T10" s="2841"/>
      <c r="U10" s="2841"/>
      <c r="V10" s="2849"/>
    </row>
    <row r="11" spans="1:22" s="2853" customFormat="1" ht="13.15" customHeight="1">
      <c r="A11" s="2888">
        <v>3</v>
      </c>
      <c r="B11" s="3756" t="s">
        <v>2362</v>
      </c>
      <c r="C11" s="3757"/>
      <c r="D11" s="2889">
        <f>D12+D14+D15+D16</f>
        <v>0</v>
      </c>
      <c r="E11" s="2895" t="e">
        <f>D11/D6</f>
        <v>#DIV/0!</v>
      </c>
      <c r="F11" s="2891"/>
      <c r="G11" s="2892"/>
      <c r="H11" s="2848"/>
      <c r="I11" s="2849"/>
      <c r="J11" s="3739"/>
      <c r="K11" s="3741"/>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749" t="s">
        <v>2365</v>
      </c>
      <c r="C12" s="3750"/>
      <c r="D12" s="2897">
        <f>ROUND(D13*1.2%*(1-30%),0)</f>
        <v>0</v>
      </c>
      <c r="E12" s="2898">
        <v>1.2E-2</v>
      </c>
      <c r="F12" s="2891" t="s">
        <v>2366</v>
      </c>
      <c r="G12" s="2892"/>
      <c r="H12" s="2848"/>
      <c r="I12" s="2849"/>
      <c r="J12" s="3739"/>
      <c r="K12" s="3741"/>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739"/>
      <c r="K13" s="3741"/>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749" t="s">
        <v>2371</v>
      </c>
      <c r="C14" s="3750"/>
      <c r="D14" s="2897">
        <f>ROUND(E14*B5/10000,0)</f>
        <v>0</v>
      </c>
      <c r="E14" s="2886"/>
      <c r="F14" s="2891" t="s">
        <v>2372</v>
      </c>
      <c r="G14" s="2892"/>
      <c r="H14" s="2848"/>
      <c r="I14" s="2849"/>
      <c r="J14" s="3739"/>
      <c r="K14" s="3742"/>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749" t="s">
        <v>2375</v>
      </c>
      <c r="C15" s="3750"/>
      <c r="D15" s="2897">
        <f>ROUND(D6*E15,0)</f>
        <v>0</v>
      </c>
      <c r="E15" s="2898">
        <v>5.5E-2</v>
      </c>
      <c r="F15" s="2891" t="s">
        <v>2376</v>
      </c>
      <c r="G15" s="2873"/>
      <c r="H15" s="2848"/>
      <c r="I15" s="2849"/>
      <c r="J15" s="3739">
        <v>2</v>
      </c>
      <c r="K15" s="3740"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749" t="s">
        <v>2384</v>
      </c>
      <c r="C16" s="3750"/>
      <c r="D16" s="2908">
        <f>D6*E16</f>
        <v>0</v>
      </c>
      <c r="E16" s="2909"/>
      <c r="F16" s="2894" t="s">
        <v>2385</v>
      </c>
      <c r="G16" s="2873"/>
      <c r="H16" s="2848"/>
      <c r="I16" s="2849"/>
      <c r="J16" s="3739"/>
      <c r="K16" s="3741"/>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751" t="s">
        <v>2387</v>
      </c>
      <c r="C17" s="3752"/>
      <c r="D17" s="2911">
        <f>ROUND(D6*E17,0)</f>
        <v>0</v>
      </c>
      <c r="E17" s="2912"/>
      <c r="F17" s="2913" t="s">
        <v>2388</v>
      </c>
      <c r="G17" s="2873"/>
      <c r="H17" s="2848"/>
      <c r="I17" s="2849"/>
      <c r="J17" s="3739"/>
      <c r="K17" s="3741"/>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739"/>
      <c r="K18" s="3741"/>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739"/>
      <c r="K19" s="3742"/>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39">
        <v>3</v>
      </c>
      <c r="K20" s="3740"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739"/>
      <c r="K21" s="3741"/>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739"/>
      <c r="K22" s="3741"/>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739"/>
      <c r="K23" s="3741"/>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739"/>
      <c r="K24" s="3742"/>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743">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744"/>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745" t="s">
        <v>2320</v>
      </c>
      <c r="K32" s="3746"/>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747" t="s">
        <v>2330</v>
      </c>
      <c r="K33" s="3748"/>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747" t="s">
        <v>2332</v>
      </c>
      <c r="K34" s="3748"/>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739">
        <v>1</v>
      </c>
      <c r="K36" s="3740"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739"/>
      <c r="K37" s="3741"/>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39"/>
      <c r="K38" s="3741"/>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739"/>
      <c r="K39" s="3741"/>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739"/>
      <c r="K40" s="3742"/>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743">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744"/>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I23" sqref="I23"/>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29617</v>
      </c>
      <c r="C2" s="1872" t="s">
        <v>1651</v>
      </c>
      <c r="D2" s="1873" t="s">
        <v>1652</v>
      </c>
      <c r="E2" s="2607">
        <f>SUM(E6:E13)</f>
        <v>10268.67</v>
      </c>
      <c r="F2" s="2707"/>
      <c r="G2" s="1489"/>
      <c r="H2" s="1489"/>
      <c r="I2" s="1489"/>
      <c r="J2" s="1489"/>
      <c r="K2" s="1489"/>
      <c r="L2" s="1489"/>
      <c r="M2" s="1489"/>
      <c r="N2" s="1489"/>
      <c r="O2" s="1489"/>
      <c r="P2" s="1489"/>
      <c r="Q2" s="1489"/>
      <c r="R2" s="1489"/>
      <c r="S2" s="1489"/>
    </row>
    <row r="3" spans="1:22" ht="15.75">
      <c r="A3" s="1870" t="s">
        <v>686</v>
      </c>
      <c r="B3" s="2601">
        <f ca="1">ROUND(B2*10000/E2,0)</f>
        <v>28842</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58" t="s">
        <v>1654</v>
      </c>
      <c r="C5" s="3759"/>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25991</v>
      </c>
      <c r="C6" s="1872" t="s">
        <v>1651</v>
      </c>
      <c r="D6" s="2709"/>
      <c r="E6" s="2606">
        <f>IF(OR(A6=0,F6="否"),0,'数据-取费表'!K6+'数据-取费表'!S6)</f>
        <v>8240.15</v>
      </c>
      <c r="F6" s="1876" t="s">
        <v>1657</v>
      </c>
      <c r="G6" s="1489"/>
      <c r="H6" s="1489"/>
      <c r="I6" s="1489"/>
      <c r="J6" s="1489"/>
      <c r="K6" s="1489"/>
      <c r="L6" s="1489"/>
      <c r="M6" s="1489"/>
      <c r="N6" s="1489"/>
      <c r="O6" s="1489"/>
      <c r="P6" s="1489"/>
      <c r="Q6" s="1489"/>
      <c r="R6" s="1489"/>
      <c r="S6" s="1489"/>
    </row>
    <row r="7" spans="1:22">
      <c r="A7" s="2604" t="str">
        <f>'数据-取费表'!AN7</f>
        <v>收益法(仓储)</v>
      </c>
      <c r="B7" s="2602">
        <f ca="1">IF(F7="是",'数据-取费表'!AO7,0)</f>
        <v>3626</v>
      </c>
      <c r="C7" s="1872" t="s">
        <v>1651</v>
      </c>
      <c r="D7" s="2709"/>
      <c r="E7" s="2606">
        <f>IF(OR(A7=0,F7="否"),0,'数据-取费表'!K7+'数据-取费表'!S7)</f>
        <v>2028.52</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7"/>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8"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10268.669999999998</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701" t="s">
        <v>1667</v>
      </c>
      <c r="D4" s="3702"/>
      <c r="E4" s="3703" t="s">
        <v>1668</v>
      </c>
      <c r="F4" s="3704"/>
      <c r="G4" s="3701" t="s">
        <v>1669</v>
      </c>
      <c r="H4" s="3702"/>
      <c r="I4" s="3701" t="s">
        <v>1670</v>
      </c>
      <c r="J4" s="3702"/>
      <c r="K4" s="1889" t="s">
        <v>1671</v>
      </c>
      <c r="L4" s="2715"/>
      <c r="M4" s="2716"/>
      <c r="N4" s="2716"/>
      <c r="O4" s="2716"/>
      <c r="P4" s="3764" t="s">
        <v>1672</v>
      </c>
      <c r="Q4" s="3765"/>
      <c r="R4" s="3768" t="s">
        <v>1668</v>
      </c>
      <c r="S4" s="3769"/>
      <c r="T4" s="3768" t="s">
        <v>1669</v>
      </c>
      <c r="U4" s="3769"/>
      <c r="V4" s="3718" t="s">
        <v>1670</v>
      </c>
      <c r="W4" s="3718"/>
      <c r="X4" s="1355"/>
      <c r="Y4" s="3768" t="s">
        <v>1672</v>
      </c>
      <c r="Z4" s="3769"/>
      <c r="AA4" s="3763" t="s">
        <v>1668</v>
      </c>
      <c r="AB4" s="3763" t="s">
        <v>1669</v>
      </c>
      <c r="AC4" s="3763" t="s">
        <v>1670</v>
      </c>
    </row>
    <row r="5" spans="1:29" ht="15">
      <c r="A5" s="358"/>
      <c r="B5" s="359"/>
      <c r="C5" s="3721" t="s">
        <v>1673</v>
      </c>
      <c r="D5" s="3722"/>
      <c r="E5" s="3732" t="s">
        <v>1674</v>
      </c>
      <c r="F5" s="3733"/>
      <c r="G5" s="3721" t="s">
        <v>1675</v>
      </c>
      <c r="H5" s="3722"/>
      <c r="I5" s="3721" t="s">
        <v>1676</v>
      </c>
      <c r="J5" s="3722"/>
      <c r="K5" s="1890"/>
      <c r="L5" s="2715"/>
      <c r="M5" s="2716"/>
      <c r="N5" s="2716"/>
      <c r="O5" s="2716"/>
      <c r="P5" s="3766"/>
      <c r="Q5" s="3708"/>
      <c r="R5" s="3713"/>
      <c r="S5" s="3714"/>
      <c r="T5" s="3713"/>
      <c r="U5" s="3714"/>
      <c r="V5" s="3718"/>
      <c r="W5" s="3718"/>
      <c r="X5" s="1355"/>
      <c r="Y5" s="3713"/>
      <c r="Z5" s="3714"/>
      <c r="AA5" s="3730"/>
      <c r="AB5" s="3730"/>
      <c r="AC5" s="3730"/>
    </row>
    <row r="6" spans="1:29" ht="15.75" thickBot="1">
      <c r="A6" s="360"/>
      <c r="B6" s="361"/>
      <c r="C6" s="3719" t="s">
        <v>1677</v>
      </c>
      <c r="D6" s="3720"/>
      <c r="E6" s="3727" t="s">
        <v>1677</v>
      </c>
      <c r="F6" s="3728"/>
      <c r="G6" s="3719" t="s">
        <v>1677</v>
      </c>
      <c r="H6" s="3720"/>
      <c r="I6" s="3719" t="s">
        <v>1677</v>
      </c>
      <c r="J6" s="3720"/>
      <c r="K6" s="1890" t="s">
        <v>1678</v>
      </c>
      <c r="L6" s="2715"/>
      <c r="M6" s="2716"/>
      <c r="N6" s="2716"/>
      <c r="O6" s="2716"/>
      <c r="P6" s="3767"/>
      <c r="Q6" s="3710"/>
      <c r="R6" s="3713"/>
      <c r="S6" s="3714"/>
      <c r="T6" s="3715"/>
      <c r="U6" s="3716"/>
      <c r="V6" s="3718"/>
      <c r="W6" s="3718"/>
      <c r="X6" s="1355"/>
      <c r="Y6" s="3715"/>
      <c r="Z6" s="3716"/>
      <c r="AA6" s="3731"/>
      <c r="AB6" s="3731"/>
      <c r="AC6" s="3731"/>
    </row>
    <row r="7" spans="1:29" s="108" customFormat="1" ht="15.75" thickBot="1">
      <c r="A7" s="362" t="s">
        <v>1679</v>
      </c>
      <c r="B7" s="363"/>
      <c r="C7" s="364">
        <f>'数据-取费表'!B2</f>
        <v>44937</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725" t="s">
        <v>1680</v>
      </c>
      <c r="Q7" s="3726"/>
      <c r="R7" s="701" t="s">
        <v>20</v>
      </c>
      <c r="S7" s="702">
        <f t="shared" ref="S7:S15" si="0">F7</f>
        <v>0</v>
      </c>
      <c r="T7" s="701" t="s">
        <v>20</v>
      </c>
      <c r="U7" s="702">
        <f t="shared" ref="U7:U15" si="1">H7</f>
        <v>0</v>
      </c>
      <c r="V7" s="701" t="s">
        <v>20</v>
      </c>
      <c r="W7" s="702">
        <f t="shared" ref="W7:W15" si="2">J7</f>
        <v>0</v>
      </c>
      <c r="X7" s="703"/>
      <c r="Y7" s="3725" t="s">
        <v>1680</v>
      </c>
      <c r="Z7" s="3724"/>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725" t="s">
        <v>1683</v>
      </c>
      <c r="Q8" s="3724"/>
      <c r="R8" s="701" t="s">
        <v>20</v>
      </c>
      <c r="S8" s="702">
        <f t="shared" si="0"/>
        <v>100</v>
      </c>
      <c r="T8" s="701" t="s">
        <v>20</v>
      </c>
      <c r="U8" s="702">
        <f t="shared" si="1"/>
        <v>100</v>
      </c>
      <c r="V8" s="701" t="s">
        <v>20</v>
      </c>
      <c r="W8" s="702">
        <f t="shared" si="2"/>
        <v>100</v>
      </c>
      <c r="X8" s="703"/>
      <c r="Y8" s="3725" t="s">
        <v>1683</v>
      </c>
      <c r="Z8" s="3724"/>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83"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435"/>
      <c r="D10" s="127">
        <v>100</v>
      </c>
      <c r="E10" s="3436"/>
      <c r="F10" s="376">
        <f>SUMIF(65:65,E10,66:66)-SUMIF(65:65,C10,66:66)+100</f>
        <v>100</v>
      </c>
      <c r="G10" s="3435"/>
      <c r="H10" s="127">
        <f>SUMIF(65:65,G10,66:66)-SUMIF(65:65,C10,66:66)+100</f>
        <v>100</v>
      </c>
      <c r="I10" s="3435"/>
      <c r="J10" s="127">
        <f>SUMIF(65:65,I10,66:66)-SUMIF(65:65,C10,66:66)+100</f>
        <v>100</v>
      </c>
      <c r="K10" s="1891"/>
      <c r="L10" s="2719"/>
      <c r="M10" s="2720"/>
      <c r="N10" s="2720"/>
      <c r="O10" s="2720"/>
      <c r="P10" s="3683"/>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83"/>
      <c r="Q11" s="1343" t="str">
        <f t="shared" si="6"/>
        <v>容积率</v>
      </c>
      <c r="R11" s="701" t="s">
        <v>18</v>
      </c>
      <c r="S11" s="702" t="e">
        <f t="shared" si="0"/>
        <v>#N/A</v>
      </c>
      <c r="T11" s="701" t="s">
        <v>18</v>
      </c>
      <c r="U11" s="702" t="e">
        <f t="shared" si="1"/>
        <v>#N/A</v>
      </c>
      <c r="V11" s="701" t="s">
        <v>18</v>
      </c>
      <c r="W11" s="702" t="e">
        <f t="shared" si="2"/>
        <v>#N/A</v>
      </c>
      <c r="X11" s="703"/>
      <c r="Y11" s="3568"/>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83"/>
      <c r="Q12" s="1343">
        <f t="shared" si="6"/>
        <v>111</v>
      </c>
      <c r="R12" s="701" t="s">
        <v>18</v>
      </c>
      <c r="S12" s="702">
        <f t="shared" si="0"/>
        <v>100</v>
      </c>
      <c r="T12" s="701" t="s">
        <v>18</v>
      </c>
      <c r="U12" s="702">
        <f t="shared" si="1"/>
        <v>100</v>
      </c>
      <c r="V12" s="701" t="s">
        <v>18</v>
      </c>
      <c r="W12" s="702">
        <f t="shared" si="2"/>
        <v>100</v>
      </c>
      <c r="X12" s="703"/>
      <c r="Y12" s="3568"/>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83"/>
      <c r="Q13" s="1343">
        <f t="shared" si="6"/>
        <v>111</v>
      </c>
      <c r="R13" s="701" t="s">
        <v>18</v>
      </c>
      <c r="S13" s="702">
        <f t="shared" si="0"/>
        <v>100</v>
      </c>
      <c r="T13" s="701" t="s">
        <v>18</v>
      </c>
      <c r="U13" s="702">
        <f t="shared" si="1"/>
        <v>100</v>
      </c>
      <c r="V13" s="701" t="s">
        <v>18</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83"/>
      <c r="Q14" s="1343">
        <f t="shared" si="6"/>
        <v>111</v>
      </c>
      <c r="R14" s="701" t="s">
        <v>18</v>
      </c>
      <c r="S14" s="702">
        <f t="shared" si="0"/>
        <v>100</v>
      </c>
      <c r="T14" s="701" t="s">
        <v>18</v>
      </c>
      <c r="U14" s="702">
        <f t="shared" si="1"/>
        <v>100</v>
      </c>
      <c r="V14" s="701" t="s">
        <v>18</v>
      </c>
      <c r="W14" s="702">
        <f t="shared" si="2"/>
        <v>100</v>
      </c>
      <c r="X14" s="703"/>
      <c r="Y14" s="3568"/>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89" t="s">
        <v>1691</v>
      </c>
      <c r="Q15" s="1352" t="str">
        <f t="shared" si="6"/>
        <v>居住社区成熟度</v>
      </c>
      <c r="R15" s="705" t="s">
        <v>18</v>
      </c>
      <c r="S15" s="706">
        <f t="shared" si="0"/>
        <v>100</v>
      </c>
      <c r="T15" s="705" t="s">
        <v>18</v>
      </c>
      <c r="U15" s="706">
        <f t="shared" si="1"/>
        <v>100</v>
      </c>
      <c r="V15" s="705" t="s">
        <v>18</v>
      </c>
      <c r="W15" s="706">
        <f t="shared" si="2"/>
        <v>100</v>
      </c>
      <c r="X15" s="1355"/>
      <c r="Y15" s="3691"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90"/>
      <c r="Q16" s="1352"/>
      <c r="R16" s="705"/>
      <c r="S16" s="706"/>
      <c r="T16" s="705"/>
      <c r="U16" s="706"/>
      <c r="V16" s="705"/>
      <c r="W16" s="706"/>
      <c r="X16" s="1355"/>
      <c r="Y16" s="3692"/>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90"/>
      <c r="Q17" s="1352" t="str">
        <f>B17</f>
        <v>交通便捷度</v>
      </c>
      <c r="R17" s="705" t="s">
        <v>18</v>
      </c>
      <c r="S17" s="706">
        <f>F17</f>
        <v>100</v>
      </c>
      <c r="T17" s="705" t="s">
        <v>18</v>
      </c>
      <c r="U17" s="706">
        <f>H17</f>
        <v>100</v>
      </c>
      <c r="V17" s="705" t="s">
        <v>18</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90"/>
      <c r="Q18" s="1352"/>
      <c r="R18" s="705"/>
      <c r="S18" s="706"/>
      <c r="T18" s="705"/>
      <c r="U18" s="706"/>
      <c r="V18" s="705"/>
      <c r="W18" s="706"/>
      <c r="X18" s="1355"/>
      <c r="Y18" s="3692"/>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90"/>
      <c r="Q19" s="1352" t="str">
        <f>B19</f>
        <v>公共配套设施</v>
      </c>
      <c r="R19" s="705" t="s">
        <v>18</v>
      </c>
      <c r="S19" s="706">
        <f>F19</f>
        <v>100</v>
      </c>
      <c r="T19" s="705" t="s">
        <v>18</v>
      </c>
      <c r="U19" s="706">
        <f>H19</f>
        <v>100</v>
      </c>
      <c r="V19" s="705" t="s">
        <v>18</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90"/>
      <c r="Q20" s="1352"/>
      <c r="R20" s="705"/>
      <c r="S20" s="706"/>
      <c r="T20" s="705"/>
      <c r="U20" s="706"/>
      <c r="V20" s="705"/>
      <c r="W20" s="706"/>
      <c r="X20" s="1355"/>
      <c r="Y20" s="3692"/>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90"/>
      <c r="Q22" s="1352"/>
      <c r="R22" s="705"/>
      <c r="S22" s="706"/>
      <c r="T22" s="705"/>
      <c r="U22" s="706"/>
      <c r="V22" s="705"/>
      <c r="W22" s="706"/>
      <c r="X22" s="1355"/>
      <c r="Y22" s="3692"/>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90"/>
      <c r="Q23" s="1352" t="str">
        <f>B23</f>
        <v>自然及人文环境</v>
      </c>
      <c r="R23" s="705" t="s">
        <v>18</v>
      </c>
      <c r="S23" s="706">
        <f>F23</f>
        <v>100</v>
      </c>
      <c r="T23" s="705" t="s">
        <v>18</v>
      </c>
      <c r="U23" s="706">
        <f>H23</f>
        <v>100</v>
      </c>
      <c r="V23" s="705" t="s">
        <v>18</v>
      </c>
      <c r="W23" s="706">
        <f>J23</f>
        <v>100</v>
      </c>
      <c r="X23" s="1355"/>
      <c r="Y23" s="3692"/>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90"/>
      <c r="Q24" s="1352"/>
      <c r="R24" s="705"/>
      <c r="S24" s="706"/>
      <c r="T24" s="705"/>
      <c r="U24" s="706"/>
      <c r="V24" s="705"/>
      <c r="W24" s="706"/>
      <c r="X24" s="1355"/>
      <c r="Y24" s="3692"/>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90"/>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92"/>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90"/>
      <c r="Q26" s="1352" t="str">
        <f t="shared" si="11"/>
        <v>朝向</v>
      </c>
      <c r="R26" s="705" t="s">
        <v>18</v>
      </c>
      <c r="S26" s="706">
        <f t="shared" si="12"/>
        <v>100</v>
      </c>
      <c r="T26" s="705" t="s">
        <v>18</v>
      </c>
      <c r="U26" s="706">
        <f t="shared" si="13"/>
        <v>100</v>
      </c>
      <c r="V26" s="705" t="s">
        <v>18</v>
      </c>
      <c r="W26" s="706">
        <f t="shared" si="14"/>
        <v>100</v>
      </c>
      <c r="X26" s="1355"/>
      <c r="Y26" s="3692"/>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90"/>
      <c r="Q27" s="1343">
        <f t="shared" si="11"/>
        <v>111</v>
      </c>
      <c r="R27" s="701" t="s">
        <v>18</v>
      </c>
      <c r="S27" s="702">
        <f t="shared" si="12"/>
        <v>100</v>
      </c>
      <c r="T27" s="701" t="s">
        <v>18</v>
      </c>
      <c r="U27" s="702">
        <f t="shared" si="13"/>
        <v>100</v>
      </c>
      <c r="V27" s="701" t="s">
        <v>18</v>
      </c>
      <c r="W27" s="702">
        <f t="shared" si="14"/>
        <v>100</v>
      </c>
      <c r="X27" s="703"/>
      <c r="Y27" s="3692"/>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90"/>
      <c r="Q28" s="1352">
        <f t="shared" si="11"/>
        <v>111</v>
      </c>
      <c r="R28" s="705" t="s">
        <v>18</v>
      </c>
      <c r="S28" s="706">
        <f t="shared" si="12"/>
        <v>100</v>
      </c>
      <c r="T28" s="705" t="s">
        <v>18</v>
      </c>
      <c r="U28" s="706">
        <f t="shared" si="13"/>
        <v>100</v>
      </c>
      <c r="V28" s="705" t="s">
        <v>18</v>
      </c>
      <c r="W28" s="706">
        <f t="shared" si="14"/>
        <v>100</v>
      </c>
      <c r="X28" s="1355"/>
      <c r="Y28" s="3692"/>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90"/>
      <c r="Q29" s="1352">
        <f t="shared" si="11"/>
        <v>111</v>
      </c>
      <c r="R29" s="705" t="s">
        <v>18</v>
      </c>
      <c r="S29" s="706">
        <f t="shared" si="12"/>
        <v>100</v>
      </c>
      <c r="T29" s="705" t="s">
        <v>18</v>
      </c>
      <c r="U29" s="706">
        <f t="shared" si="13"/>
        <v>100</v>
      </c>
      <c r="V29" s="705" t="s">
        <v>18</v>
      </c>
      <c r="W29" s="706">
        <f t="shared" si="14"/>
        <v>100</v>
      </c>
      <c r="X29" s="1355"/>
      <c r="Y29" s="3692"/>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90"/>
      <c r="Q30" s="1352">
        <f t="shared" si="11"/>
        <v>111</v>
      </c>
      <c r="R30" s="705" t="s">
        <v>18</v>
      </c>
      <c r="S30" s="706">
        <f t="shared" si="12"/>
        <v>100</v>
      </c>
      <c r="T30" s="705" t="s">
        <v>18</v>
      </c>
      <c r="U30" s="706">
        <f t="shared" si="13"/>
        <v>100</v>
      </c>
      <c r="V30" s="705" t="s">
        <v>18</v>
      </c>
      <c r="W30" s="706">
        <f t="shared" si="14"/>
        <v>100</v>
      </c>
      <c r="X30" s="1355"/>
      <c r="Y30" s="3692"/>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90"/>
      <c r="Q31" s="1352">
        <f t="shared" si="11"/>
        <v>111</v>
      </c>
      <c r="R31" s="705" t="s">
        <v>18</v>
      </c>
      <c r="S31" s="706">
        <f t="shared" si="12"/>
        <v>100</v>
      </c>
      <c r="T31" s="705" t="s">
        <v>18</v>
      </c>
      <c r="U31" s="706">
        <f t="shared" si="13"/>
        <v>100</v>
      </c>
      <c r="V31" s="705" t="s">
        <v>18</v>
      </c>
      <c r="W31" s="706">
        <f t="shared" si="14"/>
        <v>100</v>
      </c>
      <c r="X31" s="1355"/>
      <c r="Y31" s="3692"/>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93" t="s">
        <v>1696</v>
      </c>
      <c r="Q32" s="1352" t="str">
        <f t="shared" si="11"/>
        <v>建筑类型</v>
      </c>
      <c r="R32" s="705" t="s">
        <v>18</v>
      </c>
      <c r="S32" s="706">
        <f t="shared" si="12"/>
        <v>100</v>
      </c>
      <c r="T32" s="705" t="s">
        <v>18</v>
      </c>
      <c r="U32" s="706">
        <f t="shared" si="13"/>
        <v>100</v>
      </c>
      <c r="V32" s="705" t="s">
        <v>18</v>
      </c>
      <c r="W32" s="706">
        <f t="shared" si="14"/>
        <v>100</v>
      </c>
      <c r="X32" s="1355"/>
      <c r="Y32" s="3696"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94"/>
      <c r="Q33" s="707" t="str">
        <f t="shared" si="11"/>
        <v>项目建筑规模</v>
      </c>
      <c r="R33" s="708" t="s">
        <v>18</v>
      </c>
      <c r="S33" s="709" t="e">
        <f t="shared" si="12"/>
        <v>#N/A</v>
      </c>
      <c r="T33" s="708" t="s">
        <v>18</v>
      </c>
      <c r="U33" s="709" t="e">
        <f t="shared" si="13"/>
        <v>#N/A</v>
      </c>
      <c r="V33" s="708" t="s">
        <v>18</v>
      </c>
      <c r="W33" s="709" t="e">
        <f t="shared" si="14"/>
        <v>#N/A</v>
      </c>
      <c r="X33" s="710"/>
      <c r="Y33" s="3696"/>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94"/>
      <c r="Q34" s="1352" t="str">
        <f t="shared" si="11"/>
        <v>建筑结构</v>
      </c>
      <c r="R34" s="705" t="s">
        <v>18</v>
      </c>
      <c r="S34" s="706">
        <f t="shared" si="12"/>
        <v>100</v>
      </c>
      <c r="T34" s="705" t="s">
        <v>18</v>
      </c>
      <c r="U34" s="706">
        <f t="shared" si="13"/>
        <v>100</v>
      </c>
      <c r="V34" s="705" t="s">
        <v>18</v>
      </c>
      <c r="W34" s="706">
        <f t="shared" si="14"/>
        <v>100</v>
      </c>
      <c r="X34" s="1355"/>
      <c r="Y34" s="3696"/>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94"/>
      <c r="Q35" s="1352" t="str">
        <f t="shared" si="11"/>
        <v>建筑品质</v>
      </c>
      <c r="R35" s="705" t="s">
        <v>18</v>
      </c>
      <c r="S35" s="706">
        <f t="shared" si="12"/>
        <v>100</v>
      </c>
      <c r="T35" s="705" t="s">
        <v>18</v>
      </c>
      <c r="U35" s="706">
        <f t="shared" si="13"/>
        <v>100</v>
      </c>
      <c r="V35" s="705" t="s">
        <v>18</v>
      </c>
      <c r="W35" s="706">
        <f t="shared" si="14"/>
        <v>100</v>
      </c>
      <c r="X35" s="1355"/>
      <c r="Y35" s="3696"/>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94"/>
      <c r="Q36" s="1352" t="str">
        <f t="shared" si="11"/>
        <v>公共部分装修</v>
      </c>
      <c r="R36" s="705" t="s">
        <v>18</v>
      </c>
      <c r="S36" s="706">
        <f t="shared" si="12"/>
        <v>100</v>
      </c>
      <c r="T36" s="705" t="s">
        <v>18</v>
      </c>
      <c r="U36" s="706">
        <f t="shared" si="13"/>
        <v>100</v>
      </c>
      <c r="V36" s="705" t="s">
        <v>18</v>
      </c>
      <c r="W36" s="706">
        <f t="shared" si="14"/>
        <v>100</v>
      </c>
      <c r="X36" s="1355"/>
      <c r="Y36" s="3696"/>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94"/>
      <c r="Q37" s="1343" t="str">
        <f t="shared" si="11"/>
        <v>成新度</v>
      </c>
      <c r="R37" s="701" t="s">
        <v>18</v>
      </c>
      <c r="S37" s="702" t="e">
        <f t="shared" si="12"/>
        <v>#N/A</v>
      </c>
      <c r="T37" s="701" t="s">
        <v>18</v>
      </c>
      <c r="U37" s="702" t="e">
        <f t="shared" si="13"/>
        <v>#N/A</v>
      </c>
      <c r="V37" s="701" t="s">
        <v>18</v>
      </c>
      <c r="W37" s="702" t="e">
        <f t="shared" si="14"/>
        <v>#N/A</v>
      </c>
      <c r="X37" s="703"/>
      <c r="Y37" s="3696"/>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94" t="s">
        <v>1696</v>
      </c>
      <c r="Q38" s="1352" t="str">
        <f t="shared" si="11"/>
        <v>物业管理</v>
      </c>
      <c r="R38" s="705" t="s">
        <v>18</v>
      </c>
      <c r="S38" s="706">
        <f t="shared" si="12"/>
        <v>100</v>
      </c>
      <c r="T38" s="705" t="s">
        <v>18</v>
      </c>
      <c r="U38" s="706">
        <f t="shared" si="13"/>
        <v>100</v>
      </c>
      <c r="V38" s="705" t="s">
        <v>18</v>
      </c>
      <c r="W38" s="706">
        <f t="shared" si="14"/>
        <v>100</v>
      </c>
      <c r="X38" s="1355"/>
      <c r="Y38" s="3696"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94"/>
      <c r="Q39" s="1352" t="str">
        <f t="shared" si="11"/>
        <v>市政基础设施</v>
      </c>
      <c r="R39" s="705" t="s">
        <v>18</v>
      </c>
      <c r="S39" s="706">
        <f t="shared" si="12"/>
        <v>100</v>
      </c>
      <c r="T39" s="705" t="s">
        <v>18</v>
      </c>
      <c r="U39" s="706">
        <f t="shared" si="13"/>
        <v>100</v>
      </c>
      <c r="V39" s="705" t="s">
        <v>18</v>
      </c>
      <c r="W39" s="706">
        <f t="shared" si="14"/>
        <v>100</v>
      </c>
      <c r="X39" s="1355"/>
      <c r="Y39" s="3696"/>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94"/>
      <c r="Q40" s="1352" t="str">
        <f t="shared" si="11"/>
        <v>房型</v>
      </c>
      <c r="R40" s="705" t="s">
        <v>18</v>
      </c>
      <c r="S40" s="706">
        <f t="shared" si="12"/>
        <v>100</v>
      </c>
      <c r="T40" s="705" t="s">
        <v>18</v>
      </c>
      <c r="U40" s="706">
        <f t="shared" si="13"/>
        <v>100</v>
      </c>
      <c r="V40" s="705" t="s">
        <v>18</v>
      </c>
      <c r="W40" s="706">
        <f t="shared" si="14"/>
        <v>100</v>
      </c>
      <c r="X40" s="1355"/>
      <c r="Y40" s="3696"/>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94"/>
      <c r="Q41" s="707" t="str">
        <f t="shared" si="11"/>
        <v>单套/主力户型建筑面积</v>
      </c>
      <c r="R41" s="708" t="s">
        <v>18</v>
      </c>
      <c r="S41" s="709">
        <f t="shared" si="12"/>
        <v>100</v>
      </c>
      <c r="T41" s="708" t="s">
        <v>18</v>
      </c>
      <c r="U41" s="709">
        <f t="shared" si="13"/>
        <v>100</v>
      </c>
      <c r="V41" s="708" t="s">
        <v>18</v>
      </c>
      <c r="W41" s="709">
        <f t="shared" si="14"/>
        <v>100</v>
      </c>
      <c r="X41" s="710"/>
      <c r="Y41" s="3696"/>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94"/>
      <c r="Q42" s="1352" t="str">
        <f t="shared" si="11"/>
        <v>内部装修</v>
      </c>
      <c r="R42" s="705" t="s">
        <v>18</v>
      </c>
      <c r="S42" s="706">
        <f t="shared" si="12"/>
        <v>100</v>
      </c>
      <c r="T42" s="705" t="s">
        <v>18</v>
      </c>
      <c r="U42" s="706">
        <f t="shared" si="13"/>
        <v>100</v>
      </c>
      <c r="V42" s="705" t="s">
        <v>18</v>
      </c>
      <c r="W42" s="706">
        <f t="shared" si="14"/>
        <v>100</v>
      </c>
      <c r="X42" s="1355"/>
      <c r="Y42" s="3696"/>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94"/>
      <c r="Q43" s="1352" t="str">
        <f t="shared" si="11"/>
        <v>内部装修维护情况</v>
      </c>
      <c r="R43" s="705" t="s">
        <v>18</v>
      </c>
      <c r="S43" s="706">
        <f t="shared" si="12"/>
        <v>100</v>
      </c>
      <c r="T43" s="705" t="s">
        <v>18</v>
      </c>
      <c r="U43" s="706">
        <f t="shared" si="13"/>
        <v>100</v>
      </c>
      <c r="V43" s="705" t="s">
        <v>18</v>
      </c>
      <c r="W43" s="706">
        <f t="shared" si="14"/>
        <v>100</v>
      </c>
      <c r="X43" s="1355"/>
      <c r="Y43" s="3696"/>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94"/>
      <c r="Q44" s="1343">
        <f t="shared" si="11"/>
        <v>111</v>
      </c>
      <c r="R44" s="701" t="s">
        <v>18</v>
      </c>
      <c r="S44" s="702">
        <f t="shared" si="12"/>
        <v>100</v>
      </c>
      <c r="T44" s="701" t="s">
        <v>18</v>
      </c>
      <c r="U44" s="702">
        <f t="shared" si="13"/>
        <v>100</v>
      </c>
      <c r="V44" s="701" t="s">
        <v>18</v>
      </c>
      <c r="W44" s="702">
        <f t="shared" si="14"/>
        <v>100</v>
      </c>
      <c r="X44" s="703"/>
      <c r="Y44" s="3696"/>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94"/>
      <c r="Q45" s="1352">
        <f t="shared" si="11"/>
        <v>111</v>
      </c>
      <c r="R45" s="705" t="s">
        <v>18</v>
      </c>
      <c r="S45" s="706">
        <f t="shared" si="12"/>
        <v>100</v>
      </c>
      <c r="T45" s="705" t="s">
        <v>18</v>
      </c>
      <c r="U45" s="706">
        <f t="shared" si="13"/>
        <v>100</v>
      </c>
      <c r="V45" s="705" t="s">
        <v>18</v>
      </c>
      <c r="W45" s="706">
        <f t="shared" si="14"/>
        <v>100</v>
      </c>
      <c r="X45" s="1355"/>
      <c r="Y45" s="3696"/>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95"/>
      <c r="Q46" s="1352">
        <f t="shared" si="11"/>
        <v>111</v>
      </c>
      <c r="R46" s="705" t="s">
        <v>17</v>
      </c>
      <c r="S46" s="706">
        <f t="shared" si="12"/>
        <v>100</v>
      </c>
      <c r="T46" s="705" t="s">
        <v>17</v>
      </c>
      <c r="U46" s="706">
        <f t="shared" si="13"/>
        <v>100</v>
      </c>
      <c r="V46" s="705" t="s">
        <v>17</v>
      </c>
      <c r="W46" s="706">
        <f t="shared" si="14"/>
        <v>100</v>
      </c>
      <c r="X46" s="1355"/>
      <c r="Y46" s="3697"/>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84" t="str">
        <f>A47</f>
        <v>成交单价（元/平方米）</v>
      </c>
      <c r="Q47" s="3684"/>
      <c r="R47" s="3685">
        <f>E47</f>
        <v>0</v>
      </c>
      <c r="S47" s="3685"/>
      <c r="T47" s="3685">
        <f>G47</f>
        <v>0</v>
      </c>
      <c r="U47" s="3685"/>
      <c r="V47" s="3685">
        <f>I47</f>
        <v>0</v>
      </c>
      <c r="W47" s="3685"/>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684" t="str">
        <f>A48</f>
        <v>比较价值（元/平方米）</v>
      </c>
      <c r="Q48" s="3684"/>
      <c r="R48" s="3685" t="e">
        <f>IF(F1="售价",ROUND(PRODUCT(R47,AA7:AA46),0),ROUND(PRODUCT(R47,AA7:AA46),1))</f>
        <v>#DIV/0!</v>
      </c>
      <c r="S48" s="3685"/>
      <c r="T48" s="3685" t="e">
        <f>IF(F1="售价",ROUND(PRODUCT(T47,AB7:AB46),0),ROUND(PRODUCT(T47,AB7:AB46),1))</f>
        <v>#DIV/0!</v>
      </c>
      <c r="U48" s="3685"/>
      <c r="V48" s="3685" t="e">
        <f>IF(F1="售价",ROUND(PRODUCT(V47,AC7:AC46),0),ROUND(PRODUCT(V47,AC7:AC46),1))</f>
        <v>#DIV/0!</v>
      </c>
      <c r="W48" s="3685"/>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60" t="str">
        <f>A49</f>
        <v>估价对象XX用房的比较价值（楼面单价，元/平方米）</v>
      </c>
      <c r="Q49" s="3761"/>
      <c r="R49" s="3762" t="e">
        <f>IF(F1="售价",ROUND(IF(D48="简单平均",AVERAGE(R48:V48),R48*F48+T48*H48+V48*J48),0),ROUND(IF(D48="简单平均",AVERAGE(R48:V48),R48*F48+T48*H48+V48*J48),1))</f>
        <v>#DIV/0!</v>
      </c>
      <c r="S49" s="3762"/>
      <c r="T49" s="3762"/>
      <c r="U49" s="3762"/>
      <c r="V49" s="3762"/>
      <c r="W49" s="3762"/>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2023-1</v>
      </c>
      <c r="D58" s="1185">
        <f>EDATE(C58,-1)</f>
        <v>44896</v>
      </c>
      <c r="E58" s="1185">
        <f>EDATE(D58,-1)</f>
        <v>44866</v>
      </c>
      <c r="F58" s="1185">
        <f t="shared" ref="F58:O58" si="19">EDATE(E58,-1)</f>
        <v>44835</v>
      </c>
      <c r="G58" s="1185">
        <f t="shared" si="19"/>
        <v>44805</v>
      </c>
      <c r="H58" s="1185">
        <f t="shared" si="19"/>
        <v>44774</v>
      </c>
      <c r="I58" s="1185">
        <f t="shared" si="19"/>
        <v>44743</v>
      </c>
      <c r="J58" s="1185">
        <f t="shared" si="19"/>
        <v>44713</v>
      </c>
      <c r="K58" s="1185">
        <f t="shared" si="19"/>
        <v>44682</v>
      </c>
      <c r="L58" s="1185">
        <f t="shared" si="19"/>
        <v>44652</v>
      </c>
      <c r="M58" s="1185">
        <f t="shared" si="19"/>
        <v>44621</v>
      </c>
      <c r="N58" s="1185">
        <f t="shared" si="19"/>
        <v>44593</v>
      </c>
      <c r="O58" s="1185">
        <f t="shared" si="19"/>
        <v>44562</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0" priority="19" stopIfTrue="1" operator="containsText" text="超过">
      <formula>NOT(ISERROR(SEARCH("超过",F52)))</formula>
    </cfRule>
  </conditionalFormatting>
  <conditionalFormatting sqref="J54">
    <cfRule type="containsText" dxfId="129" priority="18" stopIfTrue="1" operator="containsText" text="超过">
      <formula>NOT(ISERROR(SEARCH("超过",J54)))</formula>
    </cfRule>
  </conditionalFormatting>
  <conditionalFormatting sqref="H54">
    <cfRule type="containsText" dxfId="128" priority="17" stopIfTrue="1" operator="containsText" text="超过">
      <formula>NOT(ISERROR(SEARCH("超过",H54)))</formula>
    </cfRule>
  </conditionalFormatting>
  <conditionalFormatting sqref="F54">
    <cfRule type="containsText" dxfId="127" priority="16" stopIfTrue="1" operator="containsText" text="超过">
      <formula>NOT(ISERROR(SEARCH("超过",F54)))</formula>
    </cfRule>
  </conditionalFormatting>
  <conditionalFormatting sqref="F53 H53 J53">
    <cfRule type="containsText" dxfId="126" priority="15" stopIfTrue="1" operator="containsText" text="超过">
      <formula>NOT(ISERROR(SEARCH("超过",F53)))</formula>
    </cfRule>
  </conditionalFormatting>
  <conditionalFormatting sqref="E52">
    <cfRule type="expression" dxfId="125" priority="14" stopIfTrue="1">
      <formula>$F$52="超过30%"</formula>
    </cfRule>
  </conditionalFormatting>
  <conditionalFormatting sqref="G54">
    <cfRule type="expression" dxfId="124" priority="12" stopIfTrue="1">
      <formula>$H$54="超过30%"</formula>
    </cfRule>
  </conditionalFormatting>
  <conditionalFormatting sqref="E53">
    <cfRule type="expression" dxfId="123" priority="11" stopIfTrue="1">
      <formula>$F$53="超过20%"</formula>
    </cfRule>
  </conditionalFormatting>
  <conditionalFormatting sqref="E54">
    <cfRule type="expression" dxfId="122" priority="10" stopIfTrue="1">
      <formula>$F$54="超过30%"</formula>
    </cfRule>
  </conditionalFormatting>
  <conditionalFormatting sqref="G52">
    <cfRule type="expression" dxfId="121" priority="9" stopIfTrue="1">
      <formula>$H$52="超过30%"</formula>
    </cfRule>
  </conditionalFormatting>
  <conditionalFormatting sqref="G53">
    <cfRule type="expression" dxfId="120" priority="8" stopIfTrue="1">
      <formula>$H$53="超过20%"</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7"/>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10268.669999999998</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701" t="s">
        <v>1770</v>
      </c>
      <c r="D4" s="3702"/>
      <c r="E4" s="3703" t="s">
        <v>1771</v>
      </c>
      <c r="F4" s="3704"/>
      <c r="G4" s="3701" t="s">
        <v>1772</v>
      </c>
      <c r="H4" s="3702"/>
      <c r="I4" s="3701" t="s">
        <v>1773</v>
      </c>
      <c r="J4" s="3702"/>
      <c r="K4" s="559" t="s">
        <v>1774</v>
      </c>
      <c r="L4" s="2715"/>
      <c r="M4" s="2716"/>
      <c r="N4" s="2716"/>
      <c r="O4" s="2716"/>
      <c r="P4" s="3764" t="s">
        <v>1775</v>
      </c>
      <c r="Q4" s="3765"/>
      <c r="R4" s="3768" t="s">
        <v>1771</v>
      </c>
      <c r="S4" s="3769"/>
      <c r="T4" s="3768" t="s">
        <v>1772</v>
      </c>
      <c r="U4" s="3769"/>
      <c r="V4" s="3718" t="s">
        <v>1773</v>
      </c>
      <c r="W4" s="3718"/>
      <c r="X4" s="1355"/>
      <c r="Y4" s="3768" t="s">
        <v>1775</v>
      </c>
      <c r="Z4" s="3769"/>
      <c r="AA4" s="3763" t="s">
        <v>1771</v>
      </c>
      <c r="AB4" s="3718" t="s">
        <v>1772</v>
      </c>
      <c r="AC4" s="3763" t="s">
        <v>1773</v>
      </c>
    </row>
    <row r="5" spans="1:29" ht="15">
      <c r="A5" s="358"/>
      <c r="B5" s="359"/>
      <c r="C5" s="3721" t="s">
        <v>1673</v>
      </c>
      <c r="D5" s="3722"/>
      <c r="E5" s="3732" t="s">
        <v>1674</v>
      </c>
      <c r="F5" s="3733"/>
      <c r="G5" s="3721" t="s">
        <v>1675</v>
      </c>
      <c r="H5" s="3722"/>
      <c r="I5" s="3721" t="s">
        <v>1676</v>
      </c>
      <c r="J5" s="3722"/>
      <c r="K5" s="559"/>
      <c r="L5" s="2715"/>
      <c r="M5" s="2716"/>
      <c r="N5" s="2716"/>
      <c r="O5" s="2716"/>
      <c r="P5" s="3766"/>
      <c r="Q5" s="3708"/>
      <c r="R5" s="3713"/>
      <c r="S5" s="3714"/>
      <c r="T5" s="3713"/>
      <c r="U5" s="3714"/>
      <c r="V5" s="3718"/>
      <c r="W5" s="3718"/>
      <c r="X5" s="1355"/>
      <c r="Y5" s="3713"/>
      <c r="Z5" s="3714"/>
      <c r="AA5" s="3730"/>
      <c r="AB5" s="3718"/>
      <c r="AC5" s="3730"/>
    </row>
    <row r="6" spans="1:29" ht="15.75" thickBot="1">
      <c r="A6" s="360"/>
      <c r="B6" s="361"/>
      <c r="C6" s="3719" t="s">
        <v>1677</v>
      </c>
      <c r="D6" s="3720"/>
      <c r="E6" s="3727" t="s">
        <v>1677</v>
      </c>
      <c r="F6" s="3728"/>
      <c r="G6" s="3719" t="s">
        <v>1677</v>
      </c>
      <c r="H6" s="3720"/>
      <c r="I6" s="3719" t="s">
        <v>1677</v>
      </c>
      <c r="J6" s="3720"/>
      <c r="K6" s="559" t="s">
        <v>1678</v>
      </c>
      <c r="L6" s="2715"/>
      <c r="M6" s="2716"/>
      <c r="N6" s="2716"/>
      <c r="O6" s="2716"/>
      <c r="P6" s="3767"/>
      <c r="Q6" s="3710"/>
      <c r="R6" s="3713"/>
      <c r="S6" s="3714"/>
      <c r="T6" s="3715"/>
      <c r="U6" s="3716"/>
      <c r="V6" s="3718"/>
      <c r="W6" s="3718"/>
      <c r="X6" s="1355"/>
      <c r="Y6" s="3715"/>
      <c r="Z6" s="3716"/>
      <c r="AA6" s="3731"/>
      <c r="AB6" s="3718"/>
      <c r="AC6" s="3731"/>
    </row>
    <row r="7" spans="1:29" s="108" customFormat="1" ht="15.75" thickBot="1">
      <c r="A7" s="362" t="s">
        <v>1679</v>
      </c>
      <c r="B7" s="363"/>
      <c r="C7" s="364">
        <f>'数据-取费表'!B2</f>
        <v>44937</v>
      </c>
      <c r="D7" s="365">
        <v>100</v>
      </c>
      <c r="E7" s="366"/>
      <c r="F7" s="367">
        <f>SUMIF(58:58,YEAR(E7)&amp;"-"&amp;MONTH(E7),59:59)</f>
        <v>0</v>
      </c>
      <c r="G7" s="366"/>
      <c r="H7" s="365">
        <f>SUMIF(58:58,YEAR(G7)&amp;"-"&amp;MONTH(G7),59:59)</f>
        <v>0</v>
      </c>
      <c r="I7" s="366"/>
      <c r="J7" s="365">
        <f>SUMIF(58:58,YEAR(I7)&amp;"-"&amp;MONTH(I7),59:59)</f>
        <v>0</v>
      </c>
      <c r="K7" s="560"/>
      <c r="L7" s="2717"/>
      <c r="M7" s="2718"/>
      <c r="N7" s="2718"/>
      <c r="O7" s="2718"/>
      <c r="P7" s="3725" t="s">
        <v>1680</v>
      </c>
      <c r="Q7" s="3726"/>
      <c r="R7" s="701" t="s">
        <v>14</v>
      </c>
      <c r="S7" s="702">
        <f t="shared" ref="S7:S15" si="0">F7</f>
        <v>0</v>
      </c>
      <c r="T7" s="701" t="s">
        <v>14</v>
      </c>
      <c r="U7" s="702">
        <f t="shared" ref="U7:U15" si="1">H7</f>
        <v>0</v>
      </c>
      <c r="V7" s="701" t="s">
        <v>14</v>
      </c>
      <c r="W7" s="702">
        <f t="shared" ref="W7:W15" si="2">J7</f>
        <v>0</v>
      </c>
      <c r="X7" s="703"/>
      <c r="Y7" s="3725" t="s">
        <v>1680</v>
      </c>
      <c r="Z7" s="3724"/>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725" t="s">
        <v>1683</v>
      </c>
      <c r="Q8" s="3724"/>
      <c r="R8" s="701" t="s">
        <v>14</v>
      </c>
      <c r="S8" s="702">
        <f t="shared" si="0"/>
        <v>100</v>
      </c>
      <c r="T8" s="701" t="s">
        <v>14</v>
      </c>
      <c r="U8" s="702">
        <f t="shared" si="1"/>
        <v>100</v>
      </c>
      <c r="V8" s="701" t="s">
        <v>14</v>
      </c>
      <c r="W8" s="702">
        <f t="shared" si="2"/>
        <v>100</v>
      </c>
      <c r="X8" s="703"/>
      <c r="Y8" s="3725" t="s">
        <v>1683</v>
      </c>
      <c r="Z8" s="3724"/>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83"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435"/>
      <c r="D10" s="127">
        <v>100</v>
      </c>
      <c r="E10" s="3436"/>
      <c r="F10" s="376">
        <f>SUMIF(65:65,E10,66:66)-SUMIF(65:65,C10,66:66)+100</f>
        <v>100</v>
      </c>
      <c r="G10" s="3435"/>
      <c r="H10" s="127">
        <f>SUMIF(65:65,G10,66:66)-SUMIF(65:65,C10,66:66)+100</f>
        <v>100</v>
      </c>
      <c r="I10" s="3435"/>
      <c r="J10" s="127">
        <f>SUMIF(65:65,I10,66:66)-SUMIF(65:65,C10,66:66)+100</f>
        <v>100</v>
      </c>
      <c r="K10" s="560"/>
      <c r="L10" s="2719"/>
      <c r="M10" s="2720"/>
      <c r="N10" s="2720"/>
      <c r="O10" s="2720"/>
      <c r="P10" s="3683"/>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83"/>
      <c r="Q11" s="1343" t="str">
        <f t="shared" si="6"/>
        <v>容积率</v>
      </c>
      <c r="R11" s="701" t="s">
        <v>14</v>
      </c>
      <c r="S11" s="702" t="e">
        <f t="shared" si="0"/>
        <v>#N/A</v>
      </c>
      <c r="T11" s="701" t="s">
        <v>14</v>
      </c>
      <c r="U11" s="702" t="e">
        <f t="shared" si="1"/>
        <v>#N/A</v>
      </c>
      <c r="V11" s="701" t="s">
        <v>14</v>
      </c>
      <c r="W11" s="702" t="e">
        <f t="shared" si="2"/>
        <v>#N/A</v>
      </c>
      <c r="X11" s="703"/>
      <c r="Y11" s="3568"/>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83"/>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83"/>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83"/>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89" t="s">
        <v>1691</v>
      </c>
      <c r="Q15" s="1352" t="str">
        <f t="shared" si="6"/>
        <v>商业繁华度</v>
      </c>
      <c r="R15" s="705" t="s">
        <v>14</v>
      </c>
      <c r="S15" s="706">
        <f t="shared" si="0"/>
        <v>100</v>
      </c>
      <c r="T15" s="705" t="s">
        <v>14</v>
      </c>
      <c r="U15" s="706">
        <f t="shared" si="1"/>
        <v>100</v>
      </c>
      <c r="V15" s="705" t="s">
        <v>14</v>
      </c>
      <c r="W15" s="706">
        <f t="shared" si="2"/>
        <v>100</v>
      </c>
      <c r="X15" s="1355"/>
      <c r="Y15" s="3691"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90"/>
      <c r="Q16" s="1352"/>
      <c r="R16" s="705"/>
      <c r="S16" s="706"/>
      <c r="T16" s="705"/>
      <c r="U16" s="706"/>
      <c r="V16" s="705"/>
      <c r="W16" s="706"/>
      <c r="X16" s="1355"/>
      <c r="Y16" s="3692"/>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90"/>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90"/>
      <c r="Q18" s="1352"/>
      <c r="R18" s="705"/>
      <c r="S18" s="706"/>
      <c r="T18" s="705"/>
      <c r="U18" s="706"/>
      <c r="V18" s="705"/>
      <c r="W18" s="706"/>
      <c r="X18" s="1355"/>
      <c r="Y18" s="3692"/>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90"/>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90"/>
      <c r="Q20" s="1352"/>
      <c r="R20" s="705"/>
      <c r="S20" s="706"/>
      <c r="T20" s="705"/>
      <c r="U20" s="706"/>
      <c r="V20" s="705"/>
      <c r="W20" s="706"/>
      <c r="X20" s="1355"/>
      <c r="Y20" s="3692"/>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90"/>
      <c r="Q22" s="1352"/>
      <c r="R22" s="705"/>
      <c r="S22" s="706"/>
      <c r="T22" s="705"/>
      <c r="U22" s="706"/>
      <c r="V22" s="705"/>
      <c r="W22" s="706"/>
      <c r="X22" s="1355"/>
      <c r="Y22" s="3692"/>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90"/>
      <c r="Q23" s="1352" t="str">
        <f>B23</f>
        <v>自然及人文环境</v>
      </c>
      <c r="R23" s="705" t="s">
        <v>14</v>
      </c>
      <c r="S23" s="706">
        <f>F23</f>
        <v>100</v>
      </c>
      <c r="T23" s="705" t="s">
        <v>14</v>
      </c>
      <c r="U23" s="706">
        <f>H23</f>
        <v>100</v>
      </c>
      <c r="V23" s="705" t="s">
        <v>14</v>
      </c>
      <c r="W23" s="706">
        <f>J23</f>
        <v>100</v>
      </c>
      <c r="X23" s="1355"/>
      <c r="Y23" s="3692"/>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90"/>
      <c r="Q24" s="1352"/>
      <c r="R24" s="705"/>
      <c r="S24" s="706"/>
      <c r="T24" s="705"/>
      <c r="U24" s="706"/>
      <c r="V24" s="705"/>
      <c r="W24" s="706"/>
      <c r="X24" s="1355"/>
      <c r="Y24" s="3692"/>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90"/>
      <c r="Q25" s="1352" t="str">
        <f t="shared" ref="Q25:Q46" si="11">B25</f>
        <v>临街状况</v>
      </c>
      <c r="R25" s="705" t="s">
        <v>14</v>
      </c>
      <c r="S25" s="706">
        <f>F25</f>
        <v>100</v>
      </c>
      <c r="T25" s="705" t="s">
        <v>14</v>
      </c>
      <c r="U25" s="706">
        <f>H25</f>
        <v>100</v>
      </c>
      <c r="V25" s="705" t="s">
        <v>14</v>
      </c>
      <c r="W25" s="706">
        <f>J25</f>
        <v>100</v>
      </c>
      <c r="X25" s="1355"/>
      <c r="Y25" s="3692"/>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90"/>
      <c r="Q26" s="1352" t="str">
        <f t="shared" si="11"/>
        <v>平面位置/可视性</v>
      </c>
      <c r="R26" s="705" t="s">
        <v>14</v>
      </c>
      <c r="S26" s="706">
        <f>F26</f>
        <v>100</v>
      </c>
      <c r="T26" s="705" t="s">
        <v>14</v>
      </c>
      <c r="U26" s="706">
        <f>H26</f>
        <v>100</v>
      </c>
      <c r="V26" s="705" t="s">
        <v>14</v>
      </c>
      <c r="W26" s="706">
        <f>J26</f>
        <v>100</v>
      </c>
      <c r="X26" s="1355"/>
      <c r="Y26" s="3692"/>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90"/>
      <c r="Q27" s="1343" t="str">
        <f t="shared" si="11"/>
        <v>人流量</v>
      </c>
      <c r="R27" s="701" t="s">
        <v>14</v>
      </c>
      <c r="S27" s="702">
        <f>F27</f>
        <v>100</v>
      </c>
      <c r="T27" s="701" t="s">
        <v>14</v>
      </c>
      <c r="U27" s="702">
        <f>H27</f>
        <v>100</v>
      </c>
      <c r="V27" s="701" t="s">
        <v>14</v>
      </c>
      <c r="W27" s="702">
        <f>J27</f>
        <v>100</v>
      </c>
      <c r="X27" s="703"/>
      <c r="Y27" s="3692"/>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90"/>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92"/>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90"/>
      <c r="Q29" s="1352">
        <f t="shared" si="11"/>
        <v>111</v>
      </c>
      <c r="R29" s="705" t="s">
        <v>14</v>
      </c>
      <c r="S29" s="706">
        <f t="shared" si="12"/>
        <v>100</v>
      </c>
      <c r="T29" s="705" t="s">
        <v>14</v>
      </c>
      <c r="U29" s="706">
        <f t="shared" si="13"/>
        <v>100</v>
      </c>
      <c r="V29" s="705" t="s">
        <v>14</v>
      </c>
      <c r="W29" s="706">
        <f t="shared" si="14"/>
        <v>100</v>
      </c>
      <c r="X29" s="1355"/>
      <c r="Y29" s="3692"/>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90"/>
      <c r="Q30" s="1352">
        <f t="shared" si="11"/>
        <v>111</v>
      </c>
      <c r="R30" s="705" t="s">
        <v>14</v>
      </c>
      <c r="S30" s="706">
        <f t="shared" si="12"/>
        <v>100</v>
      </c>
      <c r="T30" s="705" t="s">
        <v>14</v>
      </c>
      <c r="U30" s="706">
        <f t="shared" si="13"/>
        <v>100</v>
      </c>
      <c r="V30" s="705" t="s">
        <v>14</v>
      </c>
      <c r="W30" s="706">
        <f t="shared" si="14"/>
        <v>100</v>
      </c>
      <c r="X30" s="1355"/>
      <c r="Y30" s="3692"/>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90"/>
      <c r="Q31" s="1352">
        <f t="shared" si="11"/>
        <v>111</v>
      </c>
      <c r="R31" s="705" t="s">
        <v>14</v>
      </c>
      <c r="S31" s="706">
        <f t="shared" si="12"/>
        <v>100</v>
      </c>
      <c r="T31" s="705" t="s">
        <v>14</v>
      </c>
      <c r="U31" s="706">
        <f t="shared" si="13"/>
        <v>100</v>
      </c>
      <c r="V31" s="705" t="s">
        <v>14</v>
      </c>
      <c r="W31" s="706">
        <f t="shared" si="14"/>
        <v>100</v>
      </c>
      <c r="X31" s="1355"/>
      <c r="Y31" s="3692"/>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93" t="s">
        <v>1696</v>
      </c>
      <c r="Q32" s="1352" t="str">
        <f t="shared" si="11"/>
        <v>商业类型</v>
      </c>
      <c r="R32" s="705" t="s">
        <v>14</v>
      </c>
      <c r="S32" s="706">
        <f t="shared" si="12"/>
        <v>100</v>
      </c>
      <c r="T32" s="705" t="s">
        <v>14</v>
      </c>
      <c r="U32" s="706">
        <f t="shared" si="13"/>
        <v>100</v>
      </c>
      <c r="V32" s="705" t="s">
        <v>14</v>
      </c>
      <c r="W32" s="706">
        <f t="shared" si="14"/>
        <v>100</v>
      </c>
      <c r="X32" s="1355"/>
      <c r="Y32" s="3696"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94"/>
      <c r="Q33" s="707" t="str">
        <f t="shared" si="11"/>
        <v>项目建筑规模</v>
      </c>
      <c r="R33" s="708" t="s">
        <v>14</v>
      </c>
      <c r="S33" s="709" t="e">
        <f t="shared" si="12"/>
        <v>#N/A</v>
      </c>
      <c r="T33" s="708" t="s">
        <v>14</v>
      </c>
      <c r="U33" s="709" t="e">
        <f t="shared" si="13"/>
        <v>#N/A</v>
      </c>
      <c r="V33" s="708" t="s">
        <v>14</v>
      </c>
      <c r="W33" s="709" t="e">
        <f t="shared" si="14"/>
        <v>#N/A</v>
      </c>
      <c r="X33" s="710"/>
      <c r="Y33" s="3696"/>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94"/>
      <c r="Q34" s="1352" t="str">
        <f t="shared" si="11"/>
        <v>建筑结构</v>
      </c>
      <c r="R34" s="705" t="s">
        <v>14</v>
      </c>
      <c r="S34" s="706">
        <f t="shared" si="12"/>
        <v>100</v>
      </c>
      <c r="T34" s="705" t="s">
        <v>14</v>
      </c>
      <c r="U34" s="706">
        <f t="shared" si="13"/>
        <v>100</v>
      </c>
      <c r="V34" s="705" t="s">
        <v>14</v>
      </c>
      <c r="W34" s="706">
        <f t="shared" si="14"/>
        <v>100</v>
      </c>
      <c r="X34" s="1355"/>
      <c r="Y34" s="3696"/>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94"/>
      <c r="Q35" s="1352" t="str">
        <f t="shared" si="11"/>
        <v>公共部分装修</v>
      </c>
      <c r="R35" s="705" t="s">
        <v>14</v>
      </c>
      <c r="S35" s="706">
        <f t="shared" si="12"/>
        <v>100</v>
      </c>
      <c r="T35" s="705" t="s">
        <v>14</v>
      </c>
      <c r="U35" s="706">
        <f t="shared" si="13"/>
        <v>100</v>
      </c>
      <c r="V35" s="705" t="s">
        <v>14</v>
      </c>
      <c r="W35" s="706">
        <f t="shared" si="14"/>
        <v>100</v>
      </c>
      <c r="X35" s="1355"/>
      <c r="Y35" s="3696"/>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94"/>
      <c r="Q36" s="1352" t="str">
        <f t="shared" si="11"/>
        <v>成新度</v>
      </c>
      <c r="R36" s="705" t="s">
        <v>14</v>
      </c>
      <c r="S36" s="706" t="e">
        <f t="shared" si="12"/>
        <v>#N/A</v>
      </c>
      <c r="T36" s="705" t="s">
        <v>14</v>
      </c>
      <c r="U36" s="706" t="e">
        <f t="shared" si="13"/>
        <v>#N/A</v>
      </c>
      <c r="V36" s="705" t="s">
        <v>14</v>
      </c>
      <c r="W36" s="706" t="e">
        <f t="shared" si="14"/>
        <v>#N/A</v>
      </c>
      <c r="X36" s="1355"/>
      <c r="Y36" s="3696"/>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94"/>
      <c r="Q37" s="1343" t="str">
        <f t="shared" si="11"/>
        <v>市政基础设施</v>
      </c>
      <c r="R37" s="701" t="s">
        <v>14</v>
      </c>
      <c r="S37" s="702">
        <f t="shared" si="12"/>
        <v>100</v>
      </c>
      <c r="T37" s="701" t="s">
        <v>14</v>
      </c>
      <c r="U37" s="702">
        <f t="shared" si="13"/>
        <v>100</v>
      </c>
      <c r="V37" s="701" t="s">
        <v>14</v>
      </c>
      <c r="W37" s="702">
        <f t="shared" si="14"/>
        <v>100</v>
      </c>
      <c r="X37" s="703"/>
      <c r="Y37" s="3696"/>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94" t="s">
        <v>1696</v>
      </c>
      <c r="Q38" s="1352" t="str">
        <f t="shared" si="11"/>
        <v>业态</v>
      </c>
      <c r="R38" s="705" t="s">
        <v>14</v>
      </c>
      <c r="S38" s="706">
        <f t="shared" si="12"/>
        <v>100</v>
      </c>
      <c r="T38" s="705" t="s">
        <v>14</v>
      </c>
      <c r="U38" s="706">
        <f t="shared" si="13"/>
        <v>100</v>
      </c>
      <c r="V38" s="705" t="s">
        <v>14</v>
      </c>
      <c r="W38" s="706">
        <f t="shared" si="14"/>
        <v>100</v>
      </c>
      <c r="X38" s="1355"/>
      <c r="Y38" s="3696"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94"/>
      <c r="Q39" s="1352" t="str">
        <f t="shared" si="11"/>
        <v>层高</v>
      </c>
      <c r="R39" s="705" t="s">
        <v>14</v>
      </c>
      <c r="S39" s="706">
        <f t="shared" si="12"/>
        <v>100</v>
      </c>
      <c r="T39" s="705" t="s">
        <v>14</v>
      </c>
      <c r="U39" s="706">
        <f t="shared" si="13"/>
        <v>100</v>
      </c>
      <c r="V39" s="705" t="s">
        <v>14</v>
      </c>
      <c r="W39" s="706">
        <f t="shared" si="14"/>
        <v>100</v>
      </c>
      <c r="X39" s="1355"/>
      <c r="Y39" s="3696"/>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94"/>
      <c r="Q40" s="1352" t="str">
        <f t="shared" si="11"/>
        <v>单套建筑面积</v>
      </c>
      <c r="R40" s="705" t="s">
        <v>14</v>
      </c>
      <c r="S40" s="706">
        <f t="shared" si="12"/>
        <v>100</v>
      </c>
      <c r="T40" s="705" t="s">
        <v>14</v>
      </c>
      <c r="U40" s="706">
        <f t="shared" si="13"/>
        <v>100</v>
      </c>
      <c r="V40" s="705" t="s">
        <v>14</v>
      </c>
      <c r="W40" s="706">
        <f t="shared" si="14"/>
        <v>100</v>
      </c>
      <c r="X40" s="1355"/>
      <c r="Y40" s="3696"/>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94"/>
      <c r="Q41" s="707" t="str">
        <f t="shared" si="11"/>
        <v>进深比</v>
      </c>
      <c r="R41" s="708" t="s">
        <v>14</v>
      </c>
      <c r="S41" s="709">
        <f t="shared" si="12"/>
        <v>100</v>
      </c>
      <c r="T41" s="708" t="s">
        <v>14</v>
      </c>
      <c r="U41" s="709">
        <f t="shared" si="13"/>
        <v>100</v>
      </c>
      <c r="V41" s="708" t="s">
        <v>14</v>
      </c>
      <c r="W41" s="709">
        <f t="shared" si="14"/>
        <v>100</v>
      </c>
      <c r="X41" s="710"/>
      <c r="Y41" s="3696"/>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94"/>
      <c r="Q42" s="1352" t="str">
        <f t="shared" si="11"/>
        <v>内部装修</v>
      </c>
      <c r="R42" s="705" t="s">
        <v>14</v>
      </c>
      <c r="S42" s="706">
        <f t="shared" si="12"/>
        <v>100</v>
      </c>
      <c r="T42" s="705" t="s">
        <v>14</v>
      </c>
      <c r="U42" s="706">
        <f t="shared" si="13"/>
        <v>100</v>
      </c>
      <c r="V42" s="705" t="s">
        <v>14</v>
      </c>
      <c r="W42" s="706">
        <f t="shared" si="14"/>
        <v>100</v>
      </c>
      <c r="X42" s="1355"/>
      <c r="Y42" s="3696"/>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94"/>
      <c r="Q43" s="1352" t="str">
        <f t="shared" si="11"/>
        <v>内部装修维护情况</v>
      </c>
      <c r="R43" s="705" t="s">
        <v>14</v>
      </c>
      <c r="S43" s="706">
        <f t="shared" si="12"/>
        <v>100</v>
      </c>
      <c r="T43" s="705" t="s">
        <v>14</v>
      </c>
      <c r="U43" s="706">
        <f t="shared" si="13"/>
        <v>100</v>
      </c>
      <c r="V43" s="705" t="s">
        <v>14</v>
      </c>
      <c r="W43" s="706">
        <f t="shared" si="14"/>
        <v>100</v>
      </c>
      <c r="X43" s="1355"/>
      <c r="Y43" s="3696"/>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94"/>
      <c r="Q44" s="1343">
        <f t="shared" si="11"/>
        <v>111</v>
      </c>
      <c r="R44" s="701" t="s">
        <v>14</v>
      </c>
      <c r="S44" s="702">
        <f t="shared" si="12"/>
        <v>100</v>
      </c>
      <c r="T44" s="701" t="s">
        <v>14</v>
      </c>
      <c r="U44" s="702">
        <f t="shared" si="13"/>
        <v>100</v>
      </c>
      <c r="V44" s="701" t="s">
        <v>14</v>
      </c>
      <c r="W44" s="702">
        <f t="shared" si="14"/>
        <v>100</v>
      </c>
      <c r="X44" s="703"/>
      <c r="Y44" s="3696"/>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94"/>
      <c r="Q45" s="1352">
        <f t="shared" si="11"/>
        <v>111</v>
      </c>
      <c r="R45" s="705" t="s">
        <v>14</v>
      </c>
      <c r="S45" s="706">
        <f t="shared" si="12"/>
        <v>100</v>
      </c>
      <c r="T45" s="705" t="s">
        <v>14</v>
      </c>
      <c r="U45" s="706">
        <f t="shared" si="13"/>
        <v>100</v>
      </c>
      <c r="V45" s="705" t="s">
        <v>14</v>
      </c>
      <c r="W45" s="706">
        <f t="shared" si="14"/>
        <v>100</v>
      </c>
      <c r="X45" s="1355"/>
      <c r="Y45" s="3696"/>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95"/>
      <c r="Q46" s="1352">
        <f t="shared" si="11"/>
        <v>111</v>
      </c>
      <c r="R46" s="705" t="s">
        <v>14</v>
      </c>
      <c r="S46" s="706">
        <f t="shared" si="12"/>
        <v>100</v>
      </c>
      <c r="T46" s="705" t="s">
        <v>14</v>
      </c>
      <c r="U46" s="706">
        <f t="shared" si="13"/>
        <v>100</v>
      </c>
      <c r="V46" s="705" t="s">
        <v>14</v>
      </c>
      <c r="W46" s="706">
        <f t="shared" si="14"/>
        <v>100</v>
      </c>
      <c r="X46" s="1355"/>
      <c r="Y46" s="3697"/>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84" t="str">
        <f>A47</f>
        <v>成交单价（元/平方米）</v>
      </c>
      <c r="Q47" s="3684"/>
      <c r="R47" s="3718">
        <f>E47</f>
        <v>0</v>
      </c>
      <c r="S47" s="3718"/>
      <c r="T47" s="3718">
        <f>G47</f>
        <v>0</v>
      </c>
      <c r="U47" s="3718"/>
      <c r="V47" s="3718">
        <f>I47</f>
        <v>0</v>
      </c>
      <c r="W47" s="3718"/>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684" t="str">
        <f>A48</f>
        <v>比较价值（元/平方米）</v>
      </c>
      <c r="Q48" s="3684"/>
      <c r="R48" s="3685" t="e">
        <f>IF(F1="售价",ROUND(PRODUCT(R47,AA7:AA46),0),ROUND(PRODUCT(R47,AA7:AA46),1))</f>
        <v>#DIV/0!</v>
      </c>
      <c r="S48" s="3685"/>
      <c r="T48" s="3685" t="e">
        <f>IF(F1="售价",ROUND(PRODUCT(T47,AB7:AB46),0),ROUND(PRODUCT(T47,AB7:AB46),1))</f>
        <v>#DIV/0!</v>
      </c>
      <c r="U48" s="3685"/>
      <c r="V48" s="3685" t="e">
        <f>IF(F1="售价",ROUND(PRODUCT(V47,AC7:AC46),0),ROUND(PRODUCT(V47,AC7:AC46),1))</f>
        <v>#DIV/0!</v>
      </c>
      <c r="W48" s="3685"/>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60" t="str">
        <f>A49</f>
        <v>估价对象XX用房的比较价值（楼面单价，元/平方米）</v>
      </c>
      <c r="Q49" s="3761"/>
      <c r="R49" s="3762" t="e">
        <f>IF(F1="售价",ROUND(IF(D48="简单平均",AVERAGE(R48:V48),R48*F48+T48*H48+V48*J48),0),ROUND(IF(D48="简单平均",AVERAGE(R48:V48),R48*F48+T48*H48+V48*J48),1))</f>
        <v>#DIV/0!</v>
      </c>
      <c r="S49" s="3762"/>
      <c r="T49" s="3762"/>
      <c r="U49" s="3762"/>
      <c r="V49" s="3762"/>
      <c r="W49" s="3762"/>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2023-1</v>
      </c>
      <c r="D58" s="1185">
        <f>EDATE(C58,-1)</f>
        <v>44896</v>
      </c>
      <c r="E58" s="1185">
        <f t="shared" ref="E58:N58" si="16">EDATE(D58,-1)</f>
        <v>44866</v>
      </c>
      <c r="F58" s="1185">
        <f t="shared" si="16"/>
        <v>44835</v>
      </c>
      <c r="G58" s="1185">
        <f t="shared" si="16"/>
        <v>44805</v>
      </c>
      <c r="H58" s="1185">
        <f t="shared" si="16"/>
        <v>44774</v>
      </c>
      <c r="I58" s="1185">
        <f t="shared" si="16"/>
        <v>44743</v>
      </c>
      <c r="J58" s="1185">
        <f t="shared" si="16"/>
        <v>44713</v>
      </c>
      <c r="K58" s="1185">
        <f t="shared" si="16"/>
        <v>44682</v>
      </c>
      <c r="L58" s="1185">
        <f t="shared" si="16"/>
        <v>44652</v>
      </c>
      <c r="M58" s="1185">
        <f t="shared" si="16"/>
        <v>44621</v>
      </c>
      <c r="N58" s="1185">
        <f t="shared" si="16"/>
        <v>44593</v>
      </c>
      <c r="O58" s="1185">
        <f>EDATE(N58,-1)</f>
        <v>44562</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2" priority="21" stopIfTrue="1" operator="containsText" text="超过">
      <formula>NOT(ISERROR(SEARCH("超过",F52)))</formula>
    </cfRule>
  </conditionalFormatting>
  <conditionalFormatting sqref="H54">
    <cfRule type="containsText" dxfId="111" priority="19" stopIfTrue="1" operator="containsText" text="超过">
      <formula>NOT(ISERROR(SEARCH("超过",H54)))</formula>
    </cfRule>
  </conditionalFormatting>
  <conditionalFormatting sqref="F54">
    <cfRule type="containsText" dxfId="110" priority="18" stopIfTrue="1" operator="containsText" text="超过">
      <formula>NOT(ISERROR(SEARCH("超过",F54)))</formula>
    </cfRule>
  </conditionalFormatting>
  <conditionalFormatting sqref="F53 H53">
    <cfRule type="containsText" dxfId="109" priority="17" stopIfTrue="1" operator="containsText" text="超过">
      <formula>NOT(ISERROR(SEARCH("超过",F53)))</formula>
    </cfRule>
  </conditionalFormatting>
  <conditionalFormatting sqref="E52">
    <cfRule type="expression" dxfId="108" priority="16" stopIfTrue="1">
      <formula>$F$52="超过30%"</formula>
    </cfRule>
  </conditionalFormatting>
  <conditionalFormatting sqref="E53">
    <cfRule type="expression" dxfId="107" priority="15" stopIfTrue="1">
      <formula>$F$53="超过20%"</formula>
    </cfRule>
  </conditionalFormatting>
  <conditionalFormatting sqref="E54">
    <cfRule type="expression" dxfId="106" priority="14" stopIfTrue="1">
      <formula>$F$54="超过30%"</formula>
    </cfRule>
  </conditionalFormatting>
  <conditionalFormatting sqref="G54">
    <cfRule type="expression" dxfId="105" priority="13" stopIfTrue="1">
      <formula>$H$54="超过30%"</formula>
    </cfRule>
  </conditionalFormatting>
  <conditionalFormatting sqref="G52">
    <cfRule type="expression" dxfId="104" priority="12" stopIfTrue="1">
      <formula>$H$52="超过30%"</formula>
    </cfRule>
  </conditionalFormatting>
  <conditionalFormatting sqref="G53">
    <cfRule type="expression" dxfId="103" priority="11" stopIfTrue="1">
      <formula>$H$53="超过20%"</formula>
    </cfRule>
  </conditionalFormatting>
  <conditionalFormatting sqref="J52">
    <cfRule type="containsText" dxfId="102" priority="10" stopIfTrue="1" operator="containsText" text="超过">
      <formula>NOT(ISERROR(SEARCH("超过",J52)))</formula>
    </cfRule>
  </conditionalFormatting>
  <conditionalFormatting sqref="J54">
    <cfRule type="containsText" dxfId="101" priority="9" stopIfTrue="1" operator="containsText" text="超过">
      <formula>NOT(ISERROR(SEARCH("超过",J54)))</formula>
    </cfRule>
  </conditionalFormatting>
  <conditionalFormatting sqref="J53">
    <cfRule type="containsText" dxfId="100" priority="8" stopIfTrue="1" operator="containsText" text="超过">
      <formula>NOT(ISERROR(SEARCH("超过",J53)))</formula>
    </cfRule>
  </conditionalFormatting>
  <conditionalFormatting sqref="I52">
    <cfRule type="expression" dxfId="99" priority="7" stopIfTrue="1">
      <formula>$J$52="超过30%"</formula>
    </cfRule>
  </conditionalFormatting>
  <conditionalFormatting sqref="I53">
    <cfRule type="expression" dxfId="98" priority="6" stopIfTrue="1">
      <formula>$J$53="超过20%"</formula>
    </cfRule>
  </conditionalFormatting>
  <conditionalFormatting sqref="I54">
    <cfRule type="expression" dxfId="97" priority="5" stopIfTrue="1">
      <formula>$J$54="超过30%"</formula>
    </cfRule>
  </conditionalFormatting>
  <conditionalFormatting sqref="F48">
    <cfRule type="expression" dxfId="96" priority="4">
      <formula>$D$48="简单平均"</formula>
    </cfRule>
  </conditionalFormatting>
  <conditionalFormatting sqref="H48">
    <cfRule type="expression" dxfId="95" priority="3">
      <formula>$D$48="简单平均"</formula>
    </cfRule>
  </conditionalFormatting>
  <conditionalFormatting sqref="J48">
    <cfRule type="expression" dxfId="94" priority="2">
      <formula>$D$48="简单平均"</formula>
    </cfRule>
  </conditionalFormatting>
  <conditionalFormatting sqref="F7:F46 H7:H46 J7:J46">
    <cfRule type="cellIs" dxfId="9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O26" sqref="O26"/>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4"/>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10268.669999999998</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01" t="s">
        <v>1770</v>
      </c>
      <c r="D4" s="3702"/>
      <c r="E4" s="3703" t="s">
        <v>1771</v>
      </c>
      <c r="F4" s="3704"/>
      <c r="G4" s="3701" t="s">
        <v>1772</v>
      </c>
      <c r="H4" s="3702"/>
      <c r="I4" s="3701" t="s">
        <v>1773</v>
      </c>
      <c r="J4" s="3702"/>
      <c r="K4" s="559" t="s">
        <v>1774</v>
      </c>
      <c r="L4" s="913"/>
      <c r="M4" s="914"/>
      <c r="N4" s="914"/>
      <c r="O4" s="914"/>
      <c r="P4" s="3764" t="s">
        <v>1775</v>
      </c>
      <c r="Q4" s="3765"/>
      <c r="R4" s="3768" t="s">
        <v>1771</v>
      </c>
      <c r="S4" s="3769"/>
      <c r="T4" s="3768" t="s">
        <v>1772</v>
      </c>
      <c r="U4" s="3769"/>
      <c r="V4" s="3718" t="s">
        <v>1773</v>
      </c>
      <c r="W4" s="3718"/>
      <c r="X4" s="1355"/>
      <c r="Y4" s="3768" t="s">
        <v>1775</v>
      </c>
      <c r="Z4" s="3769"/>
      <c r="AA4" s="3763" t="s">
        <v>1771</v>
      </c>
      <c r="AB4" s="3730" t="s">
        <v>1772</v>
      </c>
      <c r="AC4" s="3763" t="s">
        <v>1773</v>
      </c>
    </row>
    <row r="5" spans="1:29" ht="15">
      <c r="A5" s="358"/>
      <c r="B5" s="359"/>
      <c r="C5" s="3721" t="s">
        <v>1673</v>
      </c>
      <c r="D5" s="3722"/>
      <c r="E5" s="3732" t="s">
        <v>1674</v>
      </c>
      <c r="F5" s="3733"/>
      <c r="G5" s="3721" t="s">
        <v>1675</v>
      </c>
      <c r="H5" s="3722"/>
      <c r="I5" s="3721" t="s">
        <v>1676</v>
      </c>
      <c r="J5" s="3722"/>
      <c r="K5" s="559"/>
      <c r="L5" s="913"/>
      <c r="M5" s="914"/>
      <c r="N5" s="914"/>
      <c r="O5" s="914"/>
      <c r="P5" s="3766"/>
      <c r="Q5" s="3708"/>
      <c r="R5" s="3713"/>
      <c r="S5" s="3714"/>
      <c r="T5" s="3713"/>
      <c r="U5" s="3714"/>
      <c r="V5" s="3718"/>
      <c r="W5" s="3718"/>
      <c r="X5" s="1355"/>
      <c r="Y5" s="3713"/>
      <c r="Z5" s="3714"/>
      <c r="AA5" s="3730"/>
      <c r="AB5" s="3730"/>
      <c r="AC5" s="3730"/>
    </row>
    <row r="6" spans="1:29" ht="15.75" thickBot="1">
      <c r="A6" s="360"/>
      <c r="B6" s="361"/>
      <c r="C6" s="3719" t="s">
        <v>1677</v>
      </c>
      <c r="D6" s="3720"/>
      <c r="E6" s="3727" t="s">
        <v>1677</v>
      </c>
      <c r="F6" s="3728"/>
      <c r="G6" s="3719" t="s">
        <v>1677</v>
      </c>
      <c r="H6" s="3720"/>
      <c r="I6" s="3719" t="s">
        <v>1677</v>
      </c>
      <c r="J6" s="3720"/>
      <c r="K6" s="559" t="s">
        <v>1678</v>
      </c>
      <c r="L6" s="913"/>
      <c r="M6" s="914"/>
      <c r="N6" s="914"/>
      <c r="O6" s="914"/>
      <c r="P6" s="3767"/>
      <c r="Q6" s="3710"/>
      <c r="R6" s="3713"/>
      <c r="S6" s="3714"/>
      <c r="T6" s="3715"/>
      <c r="U6" s="3716"/>
      <c r="V6" s="3718"/>
      <c r="W6" s="3718"/>
      <c r="X6" s="1355"/>
      <c r="Y6" s="3715"/>
      <c r="Z6" s="3716"/>
      <c r="AA6" s="3731"/>
      <c r="AB6" s="3731"/>
      <c r="AC6" s="3731"/>
    </row>
    <row r="7" spans="1:29" s="108" customFormat="1" ht="15.75" thickBot="1">
      <c r="A7" s="362" t="s">
        <v>1679</v>
      </c>
      <c r="B7" s="363"/>
      <c r="C7" s="364">
        <f>'数据-取费表'!B2</f>
        <v>44937</v>
      </c>
      <c r="D7" s="365">
        <v>100</v>
      </c>
      <c r="E7" s="366"/>
      <c r="F7" s="367">
        <f>SUMIF(52:52,YEAR(E7)&amp;"-"&amp;MONTH(E7),53:53)</f>
        <v>0</v>
      </c>
      <c r="G7" s="366"/>
      <c r="H7" s="365">
        <f>SUMIF(52:52,YEAR(G7)&amp;"-"&amp;MONTH(G7),53:53)</f>
        <v>0</v>
      </c>
      <c r="I7" s="366"/>
      <c r="J7" s="365">
        <f>SUMIF(52:52,YEAR(I7)&amp;"-"&amp;MONTH(I7),53:53)</f>
        <v>0</v>
      </c>
      <c r="K7" s="560"/>
      <c r="L7" s="915"/>
      <c r="M7" s="916"/>
      <c r="N7" s="916"/>
      <c r="O7" s="916"/>
      <c r="P7" s="3725" t="s">
        <v>1680</v>
      </c>
      <c r="Q7" s="3726"/>
      <c r="R7" s="701" t="s">
        <v>14</v>
      </c>
      <c r="S7" s="702">
        <f t="shared" ref="S7:S15" si="0">F7</f>
        <v>0</v>
      </c>
      <c r="T7" s="701" t="s">
        <v>14</v>
      </c>
      <c r="U7" s="702">
        <f t="shared" ref="U7:U15" si="1">H7</f>
        <v>0</v>
      </c>
      <c r="V7" s="701" t="s">
        <v>14</v>
      </c>
      <c r="W7" s="702">
        <f t="shared" ref="W7:W15" si="2">J7</f>
        <v>0</v>
      </c>
      <c r="X7" s="703"/>
      <c r="Y7" s="3725" t="s">
        <v>1680</v>
      </c>
      <c r="Z7" s="3724"/>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5" t="s">
        <v>1683</v>
      </c>
      <c r="Q8" s="3724"/>
      <c r="R8" s="701" t="s">
        <v>14</v>
      </c>
      <c r="S8" s="702">
        <f t="shared" si="0"/>
        <v>100</v>
      </c>
      <c r="T8" s="701" t="s">
        <v>14</v>
      </c>
      <c r="U8" s="702">
        <f t="shared" si="1"/>
        <v>100</v>
      </c>
      <c r="V8" s="701" t="s">
        <v>14</v>
      </c>
      <c r="W8" s="702">
        <f t="shared" si="2"/>
        <v>100</v>
      </c>
      <c r="X8" s="703"/>
      <c r="Y8" s="3725" t="s">
        <v>1683</v>
      </c>
      <c r="Z8" s="3724"/>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84"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435"/>
      <c r="D10" s="127">
        <v>100</v>
      </c>
      <c r="E10" s="3435"/>
      <c r="F10" s="127">
        <f>SUMIF(59:59,E10,60:60)-SUMIF(59:59,C10,60:60)+100</f>
        <v>100</v>
      </c>
      <c r="G10" s="3436"/>
      <c r="H10" s="127">
        <f>SUMIF(59:59,G10,60:60)-SUMIF(59:59,C10,60:60)+100</f>
        <v>100</v>
      </c>
      <c r="I10" s="3435"/>
      <c r="J10" s="127">
        <f>SUMIF(59:59,I10,60:60)-SUMIF(59:59,C10,60:60)+100</f>
        <v>100</v>
      </c>
      <c r="K10" s="560"/>
      <c r="L10" s="918"/>
      <c r="M10" s="919"/>
      <c r="N10" s="919"/>
      <c r="O10" s="920"/>
      <c r="P10" s="3684"/>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84"/>
      <c r="Q11" s="1343" t="str">
        <f t="shared" si="6"/>
        <v>容积率</v>
      </c>
      <c r="R11" s="701" t="s">
        <v>14</v>
      </c>
      <c r="S11" s="702">
        <f t="shared" si="0"/>
        <v>100</v>
      </c>
      <c r="T11" s="701" t="s">
        <v>14</v>
      </c>
      <c r="U11" s="702">
        <f t="shared" si="1"/>
        <v>100</v>
      </c>
      <c r="V11" s="701" t="s">
        <v>14</v>
      </c>
      <c r="W11" s="702">
        <f t="shared" si="2"/>
        <v>100</v>
      </c>
      <c r="X11" s="703"/>
      <c r="Y11" s="3568"/>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84"/>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84"/>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84"/>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1" t="s">
        <v>1691</v>
      </c>
      <c r="Q15" s="1352" t="str">
        <f t="shared" si="6"/>
        <v>产业集聚程度</v>
      </c>
      <c r="R15" s="705" t="s">
        <v>14</v>
      </c>
      <c r="S15" s="706">
        <f t="shared" si="0"/>
        <v>100</v>
      </c>
      <c r="T15" s="705" t="s">
        <v>14</v>
      </c>
      <c r="U15" s="706">
        <f t="shared" si="1"/>
        <v>100</v>
      </c>
      <c r="V15" s="705" t="s">
        <v>14</v>
      </c>
      <c r="W15" s="706">
        <f t="shared" si="2"/>
        <v>100</v>
      </c>
      <c r="X15" s="1355"/>
      <c r="Y15" s="3691"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92"/>
      <c r="Q16" s="1352"/>
      <c r="R16" s="705"/>
      <c r="S16" s="706"/>
      <c r="T16" s="705"/>
      <c r="U16" s="706"/>
      <c r="V16" s="705"/>
      <c r="W16" s="706"/>
      <c r="X16" s="1355"/>
      <c r="Y16" s="3692"/>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2"/>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92"/>
      <c r="Q18" s="1352"/>
      <c r="R18" s="705"/>
      <c r="S18" s="706"/>
      <c r="T18" s="705"/>
      <c r="U18" s="706"/>
      <c r="V18" s="705"/>
      <c r="W18" s="706"/>
      <c r="X18" s="1355"/>
      <c r="Y18" s="3692"/>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2"/>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92"/>
      <c r="Q20" s="1352"/>
      <c r="R20" s="705"/>
      <c r="S20" s="706"/>
      <c r="T20" s="705"/>
      <c r="U20" s="706"/>
      <c r="V20" s="705"/>
      <c r="W20" s="706"/>
      <c r="X20" s="1355"/>
      <c r="Y20" s="3692"/>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2"/>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92"/>
      <c r="Q22" s="1352"/>
      <c r="R22" s="705"/>
      <c r="S22" s="706"/>
      <c r="T22" s="705"/>
      <c r="U22" s="706"/>
      <c r="V22" s="705"/>
      <c r="W22" s="706"/>
      <c r="X22" s="1355"/>
      <c r="Y22" s="3692"/>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2"/>
      <c r="Q23" s="1352" t="str">
        <f>B23</f>
        <v>环境质量</v>
      </c>
      <c r="R23" s="705" t="s">
        <v>14</v>
      </c>
      <c r="S23" s="706">
        <f>F23</f>
        <v>100</v>
      </c>
      <c r="T23" s="705" t="s">
        <v>14</v>
      </c>
      <c r="U23" s="706">
        <f>H23</f>
        <v>100</v>
      </c>
      <c r="V23" s="705" t="s">
        <v>14</v>
      </c>
      <c r="W23" s="706">
        <f>J23</f>
        <v>100</v>
      </c>
      <c r="X23" s="1355"/>
      <c r="Y23" s="3692"/>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92"/>
      <c r="Q24" s="1352"/>
      <c r="R24" s="705"/>
      <c r="S24" s="706"/>
      <c r="T24" s="705"/>
      <c r="U24" s="706"/>
      <c r="V24" s="705"/>
      <c r="W24" s="706"/>
      <c r="X24" s="1355"/>
      <c r="Y24" s="3692"/>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2"/>
      <c r="Q25" s="1352">
        <f>B25</f>
        <v>111</v>
      </c>
      <c r="R25" s="705" t="s">
        <v>14</v>
      </c>
      <c r="S25" s="706">
        <f>F25</f>
        <v>100</v>
      </c>
      <c r="T25" s="705" t="s">
        <v>14</v>
      </c>
      <c r="U25" s="706">
        <f>H25</f>
        <v>100</v>
      </c>
      <c r="V25" s="705" t="s">
        <v>14</v>
      </c>
      <c r="W25" s="706">
        <f>J25</f>
        <v>100</v>
      </c>
      <c r="X25" s="1355"/>
      <c r="Y25" s="3692"/>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2"/>
      <c r="Q26" s="1352">
        <f t="shared" ref="Q26:Q40" si="11">B26</f>
        <v>111</v>
      </c>
      <c r="R26" s="705" t="s">
        <v>14</v>
      </c>
      <c r="S26" s="706">
        <f>F26</f>
        <v>100</v>
      </c>
      <c r="T26" s="705" t="s">
        <v>14</v>
      </c>
      <c r="U26" s="706">
        <f>H26</f>
        <v>100</v>
      </c>
      <c r="V26" s="705" t="s">
        <v>14</v>
      </c>
      <c r="W26" s="706">
        <f>J26</f>
        <v>100</v>
      </c>
      <c r="X26" s="1355"/>
      <c r="Y26" s="3692"/>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2"/>
      <c r="Q27" s="1343">
        <f t="shared" si="11"/>
        <v>111</v>
      </c>
      <c r="R27" s="701" t="s">
        <v>14</v>
      </c>
      <c r="S27" s="702">
        <f>F27</f>
        <v>100</v>
      </c>
      <c r="T27" s="701" t="s">
        <v>14</v>
      </c>
      <c r="U27" s="702">
        <f>H27</f>
        <v>100</v>
      </c>
      <c r="V27" s="701" t="s">
        <v>14</v>
      </c>
      <c r="W27" s="702">
        <f>J27</f>
        <v>100</v>
      </c>
      <c r="X27" s="703"/>
      <c r="Y27" s="3692"/>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2"/>
      <c r="Q28" s="1352">
        <f t="shared" si="11"/>
        <v>111</v>
      </c>
      <c r="R28" s="705" t="s">
        <v>14</v>
      </c>
      <c r="S28" s="706">
        <f t="shared" ref="S28:S40" si="12">F28</f>
        <v>100</v>
      </c>
      <c r="T28" s="705" t="s">
        <v>14</v>
      </c>
      <c r="U28" s="706">
        <f t="shared" ref="U28:U40" si="13">H28</f>
        <v>100</v>
      </c>
      <c r="V28" s="705" t="s">
        <v>14</v>
      </c>
      <c r="W28" s="706">
        <f t="shared" ref="W28:W40" si="14">J28</f>
        <v>100</v>
      </c>
      <c r="X28" s="1355"/>
      <c r="Y28" s="3692"/>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70" t="s">
        <v>1696</v>
      </c>
      <c r="Q29" s="1352" t="str">
        <f t="shared" si="11"/>
        <v>建筑类型</v>
      </c>
      <c r="R29" s="705" t="s">
        <v>14</v>
      </c>
      <c r="S29" s="706">
        <f t="shared" si="12"/>
        <v>100</v>
      </c>
      <c r="T29" s="705" t="s">
        <v>14</v>
      </c>
      <c r="U29" s="706">
        <f t="shared" si="13"/>
        <v>100</v>
      </c>
      <c r="V29" s="705" t="s">
        <v>14</v>
      </c>
      <c r="W29" s="706">
        <f t="shared" si="14"/>
        <v>100</v>
      </c>
      <c r="X29" s="1355"/>
      <c r="Y29" s="3696"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6"/>
      <c r="Q30" s="707" t="str">
        <f t="shared" si="11"/>
        <v>项目建筑规模</v>
      </c>
      <c r="R30" s="708" t="s">
        <v>14</v>
      </c>
      <c r="S30" s="709" t="e">
        <f t="shared" si="12"/>
        <v>#N/A</v>
      </c>
      <c r="T30" s="708" t="s">
        <v>14</v>
      </c>
      <c r="U30" s="709" t="e">
        <f t="shared" si="13"/>
        <v>#N/A</v>
      </c>
      <c r="V30" s="708" t="s">
        <v>14</v>
      </c>
      <c r="W30" s="709" t="e">
        <f t="shared" si="14"/>
        <v>#N/A</v>
      </c>
      <c r="X30" s="710"/>
      <c r="Y30" s="3696"/>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6"/>
      <c r="Q31" s="1352" t="str">
        <f t="shared" si="11"/>
        <v>建筑结构</v>
      </c>
      <c r="R31" s="705" t="s">
        <v>14</v>
      </c>
      <c r="S31" s="706">
        <f t="shared" si="12"/>
        <v>100</v>
      </c>
      <c r="T31" s="705" t="s">
        <v>14</v>
      </c>
      <c r="U31" s="706">
        <f t="shared" si="13"/>
        <v>100</v>
      </c>
      <c r="V31" s="705" t="s">
        <v>14</v>
      </c>
      <c r="W31" s="706">
        <f t="shared" si="14"/>
        <v>100</v>
      </c>
      <c r="X31" s="1355"/>
      <c r="Y31" s="3696"/>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6"/>
      <c r="Q32" s="1352" t="str">
        <f t="shared" si="11"/>
        <v>公共部分装修</v>
      </c>
      <c r="R32" s="705" t="s">
        <v>14</v>
      </c>
      <c r="S32" s="706">
        <f t="shared" si="12"/>
        <v>100</v>
      </c>
      <c r="T32" s="705" t="s">
        <v>14</v>
      </c>
      <c r="U32" s="706">
        <f t="shared" si="13"/>
        <v>100</v>
      </c>
      <c r="V32" s="705" t="s">
        <v>14</v>
      </c>
      <c r="W32" s="706">
        <f t="shared" si="14"/>
        <v>100</v>
      </c>
      <c r="X32" s="1355"/>
      <c r="Y32" s="3696"/>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6"/>
      <c r="Q33" s="1352" t="str">
        <f t="shared" si="11"/>
        <v>成新度</v>
      </c>
      <c r="R33" s="705" t="s">
        <v>14</v>
      </c>
      <c r="S33" s="706" t="e">
        <f t="shared" si="12"/>
        <v>#N/A</v>
      </c>
      <c r="T33" s="705" t="s">
        <v>14</v>
      </c>
      <c r="U33" s="706" t="e">
        <f t="shared" si="13"/>
        <v>#N/A</v>
      </c>
      <c r="V33" s="705" t="s">
        <v>14</v>
      </c>
      <c r="W33" s="706" t="e">
        <f t="shared" si="14"/>
        <v>#N/A</v>
      </c>
      <c r="X33" s="1355"/>
      <c r="Y33" s="3696"/>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6"/>
      <c r="Q34" s="1343" t="str">
        <f t="shared" si="11"/>
        <v>物业管理</v>
      </c>
      <c r="R34" s="701" t="s">
        <v>14</v>
      </c>
      <c r="S34" s="702">
        <f t="shared" si="12"/>
        <v>100</v>
      </c>
      <c r="T34" s="701" t="s">
        <v>14</v>
      </c>
      <c r="U34" s="702">
        <f t="shared" si="13"/>
        <v>100</v>
      </c>
      <c r="V34" s="701" t="s">
        <v>14</v>
      </c>
      <c r="W34" s="702">
        <f t="shared" si="14"/>
        <v>100</v>
      </c>
      <c r="X34" s="703"/>
      <c r="Y34" s="3696"/>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6" t="s">
        <v>1696</v>
      </c>
      <c r="Q35" s="1352" t="str">
        <f t="shared" si="11"/>
        <v>市政基础设施</v>
      </c>
      <c r="R35" s="705" t="s">
        <v>14</v>
      </c>
      <c r="S35" s="706">
        <f t="shared" si="12"/>
        <v>100</v>
      </c>
      <c r="T35" s="705" t="s">
        <v>14</v>
      </c>
      <c r="U35" s="706">
        <f t="shared" si="13"/>
        <v>100</v>
      </c>
      <c r="V35" s="705" t="s">
        <v>14</v>
      </c>
      <c r="W35" s="706">
        <f t="shared" si="14"/>
        <v>100</v>
      </c>
      <c r="X35" s="1355"/>
      <c r="Y35" s="3696"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6"/>
      <c r="Q36" s="1352" t="str">
        <f t="shared" si="11"/>
        <v>内部装修</v>
      </c>
      <c r="R36" s="705" t="s">
        <v>14</v>
      </c>
      <c r="S36" s="706">
        <f t="shared" si="12"/>
        <v>100</v>
      </c>
      <c r="T36" s="705" t="s">
        <v>14</v>
      </c>
      <c r="U36" s="706">
        <f t="shared" si="13"/>
        <v>100</v>
      </c>
      <c r="V36" s="705" t="s">
        <v>14</v>
      </c>
      <c r="W36" s="706">
        <f t="shared" si="14"/>
        <v>100</v>
      </c>
      <c r="X36" s="1355"/>
      <c r="Y36" s="3696"/>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6"/>
      <c r="Q37" s="1352" t="str">
        <f t="shared" si="11"/>
        <v>内部装修状况</v>
      </c>
      <c r="R37" s="705" t="s">
        <v>14</v>
      </c>
      <c r="S37" s="706">
        <f t="shared" si="12"/>
        <v>100</v>
      </c>
      <c r="T37" s="705" t="s">
        <v>14</v>
      </c>
      <c r="U37" s="706">
        <f t="shared" si="13"/>
        <v>100</v>
      </c>
      <c r="V37" s="705" t="s">
        <v>14</v>
      </c>
      <c r="W37" s="706">
        <f t="shared" si="14"/>
        <v>100</v>
      </c>
      <c r="X37" s="1355"/>
      <c r="Y37" s="3696"/>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6"/>
      <c r="Q38" s="707">
        <f t="shared" si="11"/>
        <v>111</v>
      </c>
      <c r="R38" s="708" t="s">
        <v>14</v>
      </c>
      <c r="S38" s="709">
        <f t="shared" si="12"/>
        <v>100</v>
      </c>
      <c r="T38" s="708" t="s">
        <v>14</v>
      </c>
      <c r="U38" s="709">
        <f t="shared" si="13"/>
        <v>100</v>
      </c>
      <c r="V38" s="708" t="s">
        <v>14</v>
      </c>
      <c r="W38" s="709">
        <f t="shared" si="14"/>
        <v>100</v>
      </c>
      <c r="X38" s="710"/>
      <c r="Y38" s="3696"/>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6"/>
      <c r="Q39" s="1352">
        <f t="shared" si="11"/>
        <v>111</v>
      </c>
      <c r="R39" s="705" t="s">
        <v>14</v>
      </c>
      <c r="S39" s="706">
        <f t="shared" si="12"/>
        <v>100</v>
      </c>
      <c r="T39" s="705" t="s">
        <v>14</v>
      </c>
      <c r="U39" s="706">
        <f t="shared" si="13"/>
        <v>100</v>
      </c>
      <c r="V39" s="705" t="s">
        <v>14</v>
      </c>
      <c r="W39" s="706">
        <f t="shared" si="14"/>
        <v>100</v>
      </c>
      <c r="X39" s="1355"/>
      <c r="Y39" s="3696"/>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97"/>
      <c r="Q40" s="1352">
        <f t="shared" si="11"/>
        <v>111</v>
      </c>
      <c r="R40" s="705" t="s">
        <v>14</v>
      </c>
      <c r="S40" s="706">
        <f t="shared" si="12"/>
        <v>100</v>
      </c>
      <c r="T40" s="705" t="s">
        <v>14</v>
      </c>
      <c r="U40" s="706">
        <f t="shared" si="13"/>
        <v>100</v>
      </c>
      <c r="V40" s="705" t="s">
        <v>14</v>
      </c>
      <c r="W40" s="706">
        <f t="shared" si="14"/>
        <v>100</v>
      </c>
      <c r="X40" s="1355"/>
      <c r="Y40" s="3697"/>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84" t="str">
        <f>A41</f>
        <v>成交单价（元/平方米）</v>
      </c>
      <c r="Q41" s="3684"/>
      <c r="R41" s="3685">
        <f>E41</f>
        <v>0</v>
      </c>
      <c r="S41" s="3685"/>
      <c r="T41" s="3685">
        <f>G41</f>
        <v>0</v>
      </c>
      <c r="U41" s="3685"/>
      <c r="V41" s="3685">
        <f>I41</f>
        <v>0</v>
      </c>
      <c r="W41" s="3685"/>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684" t="str">
        <f>A42</f>
        <v>比较价值（元/平方米）</v>
      </c>
      <c r="Q42" s="3684"/>
      <c r="R42" s="3685" t="e">
        <f>IF(F1="售价",ROUND(PRODUCT(R41,AA7:AA40),0),ROUND(PRODUCT(R41,AA7:AA40),1))</f>
        <v>#DIV/0!</v>
      </c>
      <c r="S42" s="3685"/>
      <c r="T42" s="3685" t="e">
        <f>IF(F1="售价",ROUND(PRODUCT(T41,AB7:AB40),0),ROUND(PRODUCT(T41,AB7:AB40),1))</f>
        <v>#DIV/0!</v>
      </c>
      <c r="U42" s="3685"/>
      <c r="V42" s="3685" t="e">
        <f>IF(F1="售价",ROUND(PRODUCT(V41,AC7:AC40),0),ROUND(PRODUCT(V41,AC7:AC40),1))</f>
        <v>#DIV/0!</v>
      </c>
      <c r="W42" s="3685"/>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60" t="str">
        <f>A43</f>
        <v>估价对象XX用房的比较价值（楼面单价，元/平方米）</v>
      </c>
      <c r="Q43" s="3761"/>
      <c r="R43" s="3762" t="e">
        <f>IF(F1="售价",ROUND(IF(D42="简单平均",AVERAGE(R42:V42),R42*F42+T42*H42+V42*J42),0),ROUND(IF(D42="简单平均",AVERAGE(R42:V42),R42*F42+T42*H42+V42*J42),1))</f>
        <v>#DIV/0!</v>
      </c>
      <c r="S43" s="3762"/>
      <c r="T43" s="3762"/>
      <c r="U43" s="3762"/>
      <c r="V43" s="3762"/>
      <c r="W43" s="3762"/>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2023-1</v>
      </c>
      <c r="D52" s="1185">
        <f>EDATE(C52,-1)</f>
        <v>44896</v>
      </c>
      <c r="E52" s="1185">
        <f t="shared" ref="E52:O52" si="16">EDATE(D52,-1)</f>
        <v>44866</v>
      </c>
      <c r="F52" s="1185">
        <f t="shared" si="16"/>
        <v>44835</v>
      </c>
      <c r="G52" s="1185">
        <f t="shared" si="16"/>
        <v>44805</v>
      </c>
      <c r="H52" s="1185">
        <f t="shared" si="16"/>
        <v>44774</v>
      </c>
      <c r="I52" s="1185">
        <f t="shared" si="16"/>
        <v>44743</v>
      </c>
      <c r="J52" s="1185">
        <f t="shared" si="16"/>
        <v>44713</v>
      </c>
      <c r="K52" s="1185">
        <f t="shared" si="16"/>
        <v>44682</v>
      </c>
      <c r="L52" s="1185">
        <f t="shared" si="16"/>
        <v>44652</v>
      </c>
      <c r="M52" s="1185">
        <f t="shared" si="16"/>
        <v>44621</v>
      </c>
      <c r="N52" s="1185">
        <f t="shared" si="16"/>
        <v>44593</v>
      </c>
      <c r="O52" s="1185">
        <f t="shared" si="16"/>
        <v>44562</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O26" sqref="O26"/>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3342</v>
      </c>
      <c r="C1" s="1224" t="s">
        <v>1662</v>
      </c>
      <c r="D1" s="1225"/>
      <c r="E1" s="3434"/>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701" t="s">
        <v>1770</v>
      </c>
      <c r="D4" s="3702"/>
      <c r="E4" s="3703" t="s">
        <v>1771</v>
      </c>
      <c r="F4" s="3704"/>
      <c r="G4" s="3701" t="s">
        <v>1772</v>
      </c>
      <c r="H4" s="3702"/>
      <c r="I4" s="3701" t="s">
        <v>1773</v>
      </c>
      <c r="J4" s="3702"/>
      <c r="K4" s="559" t="s">
        <v>1774</v>
      </c>
      <c r="L4" s="2715"/>
      <c r="M4" s="2716"/>
      <c r="N4" s="2716"/>
      <c r="O4" s="2716"/>
      <c r="P4" s="3764" t="s">
        <v>1775</v>
      </c>
      <c r="Q4" s="3765"/>
      <c r="R4" s="3768" t="s">
        <v>1771</v>
      </c>
      <c r="S4" s="3769"/>
      <c r="T4" s="3768" t="s">
        <v>1772</v>
      </c>
      <c r="U4" s="3769"/>
      <c r="V4" s="3718" t="s">
        <v>1773</v>
      </c>
      <c r="W4" s="3718"/>
      <c r="X4" s="1355"/>
      <c r="Y4" s="3768" t="s">
        <v>1775</v>
      </c>
      <c r="Z4" s="3769"/>
      <c r="AA4" s="3763" t="s">
        <v>1771</v>
      </c>
      <c r="AB4" s="3730" t="s">
        <v>1772</v>
      </c>
      <c r="AC4" s="3763" t="s">
        <v>1773</v>
      </c>
    </row>
    <row r="5" spans="1:29" ht="15">
      <c r="A5" s="358"/>
      <c r="B5" s="359"/>
      <c r="C5" s="3721" t="s">
        <v>1673</v>
      </c>
      <c r="D5" s="3722"/>
      <c r="E5" s="3732" t="s">
        <v>1674</v>
      </c>
      <c r="F5" s="3733"/>
      <c r="G5" s="3721" t="s">
        <v>1675</v>
      </c>
      <c r="H5" s="3722"/>
      <c r="I5" s="3721" t="s">
        <v>1676</v>
      </c>
      <c r="J5" s="3722"/>
      <c r="K5" s="559"/>
      <c r="L5" s="2715"/>
      <c r="M5" s="2716"/>
      <c r="N5" s="2716"/>
      <c r="O5" s="2716"/>
      <c r="P5" s="3766"/>
      <c r="Q5" s="3708"/>
      <c r="R5" s="3713"/>
      <c r="S5" s="3714"/>
      <c r="T5" s="3713"/>
      <c r="U5" s="3714"/>
      <c r="V5" s="3718"/>
      <c r="W5" s="3718"/>
      <c r="X5" s="1355"/>
      <c r="Y5" s="3713"/>
      <c r="Z5" s="3714"/>
      <c r="AA5" s="3730"/>
      <c r="AB5" s="3730"/>
      <c r="AC5" s="3730"/>
    </row>
    <row r="6" spans="1:29" ht="15.75" thickBot="1">
      <c r="A6" s="360"/>
      <c r="B6" s="361"/>
      <c r="C6" s="3719" t="s">
        <v>1677</v>
      </c>
      <c r="D6" s="3720"/>
      <c r="E6" s="3727" t="s">
        <v>1677</v>
      </c>
      <c r="F6" s="3728"/>
      <c r="G6" s="3719" t="s">
        <v>1677</v>
      </c>
      <c r="H6" s="3720"/>
      <c r="I6" s="3719" t="s">
        <v>1677</v>
      </c>
      <c r="J6" s="3720"/>
      <c r="K6" s="559" t="s">
        <v>1678</v>
      </c>
      <c r="L6" s="2715"/>
      <c r="M6" s="2716"/>
      <c r="N6" s="2716"/>
      <c r="O6" s="2716"/>
      <c r="P6" s="3767"/>
      <c r="Q6" s="3710"/>
      <c r="R6" s="3713"/>
      <c r="S6" s="3714"/>
      <c r="T6" s="3715"/>
      <c r="U6" s="3716"/>
      <c r="V6" s="3718"/>
      <c r="W6" s="3718"/>
      <c r="X6" s="1355"/>
      <c r="Y6" s="3715"/>
      <c r="Z6" s="3716"/>
      <c r="AA6" s="3731"/>
      <c r="AB6" s="3731"/>
      <c r="AC6" s="3731"/>
    </row>
    <row r="7" spans="1:29" s="108" customFormat="1" ht="15.75" thickBot="1">
      <c r="A7" s="362" t="s">
        <v>1679</v>
      </c>
      <c r="B7" s="363"/>
      <c r="C7" s="364">
        <f>'数据-取费表'!B2</f>
        <v>44937</v>
      </c>
      <c r="D7" s="365">
        <v>100</v>
      </c>
      <c r="E7" s="366"/>
      <c r="F7" s="367">
        <f>SUMIF(48:48,YEAR(E7)&amp;"-"&amp;MONTH(E7),49:49)</f>
        <v>0</v>
      </c>
      <c r="G7" s="366"/>
      <c r="H7" s="365">
        <f>SUMIF(48:48,YEAR(G7)&amp;"-"&amp;MONTH(G7),49:49)</f>
        <v>0</v>
      </c>
      <c r="I7" s="366"/>
      <c r="J7" s="365">
        <f>SUMIF(48:48,YEAR(I7)&amp;"-"&amp;MONTH(I7),49:49)</f>
        <v>0</v>
      </c>
      <c r="K7" s="560"/>
      <c r="L7" s="2717"/>
      <c r="M7" s="2718"/>
      <c r="N7" s="2718"/>
      <c r="O7" s="2718"/>
      <c r="P7" s="3725" t="s">
        <v>1680</v>
      </c>
      <c r="Q7" s="3726"/>
      <c r="R7" s="701" t="s">
        <v>14</v>
      </c>
      <c r="S7" s="702">
        <f t="shared" ref="S7:S14" si="0">F7</f>
        <v>0</v>
      </c>
      <c r="T7" s="701" t="s">
        <v>14</v>
      </c>
      <c r="U7" s="702">
        <f t="shared" ref="U7:U14" si="1">H7</f>
        <v>0</v>
      </c>
      <c r="V7" s="701" t="s">
        <v>14</v>
      </c>
      <c r="W7" s="702">
        <f t="shared" ref="W7:W14" si="2">J7</f>
        <v>0</v>
      </c>
      <c r="X7" s="703"/>
      <c r="Y7" s="3725" t="s">
        <v>1680</v>
      </c>
      <c r="Z7" s="3724"/>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725" t="s">
        <v>1683</v>
      </c>
      <c r="Q8" s="3724"/>
      <c r="R8" s="701" t="s">
        <v>14</v>
      </c>
      <c r="S8" s="702">
        <f t="shared" si="0"/>
        <v>100</v>
      </c>
      <c r="T8" s="701" t="s">
        <v>14</v>
      </c>
      <c r="U8" s="702">
        <f t="shared" si="1"/>
        <v>100</v>
      </c>
      <c r="V8" s="701" t="s">
        <v>14</v>
      </c>
      <c r="W8" s="702">
        <f t="shared" si="2"/>
        <v>100</v>
      </c>
      <c r="X8" s="703"/>
      <c r="Y8" s="3725" t="s">
        <v>1683</v>
      </c>
      <c r="Z8" s="3724"/>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84" t="s">
        <v>1686</v>
      </c>
      <c r="Q9" s="1343" t="str">
        <f t="shared" ref="Q9:Q14" si="6">B9</f>
        <v>用途</v>
      </c>
      <c r="R9" s="701" t="s">
        <v>14</v>
      </c>
      <c r="S9" s="702">
        <f t="shared" si="0"/>
        <v>100</v>
      </c>
      <c r="T9" s="701" t="s">
        <v>14</v>
      </c>
      <c r="U9" s="702">
        <f t="shared" si="1"/>
        <v>100</v>
      </c>
      <c r="V9" s="701" t="s">
        <v>14</v>
      </c>
      <c r="W9" s="702">
        <f t="shared" si="2"/>
        <v>100</v>
      </c>
      <c r="X9" s="703"/>
      <c r="Y9" s="3568" t="s">
        <v>1687</v>
      </c>
      <c r="Z9" s="52" t="str">
        <f t="shared" ref="Z9:Z14" si="7">Q9</f>
        <v>用途</v>
      </c>
      <c r="AA9" s="704">
        <f t="shared" si="3"/>
        <v>1</v>
      </c>
      <c r="AB9" s="704">
        <f t="shared" si="4"/>
        <v>1</v>
      </c>
      <c r="AC9" s="704">
        <f t="shared" si="5"/>
        <v>1</v>
      </c>
    </row>
    <row r="10" spans="1:29" s="378" customFormat="1" ht="27">
      <c r="A10" s="589"/>
      <c r="B10" s="590" t="s">
        <v>1688</v>
      </c>
      <c r="C10" s="3435"/>
      <c r="D10" s="127">
        <v>100</v>
      </c>
      <c r="E10" s="3435"/>
      <c r="F10" s="127">
        <f>SUMIF(55:55,E10,56:56)-SUMIF(55:55,C10,56:56)+100</f>
        <v>100</v>
      </c>
      <c r="G10" s="3436"/>
      <c r="H10" s="127">
        <f>SUMIF(55:55,G10,56:56)-SUMIF(55:55,C10,56:56)+100</f>
        <v>100</v>
      </c>
      <c r="I10" s="3435"/>
      <c r="J10" s="127">
        <f>SUMIF(55:55,I10,56:56)-SUMIF(55:55,C10,56:56)+100</f>
        <v>100</v>
      </c>
      <c r="K10" s="560"/>
      <c r="L10" s="2719"/>
      <c r="M10" s="2720"/>
      <c r="N10" s="2720"/>
      <c r="O10" s="2720"/>
      <c r="P10" s="3684"/>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84"/>
      <c r="Q11" s="1343">
        <f t="shared" si="6"/>
        <v>111</v>
      </c>
      <c r="R11" s="701" t="s">
        <v>14</v>
      </c>
      <c r="S11" s="702">
        <f t="shared" si="0"/>
        <v>100</v>
      </c>
      <c r="T11" s="701" t="s">
        <v>14</v>
      </c>
      <c r="U11" s="702">
        <f t="shared" si="1"/>
        <v>100</v>
      </c>
      <c r="V11" s="701" t="s">
        <v>14</v>
      </c>
      <c r="W11" s="702">
        <f t="shared" si="2"/>
        <v>100</v>
      </c>
      <c r="X11" s="703"/>
      <c r="Y11" s="3568"/>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84"/>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84"/>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91" t="s">
        <v>1691</v>
      </c>
      <c r="Q14" s="1352" t="str">
        <f t="shared" si="6"/>
        <v>交通便捷度</v>
      </c>
      <c r="R14" s="705" t="s">
        <v>14</v>
      </c>
      <c r="S14" s="706">
        <f t="shared" si="0"/>
        <v>100</v>
      </c>
      <c r="T14" s="705" t="s">
        <v>14</v>
      </c>
      <c r="U14" s="706">
        <f t="shared" si="1"/>
        <v>100</v>
      </c>
      <c r="V14" s="705" t="s">
        <v>14</v>
      </c>
      <c r="W14" s="706">
        <f t="shared" si="2"/>
        <v>100</v>
      </c>
      <c r="X14" s="1355"/>
      <c r="Y14" s="3691"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92"/>
      <c r="Q15" s="1352"/>
      <c r="R15" s="705"/>
      <c r="S15" s="706"/>
      <c r="T15" s="705"/>
      <c r="U15" s="706"/>
      <c r="V15" s="705"/>
      <c r="W15" s="706"/>
      <c r="X15" s="1355"/>
      <c r="Y15" s="3692"/>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92"/>
      <c r="Q16" s="1352" t="str">
        <f>B16</f>
        <v>公共配套设施</v>
      </c>
      <c r="R16" s="705" t="s">
        <v>14</v>
      </c>
      <c r="S16" s="706">
        <f>F16</f>
        <v>100</v>
      </c>
      <c r="T16" s="705" t="s">
        <v>14</v>
      </c>
      <c r="U16" s="706">
        <f>H16</f>
        <v>100</v>
      </c>
      <c r="V16" s="705" t="s">
        <v>14</v>
      </c>
      <c r="W16" s="706">
        <f>J16</f>
        <v>100</v>
      </c>
      <c r="X16" s="1355"/>
      <c r="Y16" s="3692"/>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92"/>
      <c r="Q17" s="1352"/>
      <c r="R17" s="705"/>
      <c r="S17" s="706"/>
      <c r="T17" s="705"/>
      <c r="U17" s="706"/>
      <c r="V17" s="705"/>
      <c r="W17" s="706"/>
      <c r="X17" s="1355"/>
      <c r="Y17" s="3692"/>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92"/>
      <c r="Q18" s="1352" t="str">
        <f>B18</f>
        <v>基础设施水平</v>
      </c>
      <c r="R18" s="705" t="s">
        <v>14</v>
      </c>
      <c r="S18" s="706">
        <f>F18</f>
        <v>100</v>
      </c>
      <c r="T18" s="705" t="s">
        <v>14</v>
      </c>
      <c r="U18" s="706">
        <f>H18</f>
        <v>100</v>
      </c>
      <c r="V18" s="705" t="s">
        <v>14</v>
      </c>
      <c r="W18" s="706">
        <f>J18</f>
        <v>100</v>
      </c>
      <c r="X18" s="1355"/>
      <c r="Y18" s="3692"/>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92"/>
      <c r="Q19" s="1352"/>
      <c r="R19" s="705"/>
      <c r="S19" s="706"/>
      <c r="T19" s="705"/>
      <c r="U19" s="706"/>
      <c r="V19" s="705"/>
      <c r="W19" s="706"/>
      <c r="X19" s="1355"/>
      <c r="Y19" s="3692"/>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92"/>
      <c r="Q20" s="1352" t="str">
        <f>B20</f>
        <v>自然及人文环境</v>
      </c>
      <c r="R20" s="705" t="s">
        <v>14</v>
      </c>
      <c r="S20" s="706">
        <f>F20</f>
        <v>100</v>
      </c>
      <c r="T20" s="705" t="s">
        <v>14</v>
      </c>
      <c r="U20" s="706">
        <f>H20</f>
        <v>100</v>
      </c>
      <c r="V20" s="705" t="s">
        <v>14</v>
      </c>
      <c r="W20" s="706">
        <f>J20</f>
        <v>100</v>
      </c>
      <c r="X20" s="1355"/>
      <c r="Y20" s="3692"/>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92"/>
      <c r="Q21" s="1352"/>
      <c r="R21" s="705"/>
      <c r="S21" s="706"/>
      <c r="T21" s="705"/>
      <c r="U21" s="706"/>
      <c r="V21" s="705"/>
      <c r="W21" s="706"/>
      <c r="X21" s="1355"/>
      <c r="Y21" s="3692"/>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92"/>
      <c r="Q22" s="1352" t="str">
        <f>B22</f>
        <v>楼层</v>
      </c>
      <c r="R22" s="705" t="s">
        <v>14</v>
      </c>
      <c r="S22" s="706">
        <f>F22</f>
        <v>100</v>
      </c>
      <c r="T22" s="705" t="s">
        <v>14</v>
      </c>
      <c r="U22" s="706">
        <f>H22</f>
        <v>100</v>
      </c>
      <c r="V22" s="705" t="s">
        <v>14</v>
      </c>
      <c r="W22" s="706">
        <f>J22</f>
        <v>100</v>
      </c>
      <c r="X22" s="1355"/>
      <c r="Y22" s="3692"/>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92"/>
      <c r="Q23" s="1352">
        <f>B23</f>
        <v>111</v>
      </c>
      <c r="R23" s="705" t="s">
        <v>14</v>
      </c>
      <c r="S23" s="706">
        <f>F23</f>
        <v>100</v>
      </c>
      <c r="T23" s="705" t="s">
        <v>14</v>
      </c>
      <c r="U23" s="706">
        <f>H23</f>
        <v>100</v>
      </c>
      <c r="V23" s="705" t="s">
        <v>14</v>
      </c>
      <c r="W23" s="706">
        <f>J23</f>
        <v>100</v>
      </c>
      <c r="X23" s="1355"/>
      <c r="Y23" s="3692"/>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92"/>
      <c r="Q24" s="1352">
        <f t="shared" ref="Q24:Q36" si="11">B24</f>
        <v>111</v>
      </c>
      <c r="R24" s="705" t="s">
        <v>14</v>
      </c>
      <c r="S24" s="706">
        <f>F24</f>
        <v>100</v>
      </c>
      <c r="T24" s="705" t="s">
        <v>14</v>
      </c>
      <c r="U24" s="706">
        <f>H24</f>
        <v>100</v>
      </c>
      <c r="V24" s="705" t="s">
        <v>14</v>
      </c>
      <c r="W24" s="706">
        <f>J24</f>
        <v>100</v>
      </c>
      <c r="X24" s="1355"/>
      <c r="Y24" s="3692"/>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92"/>
      <c r="Q25" s="1343">
        <f t="shared" si="11"/>
        <v>111</v>
      </c>
      <c r="R25" s="701" t="s">
        <v>14</v>
      </c>
      <c r="S25" s="702">
        <f>F25</f>
        <v>100</v>
      </c>
      <c r="T25" s="701" t="s">
        <v>14</v>
      </c>
      <c r="U25" s="702">
        <f>H25</f>
        <v>100</v>
      </c>
      <c r="V25" s="701" t="s">
        <v>14</v>
      </c>
      <c r="W25" s="702">
        <f>J25</f>
        <v>100</v>
      </c>
      <c r="X25" s="703"/>
      <c r="Y25" s="3692"/>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70"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96"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96"/>
      <c r="Q27" s="707" t="str">
        <f t="shared" si="11"/>
        <v>项目停车位配比</v>
      </c>
      <c r="R27" s="708" t="s">
        <v>14</v>
      </c>
      <c r="S27" s="709">
        <f t="shared" si="12"/>
        <v>100</v>
      </c>
      <c r="T27" s="708" t="s">
        <v>14</v>
      </c>
      <c r="U27" s="709">
        <f t="shared" si="13"/>
        <v>100</v>
      </c>
      <c r="V27" s="708" t="s">
        <v>14</v>
      </c>
      <c r="W27" s="709">
        <f t="shared" si="14"/>
        <v>100</v>
      </c>
      <c r="X27" s="710"/>
      <c r="Y27" s="3696"/>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96"/>
      <c r="Q28" s="1352" t="str">
        <f t="shared" si="11"/>
        <v>公共部分装修</v>
      </c>
      <c r="R28" s="705" t="s">
        <v>14</v>
      </c>
      <c r="S28" s="706">
        <f t="shared" si="12"/>
        <v>100</v>
      </c>
      <c r="T28" s="705" t="s">
        <v>14</v>
      </c>
      <c r="U28" s="706">
        <f t="shared" si="13"/>
        <v>100</v>
      </c>
      <c r="V28" s="705" t="s">
        <v>14</v>
      </c>
      <c r="W28" s="706">
        <f t="shared" si="14"/>
        <v>100</v>
      </c>
      <c r="X28" s="1355"/>
      <c r="Y28" s="3696"/>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96"/>
      <c r="Q29" s="1352" t="str">
        <f t="shared" si="11"/>
        <v>成新率</v>
      </c>
      <c r="R29" s="705" t="s">
        <v>14</v>
      </c>
      <c r="S29" s="706" t="e">
        <f t="shared" si="12"/>
        <v>#N/A</v>
      </c>
      <c r="T29" s="705" t="s">
        <v>14</v>
      </c>
      <c r="U29" s="706" t="e">
        <f t="shared" si="13"/>
        <v>#N/A</v>
      </c>
      <c r="V29" s="705" t="s">
        <v>14</v>
      </c>
      <c r="W29" s="706" t="e">
        <f t="shared" si="14"/>
        <v>#N/A</v>
      </c>
      <c r="X29" s="1355"/>
      <c r="Y29" s="3696"/>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96"/>
      <c r="Q30" s="1352" t="str">
        <f t="shared" si="11"/>
        <v>物业等级</v>
      </c>
      <c r="R30" s="705" t="s">
        <v>14</v>
      </c>
      <c r="S30" s="706">
        <f t="shared" si="12"/>
        <v>100</v>
      </c>
      <c r="T30" s="705" t="s">
        <v>14</v>
      </c>
      <c r="U30" s="706">
        <f t="shared" si="13"/>
        <v>100</v>
      </c>
      <c r="V30" s="705" t="s">
        <v>14</v>
      </c>
      <c r="W30" s="706">
        <f t="shared" si="14"/>
        <v>100</v>
      </c>
      <c r="X30" s="1355"/>
      <c r="Y30" s="3696"/>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96"/>
      <c r="Q31" s="1343" t="str">
        <f t="shared" si="11"/>
        <v>停车位面积</v>
      </c>
      <c r="R31" s="701" t="s">
        <v>14</v>
      </c>
      <c r="S31" s="702" t="e">
        <f t="shared" si="12"/>
        <v>#N/A</v>
      </c>
      <c r="T31" s="701" t="s">
        <v>14</v>
      </c>
      <c r="U31" s="702" t="e">
        <f t="shared" si="13"/>
        <v>#N/A</v>
      </c>
      <c r="V31" s="701" t="s">
        <v>14</v>
      </c>
      <c r="W31" s="702" t="e">
        <f t="shared" si="14"/>
        <v>#N/A</v>
      </c>
      <c r="X31" s="703"/>
      <c r="Y31" s="3696"/>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96" t="s">
        <v>1696</v>
      </c>
      <c r="Q32" s="1352" t="str">
        <f t="shared" si="11"/>
        <v>车位类型</v>
      </c>
      <c r="R32" s="705" t="s">
        <v>14</v>
      </c>
      <c r="S32" s="706">
        <f t="shared" si="12"/>
        <v>100</v>
      </c>
      <c r="T32" s="705" t="s">
        <v>14</v>
      </c>
      <c r="U32" s="706">
        <f t="shared" si="13"/>
        <v>100</v>
      </c>
      <c r="V32" s="705" t="s">
        <v>14</v>
      </c>
      <c r="W32" s="706">
        <f t="shared" si="14"/>
        <v>100</v>
      </c>
      <c r="X32" s="1355"/>
      <c r="Y32" s="3696"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96"/>
      <c r="Q33" s="1352" t="str">
        <f t="shared" si="11"/>
        <v>是否直接入户</v>
      </c>
      <c r="R33" s="705" t="s">
        <v>14</v>
      </c>
      <c r="S33" s="706">
        <f t="shared" si="12"/>
        <v>100</v>
      </c>
      <c r="T33" s="705" t="s">
        <v>14</v>
      </c>
      <c r="U33" s="706">
        <f t="shared" si="13"/>
        <v>100</v>
      </c>
      <c r="V33" s="705" t="s">
        <v>14</v>
      </c>
      <c r="W33" s="706">
        <f t="shared" si="14"/>
        <v>100</v>
      </c>
      <c r="X33" s="1355"/>
      <c r="Y33" s="3696"/>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96"/>
      <c r="Q34" s="1352">
        <f t="shared" si="11"/>
        <v>111</v>
      </c>
      <c r="R34" s="705" t="s">
        <v>14</v>
      </c>
      <c r="S34" s="706">
        <f t="shared" si="12"/>
        <v>100</v>
      </c>
      <c r="T34" s="705" t="s">
        <v>14</v>
      </c>
      <c r="U34" s="706">
        <f t="shared" si="13"/>
        <v>100</v>
      </c>
      <c r="V34" s="705" t="s">
        <v>14</v>
      </c>
      <c r="W34" s="706">
        <f t="shared" si="14"/>
        <v>100</v>
      </c>
      <c r="X34" s="1355"/>
      <c r="Y34" s="3696"/>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96"/>
      <c r="Q35" s="707">
        <f t="shared" si="11"/>
        <v>111</v>
      </c>
      <c r="R35" s="708" t="s">
        <v>14</v>
      </c>
      <c r="S35" s="709">
        <f t="shared" si="12"/>
        <v>100</v>
      </c>
      <c r="T35" s="708" t="s">
        <v>14</v>
      </c>
      <c r="U35" s="709">
        <f t="shared" si="13"/>
        <v>100</v>
      </c>
      <c r="V35" s="708" t="s">
        <v>14</v>
      </c>
      <c r="W35" s="709">
        <f t="shared" si="14"/>
        <v>100</v>
      </c>
      <c r="X35" s="710"/>
      <c r="Y35" s="3696"/>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96"/>
      <c r="Q36" s="1352">
        <f t="shared" si="11"/>
        <v>111</v>
      </c>
      <c r="R36" s="705" t="s">
        <v>14</v>
      </c>
      <c r="S36" s="706">
        <f t="shared" si="12"/>
        <v>100</v>
      </c>
      <c r="T36" s="705" t="s">
        <v>14</v>
      </c>
      <c r="U36" s="706">
        <f t="shared" si="13"/>
        <v>100</v>
      </c>
      <c r="V36" s="705" t="s">
        <v>14</v>
      </c>
      <c r="W36" s="706">
        <f t="shared" si="14"/>
        <v>100</v>
      </c>
      <c r="X36" s="1355"/>
      <c r="Y36" s="3696"/>
      <c r="Z36" s="1356">
        <f t="shared" si="15"/>
        <v>111</v>
      </c>
      <c r="AA36" s="1353">
        <f t="shared" si="3"/>
        <v>1</v>
      </c>
      <c r="AB36" s="1353">
        <f t="shared" si="4"/>
        <v>1</v>
      </c>
      <c r="AC36" s="1353">
        <f t="shared" si="5"/>
        <v>1</v>
      </c>
    </row>
    <row r="37" spans="1:29" ht="15">
      <c r="A37" s="430" t="s">
        <v>1844</v>
      </c>
      <c r="B37" s="1973" t="s">
        <v>3363</v>
      </c>
      <c r="C37" s="1154" t="s">
        <v>0</v>
      </c>
      <c r="D37" s="1155"/>
      <c r="E37" s="1156"/>
      <c r="F37" s="1157"/>
      <c r="G37" s="1158"/>
      <c r="H37" s="1159"/>
      <c r="I37" s="1156"/>
      <c r="J37" s="1159"/>
      <c r="K37" s="568"/>
      <c r="L37" s="2724"/>
      <c r="M37" s="2725"/>
      <c r="N37" s="2716"/>
      <c r="O37" s="2725"/>
      <c r="P37" s="3684" t="str">
        <f>A37</f>
        <v>成交单价</v>
      </c>
      <c r="Q37" s="3684"/>
      <c r="R37" s="3685">
        <f>E37</f>
        <v>0</v>
      </c>
      <c r="S37" s="3685"/>
      <c r="T37" s="3685">
        <f>G37</f>
        <v>0</v>
      </c>
      <c r="U37" s="3685"/>
      <c r="V37" s="3685">
        <f>I37</f>
        <v>0</v>
      </c>
      <c r="W37" s="3685"/>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684" t="str">
        <f>A38</f>
        <v>比较价值（元/平方米）</v>
      </c>
      <c r="Q38" s="3684"/>
      <c r="R38" s="3685" t="e">
        <f>IF(F1="售价",ROUND(PRODUCT(R37,AA7:AA36),0),ROUND(PRODUCT(R37,AA7:AA36),1))</f>
        <v>#DIV/0!</v>
      </c>
      <c r="S38" s="3685"/>
      <c r="T38" s="3685" t="e">
        <f>IF(F1="售价",ROUND(PRODUCT(T37,AB7:AB36),0),ROUND(PRODUCT(T37,AB7:AB36),1))</f>
        <v>#DIV/0!</v>
      </c>
      <c r="U38" s="3685"/>
      <c r="V38" s="3685" t="e">
        <f>IF(F1="售价",ROUND(PRODUCT(V37,AC7:AC36),0),ROUND(PRODUCT(V37,AC7:AC36),1))</f>
        <v>#DIV/0!</v>
      </c>
      <c r="W38" s="3685"/>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60" t="str">
        <f>A39</f>
        <v>估价对象XX用房的比较价值（楼面单价，元/平方米）</v>
      </c>
      <c r="Q39" s="3761"/>
      <c r="R39" s="3771" t="e">
        <f>IF(F1="售价",ROUND(IF(D38="简单平均",AVERAGE(R38:W38),R38*F38+T38*H38+V38*J38),0),ROUND(IF(D38="简单平均",AVERAGE(R38:V38),R38*F38+T38*H38+V38*J38),1))</f>
        <v>#DIV/0!</v>
      </c>
      <c r="S39" s="3771"/>
      <c r="T39" s="3771"/>
      <c r="U39" s="3771"/>
      <c r="V39" s="3771"/>
      <c r="W39" s="3771"/>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2023-1</v>
      </c>
      <c r="D48" s="1185">
        <f>EDATE(C48,-1)</f>
        <v>44896</v>
      </c>
      <c r="E48" s="1185">
        <f t="shared" ref="E48:O48" si="16">EDATE(D48,-1)</f>
        <v>44866</v>
      </c>
      <c r="F48" s="1185">
        <f t="shared" si="16"/>
        <v>44835</v>
      </c>
      <c r="G48" s="1185">
        <f t="shared" si="16"/>
        <v>44805</v>
      </c>
      <c r="H48" s="1185">
        <f t="shared" si="16"/>
        <v>44774</v>
      </c>
      <c r="I48" s="1185">
        <f t="shared" si="16"/>
        <v>44743</v>
      </c>
      <c r="J48" s="1185">
        <f t="shared" si="16"/>
        <v>44713</v>
      </c>
      <c r="K48" s="1185">
        <f t="shared" si="16"/>
        <v>44682</v>
      </c>
      <c r="L48" s="1185">
        <f t="shared" si="16"/>
        <v>44652</v>
      </c>
      <c r="M48" s="1185">
        <f t="shared" si="16"/>
        <v>44621</v>
      </c>
      <c r="N48" s="1185">
        <f t="shared" si="16"/>
        <v>44593</v>
      </c>
      <c r="O48" s="1185">
        <f t="shared" si="16"/>
        <v>44562</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O26" sqref="O26"/>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3343</v>
      </c>
      <c r="C1" s="1224" t="s">
        <v>1662</v>
      </c>
      <c r="D1" s="1225"/>
      <c r="E1" s="3434"/>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1" t="s">
        <v>1770</v>
      </c>
      <c r="D4" s="3702"/>
      <c r="E4" s="3703" t="s">
        <v>1771</v>
      </c>
      <c r="F4" s="3704"/>
      <c r="G4" s="3701" t="s">
        <v>1772</v>
      </c>
      <c r="H4" s="3702"/>
      <c r="I4" s="3701" t="s">
        <v>1773</v>
      </c>
      <c r="J4" s="3702"/>
      <c r="K4" s="559" t="s">
        <v>1774</v>
      </c>
      <c r="L4" s="2715"/>
      <c r="M4" s="2716"/>
      <c r="N4" s="2716"/>
      <c r="O4" s="2716"/>
      <c r="P4" s="3764" t="s">
        <v>1775</v>
      </c>
      <c r="Q4" s="3765"/>
      <c r="R4" s="3768" t="s">
        <v>1771</v>
      </c>
      <c r="S4" s="3769"/>
      <c r="T4" s="3768" t="s">
        <v>1772</v>
      </c>
      <c r="U4" s="3769"/>
      <c r="V4" s="3718" t="s">
        <v>1773</v>
      </c>
      <c r="W4" s="3718"/>
      <c r="X4" s="1355"/>
      <c r="Y4" s="3768" t="s">
        <v>1775</v>
      </c>
      <c r="Z4" s="3769"/>
      <c r="AA4" s="3763" t="s">
        <v>1771</v>
      </c>
      <c r="AB4" s="3730" t="s">
        <v>1772</v>
      </c>
      <c r="AC4" s="3763" t="s">
        <v>1773</v>
      </c>
    </row>
    <row r="5" spans="1:29" ht="15">
      <c r="A5" s="358"/>
      <c r="B5" s="359"/>
      <c r="C5" s="3721" t="s">
        <v>1673</v>
      </c>
      <c r="D5" s="3722"/>
      <c r="E5" s="3732" t="s">
        <v>1674</v>
      </c>
      <c r="F5" s="3733"/>
      <c r="G5" s="3721" t="s">
        <v>1675</v>
      </c>
      <c r="H5" s="3722"/>
      <c r="I5" s="3721" t="s">
        <v>1676</v>
      </c>
      <c r="J5" s="3722"/>
      <c r="K5" s="559"/>
      <c r="L5" s="2715"/>
      <c r="M5" s="2716"/>
      <c r="N5" s="2716"/>
      <c r="O5" s="2716"/>
      <c r="P5" s="3766"/>
      <c r="Q5" s="3708"/>
      <c r="R5" s="3713"/>
      <c r="S5" s="3714"/>
      <c r="T5" s="3713"/>
      <c r="U5" s="3714"/>
      <c r="V5" s="3718"/>
      <c r="W5" s="3718"/>
      <c r="X5" s="1355"/>
      <c r="Y5" s="3713"/>
      <c r="Z5" s="3714"/>
      <c r="AA5" s="3730"/>
      <c r="AB5" s="3730"/>
      <c r="AC5" s="3730"/>
    </row>
    <row r="6" spans="1:29" ht="15.75" thickBot="1">
      <c r="A6" s="360"/>
      <c r="B6" s="361"/>
      <c r="C6" s="3719" t="s">
        <v>1677</v>
      </c>
      <c r="D6" s="3720"/>
      <c r="E6" s="3727" t="s">
        <v>1677</v>
      </c>
      <c r="F6" s="3728"/>
      <c r="G6" s="3719" t="s">
        <v>1677</v>
      </c>
      <c r="H6" s="3720"/>
      <c r="I6" s="3719" t="s">
        <v>1677</v>
      </c>
      <c r="J6" s="3720"/>
      <c r="K6" s="559" t="s">
        <v>1678</v>
      </c>
      <c r="L6" s="2715"/>
      <c r="M6" s="2716"/>
      <c r="N6" s="2716"/>
      <c r="O6" s="2716"/>
      <c r="P6" s="3767"/>
      <c r="Q6" s="3710"/>
      <c r="R6" s="3713"/>
      <c r="S6" s="3714"/>
      <c r="T6" s="3715"/>
      <c r="U6" s="3716"/>
      <c r="V6" s="3718"/>
      <c r="W6" s="3718"/>
      <c r="X6" s="1355"/>
      <c r="Y6" s="3715"/>
      <c r="Z6" s="3716"/>
      <c r="AA6" s="3731"/>
      <c r="AB6" s="3731"/>
      <c r="AC6" s="3731"/>
    </row>
    <row r="7" spans="1:29" s="108" customFormat="1" ht="15.75" thickBot="1">
      <c r="A7" s="362" t="s">
        <v>1679</v>
      </c>
      <c r="B7" s="363"/>
      <c r="C7" s="364">
        <f>'数据-取费表'!B2</f>
        <v>44937</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725" t="s">
        <v>1680</v>
      </c>
      <c r="Q7" s="3726"/>
      <c r="R7" s="701" t="s">
        <v>14</v>
      </c>
      <c r="S7" s="702">
        <f t="shared" ref="S7:S14" si="0">F7</f>
        <v>0</v>
      </c>
      <c r="T7" s="701" t="s">
        <v>14</v>
      </c>
      <c r="U7" s="702">
        <f t="shared" ref="U7:U14" si="1">H7</f>
        <v>0</v>
      </c>
      <c r="V7" s="701" t="s">
        <v>14</v>
      </c>
      <c r="W7" s="702">
        <f t="shared" ref="W7:W14" si="2">J7</f>
        <v>0</v>
      </c>
      <c r="X7" s="703"/>
      <c r="Y7" s="3725" t="s">
        <v>1680</v>
      </c>
      <c r="Z7" s="3724"/>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725" t="s">
        <v>1683</v>
      </c>
      <c r="Q8" s="3724"/>
      <c r="R8" s="701" t="s">
        <v>14</v>
      </c>
      <c r="S8" s="702">
        <f t="shared" si="0"/>
        <v>100</v>
      </c>
      <c r="T8" s="701" t="s">
        <v>14</v>
      </c>
      <c r="U8" s="702">
        <f t="shared" si="1"/>
        <v>100</v>
      </c>
      <c r="V8" s="701" t="s">
        <v>14</v>
      </c>
      <c r="W8" s="702">
        <f t="shared" si="2"/>
        <v>100</v>
      </c>
      <c r="X8" s="703"/>
      <c r="Y8" s="3725" t="s">
        <v>1683</v>
      </c>
      <c r="Z8" s="3724"/>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84" t="s">
        <v>1686</v>
      </c>
      <c r="Q9" s="1343" t="str">
        <f t="shared" ref="Q9:Q14" si="6">B9</f>
        <v>用途</v>
      </c>
      <c r="R9" s="701" t="s">
        <v>14</v>
      </c>
      <c r="S9" s="702">
        <f t="shared" si="0"/>
        <v>100</v>
      </c>
      <c r="T9" s="701" t="s">
        <v>14</v>
      </c>
      <c r="U9" s="702">
        <f t="shared" si="1"/>
        <v>100</v>
      </c>
      <c r="V9" s="701" t="s">
        <v>14</v>
      </c>
      <c r="W9" s="702">
        <f t="shared" si="2"/>
        <v>100</v>
      </c>
      <c r="X9" s="703"/>
      <c r="Y9" s="3568" t="s">
        <v>1687</v>
      </c>
      <c r="Z9" s="52" t="str">
        <f t="shared" ref="Z9:Z14" si="7">Q9</f>
        <v>用途</v>
      </c>
      <c r="AA9" s="704">
        <f t="shared" si="3"/>
        <v>1</v>
      </c>
      <c r="AB9" s="704">
        <f t="shared" si="4"/>
        <v>1</v>
      </c>
      <c r="AC9" s="704">
        <f t="shared" si="5"/>
        <v>1</v>
      </c>
    </row>
    <row r="10" spans="1:29" s="378" customFormat="1" ht="27">
      <c r="A10" s="374"/>
      <c r="B10" s="375" t="s">
        <v>1688</v>
      </c>
      <c r="C10" s="3435"/>
      <c r="D10" s="127">
        <v>100</v>
      </c>
      <c r="E10" s="3435"/>
      <c r="F10" s="376">
        <f>SUMIF(53:53,E10,54:54)-SUMIF(53:53,C10,54:54)+100</f>
        <v>100</v>
      </c>
      <c r="G10" s="3435"/>
      <c r="H10" s="127">
        <f>SUMIF(53:53,G10,54:54)-SUMIF(53:53,C10,54:54)+100</f>
        <v>100</v>
      </c>
      <c r="I10" s="3435"/>
      <c r="J10" s="127">
        <f>SUMIF(53:53,I10,54:54)-SUMIF(53:53,C10,54:54)+100</f>
        <v>100</v>
      </c>
      <c r="K10" s="560"/>
      <c r="L10" s="2719"/>
      <c r="M10" s="2720"/>
      <c r="N10" s="2720"/>
      <c r="O10" s="2773"/>
      <c r="P10" s="3684"/>
      <c r="Q10" s="1343" t="str">
        <f t="shared" si="6"/>
        <v>土地使用年限（年）</v>
      </c>
      <c r="R10" s="701" t="s">
        <v>14</v>
      </c>
      <c r="S10" s="702">
        <f t="shared" si="0"/>
        <v>100</v>
      </c>
      <c r="T10" s="701" t="s">
        <v>14</v>
      </c>
      <c r="U10" s="702">
        <f t="shared" si="1"/>
        <v>100</v>
      </c>
      <c r="V10" s="701" t="s">
        <v>14</v>
      </c>
      <c r="W10" s="702">
        <f t="shared" si="2"/>
        <v>100</v>
      </c>
      <c r="X10" s="703"/>
      <c r="Y10" s="3568"/>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84"/>
      <c r="Q11" s="1343">
        <f t="shared" si="6"/>
        <v>111</v>
      </c>
      <c r="R11" s="701" t="s">
        <v>14</v>
      </c>
      <c r="S11" s="702">
        <f t="shared" si="0"/>
        <v>100</v>
      </c>
      <c r="T11" s="701" t="s">
        <v>14</v>
      </c>
      <c r="U11" s="702">
        <f t="shared" si="1"/>
        <v>100</v>
      </c>
      <c r="V11" s="701" t="s">
        <v>14</v>
      </c>
      <c r="W11" s="702">
        <f t="shared" si="2"/>
        <v>100</v>
      </c>
      <c r="X11" s="703"/>
      <c r="Y11" s="3568"/>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84"/>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84"/>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91" t="s">
        <v>1691</v>
      </c>
      <c r="Q14" s="1352" t="str">
        <f t="shared" si="6"/>
        <v>交通便捷度</v>
      </c>
      <c r="R14" s="705" t="s">
        <v>14</v>
      </c>
      <c r="S14" s="706">
        <f t="shared" si="0"/>
        <v>100</v>
      </c>
      <c r="T14" s="705" t="s">
        <v>14</v>
      </c>
      <c r="U14" s="706">
        <f t="shared" si="1"/>
        <v>100</v>
      </c>
      <c r="V14" s="705" t="s">
        <v>14</v>
      </c>
      <c r="W14" s="706">
        <f t="shared" si="2"/>
        <v>100</v>
      </c>
      <c r="X14" s="1355"/>
      <c r="Y14" s="3691"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92"/>
      <c r="Q15" s="1352"/>
      <c r="R15" s="705"/>
      <c r="S15" s="706"/>
      <c r="T15" s="705"/>
      <c r="U15" s="706"/>
      <c r="V15" s="705"/>
      <c r="W15" s="706"/>
      <c r="X15" s="1355"/>
      <c r="Y15" s="3692"/>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92"/>
      <c r="Q16" s="1352" t="str">
        <f>B16</f>
        <v>公共配套设施</v>
      </c>
      <c r="R16" s="705" t="s">
        <v>14</v>
      </c>
      <c r="S16" s="706">
        <f>F16</f>
        <v>100</v>
      </c>
      <c r="T16" s="705" t="s">
        <v>14</v>
      </c>
      <c r="U16" s="706">
        <f>H16</f>
        <v>100</v>
      </c>
      <c r="V16" s="705" t="s">
        <v>14</v>
      </c>
      <c r="W16" s="706">
        <f>J16</f>
        <v>100</v>
      </c>
      <c r="X16" s="1355"/>
      <c r="Y16" s="3692"/>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92"/>
      <c r="Q17" s="1352"/>
      <c r="R17" s="705"/>
      <c r="S17" s="706"/>
      <c r="T17" s="705"/>
      <c r="U17" s="706"/>
      <c r="V17" s="705"/>
      <c r="W17" s="706"/>
      <c r="X17" s="1355"/>
      <c r="Y17" s="3692"/>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92"/>
      <c r="Q18" s="1352" t="str">
        <f>B18</f>
        <v>基础设施水平</v>
      </c>
      <c r="R18" s="705" t="s">
        <v>14</v>
      </c>
      <c r="S18" s="706">
        <f>F18</f>
        <v>100</v>
      </c>
      <c r="T18" s="705" t="s">
        <v>14</v>
      </c>
      <c r="U18" s="706">
        <f>H18</f>
        <v>100</v>
      </c>
      <c r="V18" s="705" t="s">
        <v>14</v>
      </c>
      <c r="W18" s="706">
        <f>J18</f>
        <v>100</v>
      </c>
      <c r="X18" s="1355"/>
      <c r="Y18" s="3692"/>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92"/>
      <c r="Q19" s="1352"/>
      <c r="R19" s="705"/>
      <c r="S19" s="706"/>
      <c r="T19" s="705"/>
      <c r="U19" s="706"/>
      <c r="V19" s="705"/>
      <c r="W19" s="706"/>
      <c r="X19" s="1355"/>
      <c r="Y19" s="3692"/>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92"/>
      <c r="Q20" s="1352" t="str">
        <f>B20</f>
        <v>自然及人文环境</v>
      </c>
      <c r="R20" s="705" t="s">
        <v>14</v>
      </c>
      <c r="S20" s="706">
        <f>F20</f>
        <v>100</v>
      </c>
      <c r="T20" s="705" t="s">
        <v>14</v>
      </c>
      <c r="U20" s="706">
        <f>H20</f>
        <v>100</v>
      </c>
      <c r="V20" s="705" t="s">
        <v>14</v>
      </c>
      <c r="W20" s="706">
        <f>J20</f>
        <v>100</v>
      </c>
      <c r="X20" s="1355"/>
      <c r="Y20" s="3692"/>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92"/>
      <c r="Q21" s="1352"/>
      <c r="R21" s="705"/>
      <c r="S21" s="706"/>
      <c r="T21" s="705"/>
      <c r="U21" s="706"/>
      <c r="V21" s="705"/>
      <c r="W21" s="706"/>
      <c r="X21" s="1355"/>
      <c r="Y21" s="3692"/>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92"/>
      <c r="Q22" s="1352" t="str">
        <f>B22</f>
        <v>楼层</v>
      </c>
      <c r="R22" s="705" t="s">
        <v>14</v>
      </c>
      <c r="S22" s="706">
        <f>F22</f>
        <v>100</v>
      </c>
      <c r="T22" s="705" t="s">
        <v>14</v>
      </c>
      <c r="U22" s="706">
        <f>H22</f>
        <v>100</v>
      </c>
      <c r="V22" s="705" t="s">
        <v>14</v>
      </c>
      <c r="W22" s="706">
        <f>J22</f>
        <v>100</v>
      </c>
      <c r="X22" s="1355"/>
      <c r="Y22" s="3692"/>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92"/>
      <c r="Q23" s="1352">
        <f>B23</f>
        <v>111</v>
      </c>
      <c r="R23" s="705" t="s">
        <v>14</v>
      </c>
      <c r="S23" s="706">
        <f>F23</f>
        <v>100</v>
      </c>
      <c r="T23" s="705" t="s">
        <v>14</v>
      </c>
      <c r="U23" s="706">
        <f>H23</f>
        <v>100</v>
      </c>
      <c r="V23" s="705" t="s">
        <v>14</v>
      </c>
      <c r="W23" s="706">
        <f>J23</f>
        <v>100</v>
      </c>
      <c r="X23" s="1355"/>
      <c r="Y23" s="3692"/>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92"/>
      <c r="Q24" s="1352">
        <f t="shared" ref="Q24:Q34" si="11">B24</f>
        <v>111</v>
      </c>
      <c r="R24" s="705" t="s">
        <v>14</v>
      </c>
      <c r="S24" s="706">
        <f>F24</f>
        <v>100</v>
      </c>
      <c r="T24" s="705" t="s">
        <v>14</v>
      </c>
      <c r="U24" s="706">
        <f>H24</f>
        <v>100</v>
      </c>
      <c r="V24" s="705" t="s">
        <v>14</v>
      </c>
      <c r="W24" s="706">
        <f>J24</f>
        <v>100</v>
      </c>
      <c r="X24" s="1355"/>
      <c r="Y24" s="3692"/>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92"/>
      <c r="Q25" s="1343">
        <f t="shared" si="11"/>
        <v>111</v>
      </c>
      <c r="R25" s="701" t="s">
        <v>14</v>
      </c>
      <c r="S25" s="702">
        <f>F25</f>
        <v>100</v>
      </c>
      <c r="T25" s="701" t="s">
        <v>14</v>
      </c>
      <c r="U25" s="702">
        <f>H25</f>
        <v>100</v>
      </c>
      <c r="V25" s="701" t="s">
        <v>14</v>
      </c>
      <c r="W25" s="702">
        <f>J25</f>
        <v>100</v>
      </c>
      <c r="X25" s="703"/>
      <c r="Y25" s="3692"/>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70"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96"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96"/>
      <c r="Q27" s="707" t="str">
        <f t="shared" si="11"/>
        <v>成新率</v>
      </c>
      <c r="R27" s="708" t="s">
        <v>14</v>
      </c>
      <c r="S27" s="709" t="e">
        <f t="shared" si="12"/>
        <v>#N/A</v>
      </c>
      <c r="T27" s="708" t="s">
        <v>14</v>
      </c>
      <c r="U27" s="709" t="e">
        <f t="shared" si="13"/>
        <v>#N/A</v>
      </c>
      <c r="V27" s="708" t="s">
        <v>14</v>
      </c>
      <c r="W27" s="709" t="e">
        <f t="shared" si="14"/>
        <v>#N/A</v>
      </c>
      <c r="X27" s="710"/>
      <c r="Y27" s="3696"/>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96"/>
      <c r="Q28" s="1352" t="str">
        <f t="shared" si="11"/>
        <v>物业等级</v>
      </c>
      <c r="R28" s="705" t="s">
        <v>14</v>
      </c>
      <c r="S28" s="706">
        <f t="shared" si="12"/>
        <v>100</v>
      </c>
      <c r="T28" s="705" t="s">
        <v>14</v>
      </c>
      <c r="U28" s="706">
        <f t="shared" si="13"/>
        <v>100</v>
      </c>
      <c r="V28" s="705" t="s">
        <v>14</v>
      </c>
      <c r="W28" s="706">
        <f t="shared" si="14"/>
        <v>100</v>
      </c>
      <c r="X28" s="1355"/>
      <c r="Y28" s="3696"/>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96"/>
      <c r="Q29" s="1352" t="str">
        <f t="shared" si="11"/>
        <v>有无电梯</v>
      </c>
      <c r="R29" s="705" t="s">
        <v>14</v>
      </c>
      <c r="S29" s="706">
        <f t="shared" si="12"/>
        <v>100</v>
      </c>
      <c r="T29" s="705" t="s">
        <v>14</v>
      </c>
      <c r="U29" s="706">
        <f t="shared" si="13"/>
        <v>100</v>
      </c>
      <c r="V29" s="705" t="s">
        <v>14</v>
      </c>
      <c r="W29" s="706">
        <f t="shared" si="14"/>
        <v>100</v>
      </c>
      <c r="X29" s="1355"/>
      <c r="Y29" s="3696"/>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96"/>
      <c r="Q30" s="1352" t="str">
        <f t="shared" si="11"/>
        <v>建筑面积</v>
      </c>
      <c r="R30" s="705" t="s">
        <v>14</v>
      </c>
      <c r="S30" s="706" t="e">
        <f t="shared" si="12"/>
        <v>#N/A</v>
      </c>
      <c r="T30" s="705" t="s">
        <v>14</v>
      </c>
      <c r="U30" s="706" t="e">
        <f t="shared" si="13"/>
        <v>#N/A</v>
      </c>
      <c r="V30" s="705" t="s">
        <v>14</v>
      </c>
      <c r="W30" s="706" t="e">
        <f t="shared" si="14"/>
        <v>#N/A</v>
      </c>
      <c r="X30" s="1355"/>
      <c r="Y30" s="3696"/>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96"/>
      <c r="Q31" s="1343" t="str">
        <f t="shared" si="11"/>
        <v>是否封闭</v>
      </c>
      <c r="R31" s="701" t="s">
        <v>14</v>
      </c>
      <c r="S31" s="702">
        <f t="shared" si="12"/>
        <v>100</v>
      </c>
      <c r="T31" s="701" t="s">
        <v>14</v>
      </c>
      <c r="U31" s="702">
        <f t="shared" si="13"/>
        <v>100</v>
      </c>
      <c r="V31" s="701" t="s">
        <v>14</v>
      </c>
      <c r="W31" s="702">
        <f t="shared" si="14"/>
        <v>100</v>
      </c>
      <c r="X31" s="703"/>
      <c r="Y31" s="3696"/>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96" t="s">
        <v>1696</v>
      </c>
      <c r="Q32" s="1352">
        <f t="shared" si="11"/>
        <v>111</v>
      </c>
      <c r="R32" s="705" t="s">
        <v>14</v>
      </c>
      <c r="S32" s="706">
        <f t="shared" si="12"/>
        <v>100</v>
      </c>
      <c r="T32" s="705" t="s">
        <v>14</v>
      </c>
      <c r="U32" s="706">
        <f t="shared" si="13"/>
        <v>100</v>
      </c>
      <c r="V32" s="705" t="s">
        <v>14</v>
      </c>
      <c r="W32" s="706">
        <f t="shared" si="14"/>
        <v>100</v>
      </c>
      <c r="X32" s="1355"/>
      <c r="Y32" s="3696"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96"/>
      <c r="Q33" s="1352">
        <f t="shared" si="11"/>
        <v>111</v>
      </c>
      <c r="R33" s="705" t="s">
        <v>14</v>
      </c>
      <c r="S33" s="706">
        <f t="shared" si="12"/>
        <v>100</v>
      </c>
      <c r="T33" s="705" t="s">
        <v>14</v>
      </c>
      <c r="U33" s="706">
        <f t="shared" si="13"/>
        <v>100</v>
      </c>
      <c r="V33" s="705" t="s">
        <v>14</v>
      </c>
      <c r="W33" s="706">
        <f t="shared" si="14"/>
        <v>100</v>
      </c>
      <c r="X33" s="1355"/>
      <c r="Y33" s="3696"/>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96"/>
      <c r="Q34" s="1352">
        <f t="shared" si="11"/>
        <v>111</v>
      </c>
      <c r="R34" s="705" t="s">
        <v>14</v>
      </c>
      <c r="S34" s="706">
        <f t="shared" si="12"/>
        <v>100</v>
      </c>
      <c r="T34" s="705" t="s">
        <v>14</v>
      </c>
      <c r="U34" s="706">
        <f t="shared" si="13"/>
        <v>100</v>
      </c>
      <c r="V34" s="705" t="s">
        <v>14</v>
      </c>
      <c r="W34" s="706">
        <f t="shared" si="14"/>
        <v>100</v>
      </c>
      <c r="X34" s="1355"/>
      <c r="Y34" s="3696"/>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84" t="str">
        <f>A35</f>
        <v>成交单价（元/平方米）</v>
      </c>
      <c r="Q35" s="3684"/>
      <c r="R35" s="3685">
        <f>E35</f>
        <v>0</v>
      </c>
      <c r="S35" s="3685"/>
      <c r="T35" s="3685">
        <f>G35</f>
        <v>0</v>
      </c>
      <c r="U35" s="3685"/>
      <c r="V35" s="3685">
        <f>I35</f>
        <v>0</v>
      </c>
      <c r="W35" s="3685"/>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684" t="str">
        <f>A36</f>
        <v>比较价值（元/平方米）</v>
      </c>
      <c r="Q36" s="3684"/>
      <c r="R36" s="3685" t="e">
        <f>IF(F1="售价",ROUND(PRODUCT(R35,AA7:AA34),0),ROUND(PRODUCT(R35,AA7:AA34),1))</f>
        <v>#DIV/0!</v>
      </c>
      <c r="S36" s="3685"/>
      <c r="T36" s="3685" t="e">
        <f>IF(F1="售价",ROUND(PRODUCT(T35,AB7:AB34),0),ROUND(PRODUCT(T35,AB7:AB34),1))</f>
        <v>#DIV/0!</v>
      </c>
      <c r="U36" s="3685"/>
      <c r="V36" s="3685" t="e">
        <f>IF(F1="售价",ROUND(PRODUCT(V35,AC7:AC34),0),ROUND(PRODUCT(V35,AC7:AC34),1))</f>
        <v>#DIV/0!</v>
      </c>
      <c r="W36" s="3685"/>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60" t="str">
        <f>A37</f>
        <v>估价对象XX用房的比较价值（楼面单价，元/平方米）</v>
      </c>
      <c r="Q37" s="3761"/>
      <c r="R37" s="3771" t="e">
        <f>IF(F1="售价",ROUND(IF(D36="简单平均",AVERAGE(R36:W36),R36*F36+T36*H36+V36*J36),0),ROUND(IF(D36="简单平均",AVERAGE(R36:V36),R36*F36+T36*H36+V36*J36),1))</f>
        <v>#DIV/0!</v>
      </c>
      <c r="S37" s="3771"/>
      <c r="T37" s="3771"/>
      <c r="U37" s="3771"/>
      <c r="V37" s="3771"/>
      <c r="W37" s="3771"/>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2023-1</v>
      </c>
      <c r="D46" s="1185">
        <f>EDATE(C46,-1)</f>
        <v>44896</v>
      </c>
      <c r="E46" s="1185">
        <f t="shared" ref="E46:O46" si="16">EDATE(D46,-1)</f>
        <v>44866</v>
      </c>
      <c r="F46" s="1185">
        <f t="shared" si="16"/>
        <v>44835</v>
      </c>
      <c r="G46" s="1185">
        <f t="shared" si="16"/>
        <v>44805</v>
      </c>
      <c r="H46" s="1185">
        <f t="shared" si="16"/>
        <v>44774</v>
      </c>
      <c r="I46" s="1185">
        <f t="shared" si="16"/>
        <v>44743</v>
      </c>
      <c r="J46" s="1185">
        <f t="shared" si="16"/>
        <v>44713</v>
      </c>
      <c r="K46" s="1185">
        <f t="shared" si="16"/>
        <v>44682</v>
      </c>
      <c r="L46" s="1185">
        <f t="shared" si="16"/>
        <v>44652</v>
      </c>
      <c r="M46" s="1185">
        <f t="shared" si="16"/>
        <v>44621</v>
      </c>
      <c r="N46" s="1185">
        <f t="shared" si="16"/>
        <v>44593</v>
      </c>
      <c r="O46" s="1185">
        <f t="shared" si="16"/>
        <v>44562</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O26" sqref="O26"/>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701" t="s">
        <v>1770</v>
      </c>
      <c r="D4" s="3702"/>
      <c r="E4" s="3703" t="s">
        <v>1771</v>
      </c>
      <c r="F4" s="3704"/>
      <c r="G4" s="3701" t="s">
        <v>1772</v>
      </c>
      <c r="H4" s="3702"/>
      <c r="I4" s="3701" t="s">
        <v>1773</v>
      </c>
      <c r="J4" s="3702"/>
      <c r="K4" s="559" t="s">
        <v>1774</v>
      </c>
      <c r="L4" s="2715"/>
      <c r="M4" s="2716"/>
      <c r="N4" s="2716"/>
      <c r="O4" s="2716"/>
      <c r="P4" s="3764" t="s">
        <v>1775</v>
      </c>
      <c r="Q4" s="3765"/>
      <c r="R4" s="3768" t="s">
        <v>1771</v>
      </c>
      <c r="S4" s="3769"/>
      <c r="T4" s="3768" t="s">
        <v>1772</v>
      </c>
      <c r="U4" s="3769"/>
      <c r="V4" s="3718" t="s">
        <v>1773</v>
      </c>
      <c r="W4" s="3718"/>
      <c r="X4" s="1355"/>
      <c r="Y4" s="3768" t="s">
        <v>1775</v>
      </c>
      <c r="Z4" s="3769"/>
      <c r="AA4" s="3763" t="s">
        <v>1771</v>
      </c>
      <c r="AB4" s="3730" t="s">
        <v>1772</v>
      </c>
      <c r="AC4" s="3763" t="s">
        <v>1773</v>
      </c>
    </row>
    <row r="5" spans="1:30" ht="15">
      <c r="A5" s="358"/>
      <c r="B5" s="359"/>
      <c r="C5" s="3721" t="s">
        <v>1673</v>
      </c>
      <c r="D5" s="3722"/>
      <c r="E5" s="3732" t="s">
        <v>1674</v>
      </c>
      <c r="F5" s="3733"/>
      <c r="G5" s="3721" t="s">
        <v>1675</v>
      </c>
      <c r="H5" s="3722"/>
      <c r="I5" s="3721" t="s">
        <v>1676</v>
      </c>
      <c r="J5" s="3722"/>
      <c r="K5" s="559"/>
      <c r="L5" s="2715"/>
      <c r="M5" s="2716"/>
      <c r="N5" s="2716"/>
      <c r="O5" s="2716"/>
      <c r="P5" s="3766"/>
      <c r="Q5" s="3708"/>
      <c r="R5" s="3713"/>
      <c r="S5" s="3714"/>
      <c r="T5" s="3713"/>
      <c r="U5" s="3714"/>
      <c r="V5" s="3718"/>
      <c r="W5" s="3718"/>
      <c r="X5" s="1355"/>
      <c r="Y5" s="3713"/>
      <c r="Z5" s="3714"/>
      <c r="AA5" s="3730"/>
      <c r="AB5" s="3730"/>
      <c r="AC5" s="3730"/>
    </row>
    <row r="6" spans="1:30" ht="15.75" thickBot="1">
      <c r="A6" s="360"/>
      <c r="B6" s="361"/>
      <c r="C6" s="3719" t="s">
        <v>1677</v>
      </c>
      <c r="D6" s="3720"/>
      <c r="E6" s="3727" t="s">
        <v>1677</v>
      </c>
      <c r="F6" s="3728"/>
      <c r="G6" s="3719" t="s">
        <v>1677</v>
      </c>
      <c r="H6" s="3720"/>
      <c r="I6" s="3719" t="s">
        <v>1677</v>
      </c>
      <c r="J6" s="3720"/>
      <c r="K6" s="559" t="s">
        <v>1678</v>
      </c>
      <c r="L6" s="2715"/>
      <c r="M6" s="2716"/>
      <c r="N6" s="2716"/>
      <c r="O6" s="2716"/>
      <c r="P6" s="3767"/>
      <c r="Q6" s="3710"/>
      <c r="R6" s="3713"/>
      <c r="S6" s="3714"/>
      <c r="T6" s="3715"/>
      <c r="U6" s="3716"/>
      <c r="V6" s="3718"/>
      <c r="W6" s="3718"/>
      <c r="X6" s="1355"/>
      <c r="Y6" s="3715"/>
      <c r="Z6" s="3716"/>
      <c r="AA6" s="3731"/>
      <c r="AB6" s="3731"/>
      <c r="AC6" s="3731"/>
    </row>
    <row r="7" spans="1:30" s="108" customFormat="1" ht="15.75" thickBot="1">
      <c r="A7" s="362" t="s">
        <v>1679</v>
      </c>
      <c r="B7" s="363"/>
      <c r="C7" s="364">
        <f>'数据-取费表'!B2</f>
        <v>44937</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725" t="s">
        <v>1680</v>
      </c>
      <c r="Q7" s="3726"/>
      <c r="R7" s="701" t="s">
        <v>14</v>
      </c>
      <c r="S7" s="702">
        <f t="shared" ref="S7:S15" si="0">F7</f>
        <v>0</v>
      </c>
      <c r="T7" s="701" t="s">
        <v>14</v>
      </c>
      <c r="U7" s="702">
        <f t="shared" ref="U7:U15" si="1">H7</f>
        <v>0</v>
      </c>
      <c r="V7" s="701" t="s">
        <v>14</v>
      </c>
      <c r="W7" s="702">
        <f t="shared" ref="W7:W15" si="2">J7</f>
        <v>0</v>
      </c>
      <c r="X7" s="703"/>
      <c r="Y7" s="3725" t="s">
        <v>1680</v>
      </c>
      <c r="Z7" s="3724"/>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725" t="s">
        <v>1683</v>
      </c>
      <c r="Q8" s="3724"/>
      <c r="R8" s="701" t="s">
        <v>14</v>
      </c>
      <c r="S8" s="702">
        <f t="shared" si="0"/>
        <v>0</v>
      </c>
      <c r="T8" s="701" t="s">
        <v>14</v>
      </c>
      <c r="U8" s="702">
        <f t="shared" si="1"/>
        <v>0</v>
      </c>
      <c r="V8" s="701" t="s">
        <v>14</v>
      </c>
      <c r="W8" s="702">
        <f t="shared" si="2"/>
        <v>0</v>
      </c>
      <c r="X8" s="703"/>
      <c r="Y8" s="3725" t="s">
        <v>1683</v>
      </c>
      <c r="Z8" s="3724"/>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84"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114</v>
      </c>
      <c r="G10" s="414"/>
      <c r="H10" s="127">
        <f>ROUND(100/'数据-取费表'!G16,0)</f>
        <v>114</v>
      </c>
      <c r="I10" s="414"/>
      <c r="J10" s="127">
        <f>ROUND(100/'数据-取费表'!G16,0)</f>
        <v>114</v>
      </c>
      <c r="K10" s="620"/>
      <c r="L10" s="2719"/>
      <c r="M10" s="2720"/>
      <c r="N10" s="2720"/>
      <c r="O10" s="2773"/>
      <c r="P10" s="3684"/>
      <c r="Q10" s="1343" t="str">
        <f t="shared" si="6"/>
        <v>土地使用年限（年）</v>
      </c>
      <c r="R10" s="701" t="s">
        <v>14</v>
      </c>
      <c r="S10" s="702">
        <f t="shared" si="0"/>
        <v>114</v>
      </c>
      <c r="T10" s="701" t="s">
        <v>14</v>
      </c>
      <c r="U10" s="702">
        <f t="shared" si="1"/>
        <v>114</v>
      </c>
      <c r="V10" s="701" t="s">
        <v>14</v>
      </c>
      <c r="W10" s="702">
        <f t="shared" si="2"/>
        <v>114</v>
      </c>
      <c r="X10" s="703"/>
      <c r="Y10" s="3568"/>
      <c r="Z10" s="52" t="str">
        <f t="shared" si="7"/>
        <v>土地使用年限（年）</v>
      </c>
      <c r="AA10" s="704">
        <f t="shared" si="3"/>
        <v>0.8771929824561403</v>
      </c>
      <c r="AB10" s="704">
        <f t="shared" si="4"/>
        <v>0.8771929824561403</v>
      </c>
      <c r="AC10" s="704">
        <f t="shared" si="5"/>
        <v>0.8771929824561403</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84"/>
      <c r="Q11" s="1343" t="str">
        <f t="shared" si="6"/>
        <v>容积率</v>
      </c>
      <c r="R11" s="701" t="s">
        <v>14</v>
      </c>
      <c r="S11" s="702" t="e">
        <f t="shared" si="0"/>
        <v>#N/A</v>
      </c>
      <c r="T11" s="701" t="s">
        <v>14</v>
      </c>
      <c r="U11" s="702" t="e">
        <f t="shared" si="1"/>
        <v>#N/A</v>
      </c>
      <c r="V11" s="701" t="s">
        <v>14</v>
      </c>
      <c r="W11" s="702" t="e">
        <f t="shared" si="2"/>
        <v>#N/A</v>
      </c>
      <c r="X11" s="703"/>
      <c r="Y11" s="3568"/>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84"/>
      <c r="Q12" s="1343" t="str">
        <f t="shared" si="6"/>
        <v>配建</v>
      </c>
      <c r="R12" s="701" t="s">
        <v>14</v>
      </c>
      <c r="S12" s="702">
        <f t="shared" si="0"/>
        <v>100</v>
      </c>
      <c r="T12" s="701" t="s">
        <v>14</v>
      </c>
      <c r="U12" s="702">
        <f t="shared" si="1"/>
        <v>100</v>
      </c>
      <c r="V12" s="701" t="s">
        <v>14</v>
      </c>
      <c r="W12" s="702">
        <f t="shared" si="2"/>
        <v>100</v>
      </c>
      <c r="X12" s="703"/>
      <c r="Y12" s="3568"/>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84"/>
      <c r="Q13" s="1343">
        <f t="shared" si="6"/>
        <v>111</v>
      </c>
      <c r="R13" s="701" t="s">
        <v>14</v>
      </c>
      <c r="S13" s="702">
        <f t="shared" si="0"/>
        <v>100</v>
      </c>
      <c r="T13" s="701" t="s">
        <v>14</v>
      </c>
      <c r="U13" s="702">
        <f t="shared" si="1"/>
        <v>100</v>
      </c>
      <c r="V13" s="701" t="s">
        <v>14</v>
      </c>
      <c r="W13" s="702">
        <f t="shared" si="2"/>
        <v>100</v>
      </c>
      <c r="X13" s="703"/>
      <c r="Y13" s="3568"/>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84"/>
      <c r="Q14" s="1343">
        <f t="shared" si="6"/>
        <v>111</v>
      </c>
      <c r="R14" s="701" t="s">
        <v>14</v>
      </c>
      <c r="S14" s="702">
        <f t="shared" si="0"/>
        <v>100</v>
      </c>
      <c r="T14" s="701" t="s">
        <v>14</v>
      </c>
      <c r="U14" s="702">
        <f t="shared" si="1"/>
        <v>100</v>
      </c>
      <c r="V14" s="701" t="s">
        <v>14</v>
      </c>
      <c r="W14" s="702">
        <f t="shared" si="2"/>
        <v>100</v>
      </c>
      <c r="X14" s="703"/>
      <c r="Y14" s="3568"/>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91" t="s">
        <v>1691</v>
      </c>
      <c r="Q15" s="1352" t="str">
        <f t="shared" si="6"/>
        <v>居住社区成熟度</v>
      </c>
      <c r="R15" s="705" t="s">
        <v>14</v>
      </c>
      <c r="S15" s="706">
        <f t="shared" si="0"/>
        <v>100</v>
      </c>
      <c r="T15" s="705" t="s">
        <v>14</v>
      </c>
      <c r="U15" s="706">
        <f t="shared" si="1"/>
        <v>100</v>
      </c>
      <c r="V15" s="705" t="s">
        <v>14</v>
      </c>
      <c r="W15" s="706">
        <f t="shared" si="2"/>
        <v>100</v>
      </c>
      <c r="X15" s="1355"/>
      <c r="Y15" s="3691"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92"/>
      <c r="Q16" s="1352"/>
      <c r="R16" s="705"/>
      <c r="S16" s="706"/>
      <c r="T16" s="705"/>
      <c r="U16" s="706"/>
      <c r="V16" s="705"/>
      <c r="W16" s="706"/>
      <c r="X16" s="1355"/>
      <c r="Y16" s="3692"/>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92"/>
      <c r="Q17" s="1352" t="str">
        <f>B17</f>
        <v>商业繁华度</v>
      </c>
      <c r="R17" s="705" t="s">
        <v>14</v>
      </c>
      <c r="S17" s="706">
        <f>F17</f>
        <v>100</v>
      </c>
      <c r="T17" s="705" t="s">
        <v>14</v>
      </c>
      <c r="U17" s="706">
        <f>H17</f>
        <v>100</v>
      </c>
      <c r="V17" s="705" t="s">
        <v>14</v>
      </c>
      <c r="W17" s="706">
        <f>J17</f>
        <v>100</v>
      </c>
      <c r="X17" s="1355"/>
      <c r="Y17" s="3692"/>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92"/>
      <c r="Q18" s="1352"/>
      <c r="R18" s="705"/>
      <c r="S18" s="706"/>
      <c r="T18" s="705"/>
      <c r="U18" s="706"/>
      <c r="V18" s="705"/>
      <c r="W18" s="706"/>
      <c r="X18" s="1355"/>
      <c r="Y18" s="3692"/>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92"/>
      <c r="Q19" s="1352" t="str">
        <f>B19</f>
        <v>办公集聚程度</v>
      </c>
      <c r="R19" s="705" t="s">
        <v>14</v>
      </c>
      <c r="S19" s="706">
        <f>F19</f>
        <v>100</v>
      </c>
      <c r="T19" s="705" t="s">
        <v>14</v>
      </c>
      <c r="U19" s="706">
        <f>H19</f>
        <v>100</v>
      </c>
      <c r="V19" s="705" t="s">
        <v>14</v>
      </c>
      <c r="W19" s="706">
        <f>J19</f>
        <v>100</v>
      </c>
      <c r="X19" s="1355"/>
      <c r="Y19" s="3692"/>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92"/>
      <c r="Q20" s="1352"/>
      <c r="R20" s="705"/>
      <c r="S20" s="706"/>
      <c r="T20" s="705"/>
      <c r="U20" s="706"/>
      <c r="V20" s="705"/>
      <c r="W20" s="706"/>
      <c r="X20" s="1355"/>
      <c r="Y20" s="3692"/>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92"/>
      <c r="Q21" s="1352" t="str">
        <f>B21</f>
        <v>交通便捷度</v>
      </c>
      <c r="R21" s="705" t="s">
        <v>14</v>
      </c>
      <c r="S21" s="706">
        <f>F21</f>
        <v>100</v>
      </c>
      <c r="T21" s="705" t="s">
        <v>14</v>
      </c>
      <c r="U21" s="706">
        <f>H21</f>
        <v>100</v>
      </c>
      <c r="V21" s="705" t="s">
        <v>14</v>
      </c>
      <c r="W21" s="706">
        <f>J21</f>
        <v>100</v>
      </c>
      <c r="X21" s="1355"/>
      <c r="Y21" s="3692"/>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92"/>
      <c r="Q22" s="1352"/>
      <c r="R22" s="705"/>
      <c r="S22" s="706"/>
      <c r="T22" s="705"/>
      <c r="U22" s="706"/>
      <c r="V22" s="705"/>
      <c r="W22" s="706"/>
      <c r="X22" s="1355"/>
      <c r="Y22" s="3692"/>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92"/>
      <c r="Q23" s="1352" t="str">
        <f t="shared" ref="Q23:Q37" si="8">B23</f>
        <v>区域土地利用方向</v>
      </c>
      <c r="R23" s="705" t="s">
        <v>14</v>
      </c>
      <c r="S23" s="706">
        <f>F23</f>
        <v>100</v>
      </c>
      <c r="T23" s="705" t="s">
        <v>14</v>
      </c>
      <c r="U23" s="706">
        <f>H23</f>
        <v>100</v>
      </c>
      <c r="V23" s="705" t="s">
        <v>14</v>
      </c>
      <c r="W23" s="706">
        <f>J23</f>
        <v>100</v>
      </c>
      <c r="X23" s="1355"/>
      <c r="Y23" s="3692"/>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92"/>
      <c r="Q24" s="1352"/>
      <c r="R24" s="705"/>
      <c r="S24" s="706"/>
      <c r="T24" s="705"/>
      <c r="U24" s="706"/>
      <c r="V24" s="705"/>
      <c r="W24" s="706"/>
      <c r="X24" s="1355"/>
      <c r="Y24" s="3692"/>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92"/>
      <c r="Q25" s="1352" t="str">
        <f t="shared" si="8"/>
        <v>自然及人文环境状况</v>
      </c>
      <c r="R25" s="705" t="s">
        <v>14</v>
      </c>
      <c r="S25" s="706">
        <f>F25</f>
        <v>100</v>
      </c>
      <c r="T25" s="705" t="s">
        <v>14</v>
      </c>
      <c r="U25" s="706">
        <f>H25</f>
        <v>100</v>
      </c>
      <c r="V25" s="705" t="s">
        <v>14</v>
      </c>
      <c r="W25" s="706">
        <f>J25</f>
        <v>100</v>
      </c>
      <c r="X25" s="1355"/>
      <c r="Y25" s="3692"/>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92"/>
      <c r="Q26" s="1352"/>
      <c r="R26" s="705"/>
      <c r="S26" s="706"/>
      <c r="T26" s="705"/>
      <c r="U26" s="706"/>
      <c r="V26" s="705"/>
      <c r="W26" s="706"/>
      <c r="X26" s="1355"/>
      <c r="Y26" s="3692"/>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92"/>
      <c r="Q27" s="1343" t="str">
        <f t="shared" si="8"/>
        <v>公共配套设施</v>
      </c>
      <c r="R27" s="701" t="s">
        <v>14</v>
      </c>
      <c r="S27" s="702">
        <f>F27</f>
        <v>100</v>
      </c>
      <c r="T27" s="701" t="s">
        <v>14</v>
      </c>
      <c r="U27" s="702">
        <f>H27</f>
        <v>100</v>
      </c>
      <c r="V27" s="701" t="s">
        <v>14</v>
      </c>
      <c r="W27" s="702">
        <f>J27</f>
        <v>100</v>
      </c>
      <c r="X27" s="703"/>
      <c r="Y27" s="3692"/>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92"/>
      <c r="Q28" s="1343"/>
      <c r="R28" s="701"/>
      <c r="S28" s="702"/>
      <c r="T28" s="701"/>
      <c r="U28" s="702"/>
      <c r="V28" s="701"/>
      <c r="W28" s="702"/>
      <c r="X28" s="703"/>
      <c r="Y28" s="3692"/>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92"/>
      <c r="Q29" s="1343" t="str">
        <f t="shared" ref="Q29" si="9">B29</f>
        <v>基础设施水平</v>
      </c>
      <c r="R29" s="701" t="s">
        <v>14</v>
      </c>
      <c r="S29" s="702">
        <f>F29</f>
        <v>100</v>
      </c>
      <c r="T29" s="701" t="s">
        <v>14</v>
      </c>
      <c r="U29" s="702">
        <f>H29</f>
        <v>100</v>
      </c>
      <c r="V29" s="701" t="s">
        <v>14</v>
      </c>
      <c r="W29" s="702">
        <f>J29</f>
        <v>100</v>
      </c>
      <c r="X29" s="703"/>
      <c r="Y29" s="3692"/>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92"/>
      <c r="Q30" s="1343"/>
      <c r="R30" s="701"/>
      <c r="S30" s="702"/>
      <c r="T30" s="701"/>
      <c r="U30" s="702"/>
      <c r="V30" s="701"/>
      <c r="W30" s="702"/>
      <c r="X30" s="703"/>
      <c r="Y30" s="3692"/>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92"/>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92"/>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92"/>
      <c r="Q32" s="1352" t="str">
        <f t="shared" si="8"/>
        <v>毗邻道路的类型与等级</v>
      </c>
      <c r="R32" s="705" t="s">
        <v>14</v>
      </c>
      <c r="S32" s="706">
        <f t="shared" si="10"/>
        <v>100</v>
      </c>
      <c r="T32" s="705" t="s">
        <v>14</v>
      </c>
      <c r="U32" s="706">
        <f t="shared" si="11"/>
        <v>100</v>
      </c>
      <c r="V32" s="705" t="s">
        <v>14</v>
      </c>
      <c r="W32" s="706">
        <f t="shared" si="12"/>
        <v>100</v>
      </c>
      <c r="X32" s="1355"/>
      <c r="Y32" s="3692"/>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92"/>
      <c r="Q33" s="1352"/>
      <c r="R33" s="705"/>
      <c r="S33" s="706"/>
      <c r="T33" s="705"/>
      <c r="U33" s="706"/>
      <c r="V33" s="705"/>
      <c r="W33" s="706"/>
      <c r="X33" s="1355"/>
      <c r="Y33" s="3692"/>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92"/>
      <c r="Q34" s="1352" t="str">
        <f t="shared" si="8"/>
        <v>土地级别</v>
      </c>
      <c r="R34" s="705" t="s">
        <v>14</v>
      </c>
      <c r="S34" s="706">
        <f t="shared" si="10"/>
        <v>100</v>
      </c>
      <c r="T34" s="705" t="s">
        <v>14</v>
      </c>
      <c r="U34" s="706">
        <f t="shared" si="11"/>
        <v>100</v>
      </c>
      <c r="V34" s="705" t="s">
        <v>14</v>
      </c>
      <c r="W34" s="706">
        <f t="shared" si="12"/>
        <v>100</v>
      </c>
      <c r="X34" s="1355"/>
      <c r="Y34" s="3692"/>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92"/>
      <c r="Q35" s="1352">
        <f t="shared" si="8"/>
        <v>111</v>
      </c>
      <c r="R35" s="705" t="s">
        <v>14</v>
      </c>
      <c r="S35" s="706">
        <f t="shared" si="10"/>
        <v>100</v>
      </c>
      <c r="T35" s="705" t="s">
        <v>14</v>
      </c>
      <c r="U35" s="706">
        <f t="shared" si="11"/>
        <v>100</v>
      </c>
      <c r="V35" s="705" t="s">
        <v>14</v>
      </c>
      <c r="W35" s="706">
        <f t="shared" si="12"/>
        <v>100</v>
      </c>
      <c r="X35" s="1355"/>
      <c r="Y35" s="3692"/>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70" t="s">
        <v>1696</v>
      </c>
      <c r="Q36" s="1352">
        <f t="shared" si="8"/>
        <v>111</v>
      </c>
      <c r="R36" s="705" t="s">
        <v>14</v>
      </c>
      <c r="S36" s="706">
        <f t="shared" si="10"/>
        <v>100</v>
      </c>
      <c r="T36" s="705" t="s">
        <v>14</v>
      </c>
      <c r="U36" s="706">
        <f t="shared" si="11"/>
        <v>100</v>
      </c>
      <c r="V36" s="705" t="s">
        <v>14</v>
      </c>
      <c r="W36" s="706">
        <f t="shared" si="12"/>
        <v>100</v>
      </c>
      <c r="X36" s="1355"/>
      <c r="Y36" s="3696"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96"/>
      <c r="Q37" s="1352">
        <f t="shared" si="8"/>
        <v>111</v>
      </c>
      <c r="R37" s="708" t="s">
        <v>14</v>
      </c>
      <c r="S37" s="709">
        <f t="shared" si="10"/>
        <v>100</v>
      </c>
      <c r="T37" s="708" t="s">
        <v>14</v>
      </c>
      <c r="U37" s="709">
        <f t="shared" si="11"/>
        <v>100</v>
      </c>
      <c r="V37" s="708" t="s">
        <v>14</v>
      </c>
      <c r="W37" s="709">
        <f t="shared" si="12"/>
        <v>100</v>
      </c>
      <c r="X37" s="710"/>
      <c r="Y37" s="3696"/>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96"/>
      <c r="Q38" s="1352" t="str">
        <f>B38</f>
        <v>宗地面积</v>
      </c>
      <c r="R38" s="705" t="s">
        <v>14</v>
      </c>
      <c r="S38" s="706" t="e">
        <f t="shared" si="10"/>
        <v>#N/A</v>
      </c>
      <c r="T38" s="705" t="s">
        <v>14</v>
      </c>
      <c r="U38" s="706" t="e">
        <f t="shared" si="11"/>
        <v>#N/A</v>
      </c>
      <c r="V38" s="705" t="s">
        <v>14</v>
      </c>
      <c r="W38" s="706" t="e">
        <f t="shared" si="12"/>
        <v>#N/A</v>
      </c>
      <c r="X38" s="1355"/>
      <c r="Y38" s="3696"/>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96"/>
      <c r="Q39" s="1352" t="str">
        <f t="shared" ref="Q39:Q45" si="14">B39</f>
        <v>宗地形状</v>
      </c>
      <c r="R39" s="705" t="s">
        <v>14</v>
      </c>
      <c r="S39" s="706">
        <f t="shared" si="10"/>
        <v>100</v>
      </c>
      <c r="T39" s="705" t="s">
        <v>14</v>
      </c>
      <c r="U39" s="706">
        <f t="shared" si="11"/>
        <v>100</v>
      </c>
      <c r="V39" s="705" t="s">
        <v>14</v>
      </c>
      <c r="W39" s="706">
        <f t="shared" si="12"/>
        <v>100</v>
      </c>
      <c r="X39" s="1355"/>
      <c r="Y39" s="3696"/>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96"/>
      <c r="Q40" s="1352" t="str">
        <f t="shared" si="14"/>
        <v>临街宽度及深度</v>
      </c>
      <c r="R40" s="705" t="s">
        <v>14</v>
      </c>
      <c r="S40" s="706">
        <f t="shared" si="10"/>
        <v>100</v>
      </c>
      <c r="T40" s="705" t="s">
        <v>14</v>
      </c>
      <c r="U40" s="706">
        <f t="shared" si="11"/>
        <v>100</v>
      </c>
      <c r="V40" s="705" t="s">
        <v>14</v>
      </c>
      <c r="W40" s="706">
        <f t="shared" si="12"/>
        <v>100</v>
      </c>
      <c r="X40" s="1355"/>
      <c r="Y40" s="3696"/>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96"/>
      <c r="Q41" s="1352" t="str">
        <f t="shared" si="14"/>
        <v>宗地开发程度</v>
      </c>
      <c r="R41" s="701" t="s">
        <v>14</v>
      </c>
      <c r="S41" s="702">
        <f t="shared" si="10"/>
        <v>100</v>
      </c>
      <c r="T41" s="701" t="s">
        <v>14</v>
      </c>
      <c r="U41" s="702">
        <f t="shared" si="11"/>
        <v>100</v>
      </c>
      <c r="V41" s="701" t="s">
        <v>14</v>
      </c>
      <c r="W41" s="702">
        <f t="shared" si="12"/>
        <v>100</v>
      </c>
      <c r="X41" s="703"/>
      <c r="Y41" s="3696"/>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96" t="s">
        <v>1696</v>
      </c>
      <c r="Q42" s="1352" t="str">
        <f t="shared" si="14"/>
        <v>工程地质条件</v>
      </c>
      <c r="R42" s="705" t="s">
        <v>14</v>
      </c>
      <c r="S42" s="706">
        <f t="shared" si="10"/>
        <v>100</v>
      </c>
      <c r="T42" s="705" t="s">
        <v>14</v>
      </c>
      <c r="U42" s="706">
        <f t="shared" si="11"/>
        <v>100</v>
      </c>
      <c r="V42" s="705" t="s">
        <v>14</v>
      </c>
      <c r="W42" s="706">
        <f t="shared" si="12"/>
        <v>100</v>
      </c>
      <c r="X42" s="1355"/>
      <c r="Y42" s="3696"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96"/>
      <c r="Q43" s="1352">
        <f t="shared" si="14"/>
        <v>111</v>
      </c>
      <c r="R43" s="705" t="s">
        <v>14</v>
      </c>
      <c r="S43" s="706">
        <f t="shared" si="10"/>
        <v>100</v>
      </c>
      <c r="T43" s="705" t="s">
        <v>14</v>
      </c>
      <c r="U43" s="706">
        <f t="shared" si="11"/>
        <v>100</v>
      </c>
      <c r="V43" s="705" t="s">
        <v>14</v>
      </c>
      <c r="W43" s="706">
        <f t="shared" si="12"/>
        <v>100</v>
      </c>
      <c r="X43" s="1355"/>
      <c r="Y43" s="3696"/>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96"/>
      <c r="Q44" s="1352">
        <f t="shared" si="14"/>
        <v>111</v>
      </c>
      <c r="R44" s="705" t="s">
        <v>14</v>
      </c>
      <c r="S44" s="706">
        <f t="shared" si="10"/>
        <v>100</v>
      </c>
      <c r="T44" s="705" t="s">
        <v>14</v>
      </c>
      <c r="U44" s="706">
        <f t="shared" si="11"/>
        <v>100</v>
      </c>
      <c r="V44" s="705" t="s">
        <v>14</v>
      </c>
      <c r="W44" s="706">
        <f t="shared" si="12"/>
        <v>100</v>
      </c>
      <c r="X44" s="1355"/>
      <c r="Y44" s="3696"/>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96"/>
      <c r="Q45" s="1352">
        <f t="shared" si="14"/>
        <v>111</v>
      </c>
      <c r="R45" s="708" t="s">
        <v>14</v>
      </c>
      <c r="S45" s="709">
        <f t="shared" si="10"/>
        <v>100</v>
      </c>
      <c r="T45" s="708" t="s">
        <v>14</v>
      </c>
      <c r="U45" s="709">
        <f t="shared" si="11"/>
        <v>100</v>
      </c>
      <c r="V45" s="708" t="s">
        <v>14</v>
      </c>
      <c r="W45" s="709">
        <f t="shared" si="12"/>
        <v>100</v>
      </c>
      <c r="X45" s="710"/>
      <c r="Y45" s="3696"/>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84" t="str">
        <f>A46</f>
        <v>成交单价</v>
      </c>
      <c r="Q46" s="3684"/>
      <c r="R46" s="3718">
        <f>E46</f>
        <v>0</v>
      </c>
      <c r="S46" s="3718"/>
      <c r="T46" s="3718">
        <f>G46</f>
        <v>0</v>
      </c>
      <c r="U46" s="3718"/>
      <c r="V46" s="3718">
        <f>I46</f>
        <v>0</v>
      </c>
      <c r="W46" s="3718"/>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684" t="str">
        <f>A47</f>
        <v>比较价值（元/平方米）</v>
      </c>
      <c r="Q47" s="3684"/>
      <c r="R47" s="3772" t="e">
        <f>ROUND(PRODUCT(R46,AA7:AA45),0)</f>
        <v>#DIV/0!</v>
      </c>
      <c r="S47" s="3772"/>
      <c r="T47" s="3772" t="e">
        <f>ROUND(PRODUCT(T46,AB7:AB45),0)</f>
        <v>#DIV/0!</v>
      </c>
      <c r="U47" s="3772"/>
      <c r="V47" s="3772" t="e">
        <f>ROUND(PRODUCT(V46,AC7:AC45),0)</f>
        <v>#DIV/0!</v>
      </c>
      <c r="W47" s="3772"/>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60" t="str">
        <f>A48</f>
        <v>估价对象XX用房的比较价值（楼面单价，元/平方米）</v>
      </c>
      <c r="Q48" s="3761"/>
      <c r="R48" s="3773" t="e">
        <f>ROUND(IF(D47="简单平均",AVERAGE(R47:W47),R47*F47+T47*H47+V47*J47),0)</f>
        <v>#DIV/0!</v>
      </c>
      <c r="S48" s="3773"/>
      <c r="T48" s="3773"/>
      <c r="U48" s="3773"/>
      <c r="V48" s="3773"/>
      <c r="W48" s="3773"/>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701" t="s">
        <v>1887</v>
      </c>
      <c r="H55" s="3774"/>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8240.15</v>
      </c>
      <c r="F56" s="886" t="e">
        <f t="shared" ref="F56:F64" si="15">ROUND(B56*E56/10000,0)</f>
        <v>#DIV/0!</v>
      </c>
      <c r="G56" s="3683"/>
      <c r="H56" s="3684"/>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2028.52</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10268.67</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2023-1-1</v>
      </c>
      <c r="D67" s="692">
        <f>EDATE(C67,-3)</f>
        <v>44835</v>
      </c>
      <c r="E67" s="692">
        <f>EDATE(D67,-3)</f>
        <v>44743</v>
      </c>
      <c r="F67" s="692">
        <f t="shared" ref="F67:O67" si="18">EDATE(E67,-3)</f>
        <v>44652</v>
      </c>
      <c r="G67" s="692">
        <f t="shared" si="18"/>
        <v>44562</v>
      </c>
      <c r="H67" s="692">
        <f t="shared" si="18"/>
        <v>44470</v>
      </c>
      <c r="I67" s="692">
        <f t="shared" si="18"/>
        <v>44378</v>
      </c>
      <c r="J67" s="692">
        <f t="shared" si="18"/>
        <v>44287</v>
      </c>
      <c r="K67" s="692">
        <f t="shared" si="18"/>
        <v>44197</v>
      </c>
      <c r="L67" s="692">
        <f t="shared" si="18"/>
        <v>44105</v>
      </c>
      <c r="M67" s="692">
        <f t="shared" si="18"/>
        <v>44013</v>
      </c>
      <c r="N67" s="692">
        <f t="shared" si="18"/>
        <v>43922</v>
      </c>
      <c r="O67" s="692">
        <f t="shared" si="18"/>
        <v>43831</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2023-1</v>
      </c>
      <c r="D69" s="1182" t="str">
        <f>YEAR(D67)&amp;"-"&amp;ROUNDUP(MONTH(D67)/3,0)</f>
        <v>2022-4</v>
      </c>
      <c r="E69" s="1182" t="str">
        <f t="shared" ref="E69:O69" si="19">YEAR(E67)&amp;"-"&amp;ROUNDUP(MONTH(E67)/3,0)</f>
        <v>2022-3</v>
      </c>
      <c r="F69" s="1182" t="str">
        <f t="shared" si="19"/>
        <v>2022-2</v>
      </c>
      <c r="G69" s="1182" t="str">
        <f t="shared" si="19"/>
        <v>2022-1</v>
      </c>
      <c r="H69" s="1182" t="str">
        <f t="shared" si="19"/>
        <v>2021-4</v>
      </c>
      <c r="I69" s="1182" t="str">
        <f t="shared" si="19"/>
        <v>2021-3</v>
      </c>
      <c r="J69" s="1182" t="str">
        <f t="shared" si="19"/>
        <v>2021-2</v>
      </c>
      <c r="K69" s="1182" t="str">
        <f t="shared" si="19"/>
        <v>2021-1</v>
      </c>
      <c r="L69" s="1182" t="str">
        <f t="shared" si="19"/>
        <v>2020-4</v>
      </c>
      <c r="M69" s="1182" t="str">
        <f t="shared" si="19"/>
        <v>2020-3</v>
      </c>
      <c r="N69" s="1182" t="str">
        <f t="shared" si="19"/>
        <v>2020-2</v>
      </c>
      <c r="O69" s="1182" t="str">
        <f t="shared" si="19"/>
        <v>2020-1</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1" t="s">
        <v>1770</v>
      </c>
      <c r="D4" s="3702"/>
      <c r="E4" s="3703" t="s">
        <v>1771</v>
      </c>
      <c r="F4" s="3704"/>
      <c r="G4" s="3701" t="s">
        <v>1772</v>
      </c>
      <c r="H4" s="3702"/>
      <c r="I4" s="3701" t="s">
        <v>1773</v>
      </c>
      <c r="J4" s="3702"/>
      <c r="K4" s="559" t="s">
        <v>1774</v>
      </c>
      <c r="L4" s="2715"/>
      <c r="M4" s="2716"/>
      <c r="N4" s="2716"/>
      <c r="O4" s="2716"/>
      <c r="P4" s="3764" t="s">
        <v>1775</v>
      </c>
      <c r="Q4" s="3765"/>
      <c r="R4" s="3768" t="s">
        <v>1771</v>
      </c>
      <c r="S4" s="3769"/>
      <c r="T4" s="3768" t="s">
        <v>1772</v>
      </c>
      <c r="U4" s="3769"/>
      <c r="V4" s="3718" t="s">
        <v>1773</v>
      </c>
      <c r="W4" s="3718"/>
      <c r="X4" s="1355"/>
      <c r="Y4" s="3768" t="s">
        <v>1775</v>
      </c>
      <c r="Z4" s="3769"/>
      <c r="AA4" s="3763" t="s">
        <v>1771</v>
      </c>
      <c r="AB4" s="3730" t="s">
        <v>1772</v>
      </c>
      <c r="AC4" s="3763" t="s">
        <v>1773</v>
      </c>
    </row>
    <row r="5" spans="1:29" ht="15">
      <c r="A5" s="358"/>
      <c r="B5" s="359"/>
      <c r="C5" s="3721" t="s">
        <v>1673</v>
      </c>
      <c r="D5" s="3722"/>
      <c r="E5" s="3732" t="s">
        <v>1674</v>
      </c>
      <c r="F5" s="3733"/>
      <c r="G5" s="3721" t="s">
        <v>1675</v>
      </c>
      <c r="H5" s="3722"/>
      <c r="I5" s="3721" t="s">
        <v>1676</v>
      </c>
      <c r="J5" s="3722"/>
      <c r="K5" s="559"/>
      <c r="L5" s="2715"/>
      <c r="M5" s="2716"/>
      <c r="N5" s="2716"/>
      <c r="O5" s="2716"/>
      <c r="P5" s="3766"/>
      <c r="Q5" s="3708"/>
      <c r="R5" s="3713"/>
      <c r="S5" s="3714"/>
      <c r="T5" s="3713"/>
      <c r="U5" s="3714"/>
      <c r="V5" s="3718"/>
      <c r="W5" s="3718"/>
      <c r="X5" s="1355"/>
      <c r="Y5" s="3713"/>
      <c r="Z5" s="3714"/>
      <c r="AA5" s="3730"/>
      <c r="AB5" s="3730"/>
      <c r="AC5" s="3730"/>
    </row>
    <row r="6" spans="1:29" ht="15.75" thickBot="1">
      <c r="A6" s="360"/>
      <c r="B6" s="361"/>
      <c r="C6" s="3775" t="s">
        <v>1919</v>
      </c>
      <c r="D6" s="3776"/>
      <c r="E6" s="3777" t="s">
        <v>1919</v>
      </c>
      <c r="F6" s="3778"/>
      <c r="G6" s="3775" t="s">
        <v>1919</v>
      </c>
      <c r="H6" s="3776"/>
      <c r="I6" s="3775" t="s">
        <v>1919</v>
      </c>
      <c r="J6" s="3776"/>
      <c r="K6" s="559" t="s">
        <v>1678</v>
      </c>
      <c r="L6" s="2715"/>
      <c r="M6" s="2716"/>
      <c r="N6" s="2716"/>
      <c r="O6" s="2716"/>
      <c r="P6" s="3767"/>
      <c r="Q6" s="3710"/>
      <c r="R6" s="3713"/>
      <c r="S6" s="3714"/>
      <c r="T6" s="3715"/>
      <c r="U6" s="3716"/>
      <c r="V6" s="3718"/>
      <c r="W6" s="3718"/>
      <c r="X6" s="1355"/>
      <c r="Y6" s="3715"/>
      <c r="Z6" s="3716"/>
      <c r="AA6" s="3731"/>
      <c r="AB6" s="3731"/>
      <c r="AC6" s="3731"/>
    </row>
    <row r="7" spans="1:29" s="108" customFormat="1" ht="15.75" thickBot="1">
      <c r="A7" s="362" t="s">
        <v>1679</v>
      </c>
      <c r="B7" s="363"/>
      <c r="C7" s="364">
        <f>'数据-取费表'!B2</f>
        <v>44937</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725" t="s">
        <v>1680</v>
      </c>
      <c r="Q7" s="3726"/>
      <c r="R7" s="701" t="s">
        <v>14</v>
      </c>
      <c r="S7" s="702">
        <f t="shared" ref="S7:S15" si="0">F7</f>
        <v>0</v>
      </c>
      <c r="T7" s="701" t="s">
        <v>14</v>
      </c>
      <c r="U7" s="702">
        <f t="shared" ref="U7:U15" si="1">H7</f>
        <v>0</v>
      </c>
      <c r="V7" s="701" t="s">
        <v>14</v>
      </c>
      <c r="W7" s="702">
        <f t="shared" ref="W7:W15" si="2">J7</f>
        <v>0</v>
      </c>
      <c r="X7" s="703"/>
      <c r="Y7" s="3725" t="s">
        <v>1680</v>
      </c>
      <c r="Z7" s="3724"/>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725" t="s">
        <v>1683</v>
      </c>
      <c r="Q8" s="3724"/>
      <c r="R8" s="701" t="s">
        <v>14</v>
      </c>
      <c r="S8" s="702">
        <f t="shared" si="0"/>
        <v>0</v>
      </c>
      <c r="T8" s="701" t="s">
        <v>14</v>
      </c>
      <c r="U8" s="702">
        <f t="shared" si="1"/>
        <v>0</v>
      </c>
      <c r="V8" s="701" t="s">
        <v>14</v>
      </c>
      <c r="W8" s="702">
        <f t="shared" si="2"/>
        <v>0</v>
      </c>
      <c r="X8" s="703"/>
      <c r="Y8" s="3725" t="s">
        <v>1683</v>
      </c>
      <c r="Z8" s="3724"/>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84" t="s">
        <v>1686</v>
      </c>
      <c r="Q9" s="1343" t="str">
        <f t="shared" ref="Q9:Q15" si="6">B9</f>
        <v>用途</v>
      </c>
      <c r="R9" s="701" t="s">
        <v>14</v>
      </c>
      <c r="S9" s="702">
        <f t="shared" si="0"/>
        <v>100</v>
      </c>
      <c r="T9" s="701" t="s">
        <v>14</v>
      </c>
      <c r="U9" s="702">
        <f t="shared" si="1"/>
        <v>100</v>
      </c>
      <c r="V9" s="701" t="s">
        <v>14</v>
      </c>
      <c r="W9" s="702">
        <f t="shared" si="2"/>
        <v>100</v>
      </c>
      <c r="X9" s="703"/>
      <c r="Y9" s="3568"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114</v>
      </c>
      <c r="G10" s="383"/>
      <c r="H10" s="127">
        <f>ROUND(100/'数据-取费表'!G16,0)</f>
        <v>114</v>
      </c>
      <c r="I10" s="383"/>
      <c r="J10" s="127">
        <f>ROUND(100/'数据-取费表'!G16,0)</f>
        <v>114</v>
      </c>
      <c r="K10" s="620"/>
      <c r="L10" s="2719"/>
      <c r="M10" s="2720"/>
      <c r="N10" s="2720"/>
      <c r="O10" s="2773"/>
      <c r="P10" s="3684"/>
      <c r="Q10" s="1343" t="str">
        <f t="shared" si="6"/>
        <v>土地使用年限（年）</v>
      </c>
      <c r="R10" s="701" t="s">
        <v>14</v>
      </c>
      <c r="S10" s="702">
        <f t="shared" si="0"/>
        <v>114</v>
      </c>
      <c r="T10" s="701" t="s">
        <v>14</v>
      </c>
      <c r="U10" s="702">
        <f t="shared" si="1"/>
        <v>114</v>
      </c>
      <c r="V10" s="701" t="s">
        <v>14</v>
      </c>
      <c r="W10" s="702">
        <f t="shared" si="2"/>
        <v>114</v>
      </c>
      <c r="X10" s="703"/>
      <c r="Y10" s="3568"/>
      <c r="Z10" s="52" t="str">
        <f t="shared" si="7"/>
        <v>土地使用年限（年）</v>
      </c>
      <c r="AA10" s="704">
        <f t="shared" si="3"/>
        <v>0.8771929824561403</v>
      </c>
      <c r="AB10" s="704">
        <f t="shared" si="4"/>
        <v>0.8771929824561403</v>
      </c>
      <c r="AC10" s="704">
        <f t="shared" si="5"/>
        <v>0.8771929824561403</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84"/>
      <c r="Q11" s="1343" t="str">
        <f t="shared" si="6"/>
        <v>容积率</v>
      </c>
      <c r="R11" s="701" t="s">
        <v>14</v>
      </c>
      <c r="S11" s="702" t="e">
        <f t="shared" si="0"/>
        <v>#N/A</v>
      </c>
      <c r="T11" s="701" t="s">
        <v>14</v>
      </c>
      <c r="U11" s="702" t="e">
        <f t="shared" si="1"/>
        <v>#N/A</v>
      </c>
      <c r="V11" s="701" t="s">
        <v>14</v>
      </c>
      <c r="W11" s="702" t="e">
        <f t="shared" si="2"/>
        <v>#N/A</v>
      </c>
      <c r="X11" s="703"/>
      <c r="Y11" s="3568"/>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84"/>
      <c r="Q12" s="1343">
        <f t="shared" si="6"/>
        <v>111</v>
      </c>
      <c r="R12" s="701" t="s">
        <v>14</v>
      </c>
      <c r="S12" s="702">
        <f t="shared" si="0"/>
        <v>100</v>
      </c>
      <c r="T12" s="701" t="s">
        <v>14</v>
      </c>
      <c r="U12" s="702">
        <f t="shared" si="1"/>
        <v>100</v>
      </c>
      <c r="V12" s="701" t="s">
        <v>14</v>
      </c>
      <c r="W12" s="702">
        <f t="shared" si="2"/>
        <v>100</v>
      </c>
      <c r="X12" s="703"/>
      <c r="Y12" s="3568"/>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84"/>
      <c r="Q13" s="1343">
        <f t="shared" si="6"/>
        <v>111</v>
      </c>
      <c r="R13" s="701" t="s">
        <v>14</v>
      </c>
      <c r="S13" s="702">
        <f t="shared" si="0"/>
        <v>100</v>
      </c>
      <c r="T13" s="701" t="s">
        <v>14</v>
      </c>
      <c r="U13" s="702">
        <f t="shared" si="1"/>
        <v>100</v>
      </c>
      <c r="V13" s="701" t="s">
        <v>14</v>
      </c>
      <c r="W13" s="702">
        <f t="shared" si="2"/>
        <v>100</v>
      </c>
      <c r="X13" s="703"/>
      <c r="Y13" s="3568"/>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84"/>
      <c r="Q14" s="1343">
        <f t="shared" si="6"/>
        <v>111</v>
      </c>
      <c r="R14" s="701" t="s">
        <v>14</v>
      </c>
      <c r="S14" s="702">
        <f t="shared" si="0"/>
        <v>100</v>
      </c>
      <c r="T14" s="701" t="s">
        <v>14</v>
      </c>
      <c r="U14" s="702">
        <f t="shared" si="1"/>
        <v>100</v>
      </c>
      <c r="V14" s="701" t="s">
        <v>14</v>
      </c>
      <c r="W14" s="702">
        <f t="shared" si="2"/>
        <v>100</v>
      </c>
      <c r="X14" s="703"/>
      <c r="Y14" s="3568"/>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91" t="s">
        <v>1691</v>
      </c>
      <c r="Q15" s="1352" t="str">
        <f t="shared" si="6"/>
        <v>产业集聚程度</v>
      </c>
      <c r="R15" s="705" t="s">
        <v>14</v>
      </c>
      <c r="S15" s="706">
        <f t="shared" si="0"/>
        <v>100</v>
      </c>
      <c r="T15" s="705" t="s">
        <v>14</v>
      </c>
      <c r="U15" s="706">
        <f t="shared" si="1"/>
        <v>100</v>
      </c>
      <c r="V15" s="705" t="s">
        <v>14</v>
      </c>
      <c r="W15" s="706">
        <f t="shared" si="2"/>
        <v>100</v>
      </c>
      <c r="X15" s="1355"/>
      <c r="Y15" s="3691"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92"/>
      <c r="Q16" s="1352"/>
      <c r="R16" s="705"/>
      <c r="S16" s="706"/>
      <c r="T16" s="705"/>
      <c r="U16" s="706"/>
      <c r="V16" s="705"/>
      <c r="W16" s="706"/>
      <c r="X16" s="1355"/>
      <c r="Y16" s="3692"/>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92"/>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92"/>
      <c r="Q18" s="1352"/>
      <c r="R18" s="705"/>
      <c r="S18" s="706"/>
      <c r="T18" s="705"/>
      <c r="U18" s="706"/>
      <c r="V18" s="705"/>
      <c r="W18" s="706"/>
      <c r="X18" s="1355"/>
      <c r="Y18" s="3692"/>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92"/>
      <c r="Q19" s="1352" t="str">
        <f t="shared" ref="Q19:Q33" si="8">B19</f>
        <v>区域土地利用方向</v>
      </c>
      <c r="R19" s="705" t="s">
        <v>14</v>
      </c>
      <c r="S19" s="706">
        <f>F19</f>
        <v>100</v>
      </c>
      <c r="T19" s="705" t="s">
        <v>14</v>
      </c>
      <c r="U19" s="706">
        <f>H19</f>
        <v>100</v>
      </c>
      <c r="V19" s="705" t="s">
        <v>14</v>
      </c>
      <c r="W19" s="706">
        <f>J19</f>
        <v>100</v>
      </c>
      <c r="X19" s="1355"/>
      <c r="Y19" s="3692"/>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92"/>
      <c r="Q20" s="1352"/>
      <c r="R20" s="705"/>
      <c r="S20" s="706"/>
      <c r="T20" s="705"/>
      <c r="U20" s="706"/>
      <c r="V20" s="705"/>
      <c r="W20" s="706"/>
      <c r="X20" s="1355"/>
      <c r="Y20" s="3692"/>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92"/>
      <c r="Q21" s="1352" t="str">
        <f t="shared" si="8"/>
        <v>环境状况</v>
      </c>
      <c r="R21" s="705" t="s">
        <v>14</v>
      </c>
      <c r="S21" s="706">
        <f>F21</f>
        <v>100</v>
      </c>
      <c r="T21" s="705" t="s">
        <v>14</v>
      </c>
      <c r="U21" s="706">
        <f>H21</f>
        <v>100</v>
      </c>
      <c r="V21" s="705" t="s">
        <v>14</v>
      </c>
      <c r="W21" s="706">
        <f>J21</f>
        <v>100</v>
      </c>
      <c r="X21" s="1355"/>
      <c r="Y21" s="3692"/>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92"/>
      <c r="Q22" s="1352"/>
      <c r="R22" s="705"/>
      <c r="S22" s="706"/>
      <c r="T22" s="705"/>
      <c r="U22" s="706"/>
      <c r="V22" s="705"/>
      <c r="W22" s="706"/>
      <c r="X22" s="1355"/>
      <c r="Y22" s="3692"/>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92"/>
      <c r="Q23" s="1343" t="str">
        <f t="shared" si="8"/>
        <v>公共配套设施</v>
      </c>
      <c r="R23" s="701" t="s">
        <v>14</v>
      </c>
      <c r="S23" s="702">
        <f>F23</f>
        <v>100</v>
      </c>
      <c r="T23" s="701" t="s">
        <v>14</v>
      </c>
      <c r="U23" s="702">
        <f>H23</f>
        <v>100</v>
      </c>
      <c r="V23" s="701" t="s">
        <v>14</v>
      </c>
      <c r="W23" s="702">
        <f>J23</f>
        <v>100</v>
      </c>
      <c r="X23" s="703"/>
      <c r="Y23" s="3692"/>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92"/>
      <c r="Q24" s="1343"/>
      <c r="R24" s="701"/>
      <c r="S24" s="702"/>
      <c r="T24" s="701"/>
      <c r="U24" s="702"/>
      <c r="V24" s="701"/>
      <c r="W24" s="702"/>
      <c r="X24" s="703"/>
      <c r="Y24" s="3692"/>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92"/>
      <c r="Q25" s="1343" t="str">
        <f t="shared" ref="Q25" si="9">B25</f>
        <v>基础设施水平</v>
      </c>
      <c r="R25" s="701" t="s">
        <v>14</v>
      </c>
      <c r="S25" s="702">
        <f>F25</f>
        <v>100</v>
      </c>
      <c r="T25" s="701" t="s">
        <v>14</v>
      </c>
      <c r="U25" s="702">
        <f>H25</f>
        <v>100</v>
      </c>
      <c r="V25" s="701" t="s">
        <v>14</v>
      </c>
      <c r="W25" s="702">
        <f>J25</f>
        <v>100</v>
      </c>
      <c r="X25" s="703"/>
      <c r="Y25" s="3692"/>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92"/>
      <c r="Q26" s="1343"/>
      <c r="R26" s="701"/>
      <c r="S26" s="702"/>
      <c r="T26" s="701"/>
      <c r="U26" s="702"/>
      <c r="V26" s="701"/>
      <c r="W26" s="702"/>
      <c r="X26" s="703"/>
      <c r="Y26" s="3692"/>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92"/>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92"/>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92"/>
      <c r="Q28" s="1352" t="str">
        <f t="shared" si="8"/>
        <v>毗邻道路的类型与等级</v>
      </c>
      <c r="R28" s="705" t="s">
        <v>14</v>
      </c>
      <c r="S28" s="706">
        <f t="shared" si="10"/>
        <v>100</v>
      </c>
      <c r="T28" s="705" t="s">
        <v>14</v>
      </c>
      <c r="U28" s="706">
        <f t="shared" si="11"/>
        <v>100</v>
      </c>
      <c r="V28" s="705" t="s">
        <v>14</v>
      </c>
      <c r="W28" s="706">
        <f t="shared" si="12"/>
        <v>100</v>
      </c>
      <c r="X28" s="1355"/>
      <c r="Y28" s="3692"/>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92"/>
      <c r="Q29" s="1352"/>
      <c r="R29" s="705"/>
      <c r="S29" s="706"/>
      <c r="T29" s="705"/>
      <c r="U29" s="706"/>
      <c r="V29" s="705"/>
      <c r="W29" s="706"/>
      <c r="X29" s="1355"/>
      <c r="Y29" s="3692"/>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92"/>
      <c r="Q30" s="1352" t="str">
        <f t="shared" si="8"/>
        <v>土地级别</v>
      </c>
      <c r="R30" s="705" t="s">
        <v>14</v>
      </c>
      <c r="S30" s="706">
        <f t="shared" si="10"/>
        <v>100</v>
      </c>
      <c r="T30" s="705" t="s">
        <v>14</v>
      </c>
      <c r="U30" s="706">
        <f t="shared" si="11"/>
        <v>100</v>
      </c>
      <c r="V30" s="705" t="s">
        <v>14</v>
      </c>
      <c r="W30" s="706">
        <f t="shared" si="12"/>
        <v>100</v>
      </c>
      <c r="X30" s="1355"/>
      <c r="Y30" s="3692"/>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92"/>
      <c r="Q31" s="1352">
        <f t="shared" si="8"/>
        <v>111</v>
      </c>
      <c r="R31" s="705" t="s">
        <v>14</v>
      </c>
      <c r="S31" s="706">
        <f t="shared" si="10"/>
        <v>100</v>
      </c>
      <c r="T31" s="705" t="s">
        <v>14</v>
      </c>
      <c r="U31" s="706">
        <f t="shared" si="11"/>
        <v>100</v>
      </c>
      <c r="V31" s="705" t="s">
        <v>14</v>
      </c>
      <c r="W31" s="706">
        <f t="shared" si="12"/>
        <v>100</v>
      </c>
      <c r="X31" s="1355"/>
      <c r="Y31" s="3692"/>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70" t="s">
        <v>1696</v>
      </c>
      <c r="Q32" s="1352">
        <f t="shared" si="8"/>
        <v>111</v>
      </c>
      <c r="R32" s="705" t="s">
        <v>14</v>
      </c>
      <c r="S32" s="706">
        <f t="shared" si="10"/>
        <v>100</v>
      </c>
      <c r="T32" s="705" t="s">
        <v>14</v>
      </c>
      <c r="U32" s="706">
        <f t="shared" si="11"/>
        <v>100</v>
      </c>
      <c r="V32" s="705" t="s">
        <v>14</v>
      </c>
      <c r="W32" s="706">
        <f t="shared" si="12"/>
        <v>100</v>
      </c>
      <c r="X32" s="1355"/>
      <c r="Y32" s="3696"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96"/>
      <c r="Q33" s="1352">
        <f t="shared" si="8"/>
        <v>111</v>
      </c>
      <c r="R33" s="708" t="s">
        <v>14</v>
      </c>
      <c r="S33" s="709">
        <f t="shared" si="10"/>
        <v>100</v>
      </c>
      <c r="T33" s="708" t="s">
        <v>14</v>
      </c>
      <c r="U33" s="709">
        <f t="shared" si="11"/>
        <v>100</v>
      </c>
      <c r="V33" s="708" t="s">
        <v>14</v>
      </c>
      <c r="W33" s="709">
        <f t="shared" si="12"/>
        <v>100</v>
      </c>
      <c r="X33" s="710"/>
      <c r="Y33" s="3696"/>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96"/>
      <c r="Q34" s="1352" t="str">
        <f>B34</f>
        <v>宗地面积</v>
      </c>
      <c r="R34" s="705" t="s">
        <v>14</v>
      </c>
      <c r="S34" s="706" t="e">
        <f t="shared" si="10"/>
        <v>#N/A</v>
      </c>
      <c r="T34" s="705" t="s">
        <v>14</v>
      </c>
      <c r="U34" s="706" t="e">
        <f t="shared" si="11"/>
        <v>#N/A</v>
      </c>
      <c r="V34" s="705" t="s">
        <v>14</v>
      </c>
      <c r="W34" s="706" t="e">
        <f t="shared" si="12"/>
        <v>#N/A</v>
      </c>
      <c r="X34" s="1355"/>
      <c r="Y34" s="3696"/>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96"/>
      <c r="Q35" s="1352" t="str">
        <f t="shared" ref="Q35:Q40" si="14">B35</f>
        <v>宗地形状</v>
      </c>
      <c r="R35" s="705" t="s">
        <v>14</v>
      </c>
      <c r="S35" s="706">
        <f t="shared" si="10"/>
        <v>100</v>
      </c>
      <c r="T35" s="705" t="s">
        <v>14</v>
      </c>
      <c r="U35" s="706">
        <f t="shared" si="11"/>
        <v>100</v>
      </c>
      <c r="V35" s="705" t="s">
        <v>14</v>
      </c>
      <c r="W35" s="706">
        <f t="shared" si="12"/>
        <v>100</v>
      </c>
      <c r="X35" s="1355"/>
      <c r="Y35" s="3696"/>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96"/>
      <c r="Q36" s="1352" t="str">
        <f t="shared" si="14"/>
        <v>宗地开发程度</v>
      </c>
      <c r="R36" s="701" t="s">
        <v>14</v>
      </c>
      <c r="S36" s="702">
        <f t="shared" si="10"/>
        <v>100</v>
      </c>
      <c r="T36" s="701" t="s">
        <v>14</v>
      </c>
      <c r="U36" s="702">
        <f t="shared" si="11"/>
        <v>100</v>
      </c>
      <c r="V36" s="701" t="s">
        <v>14</v>
      </c>
      <c r="W36" s="702">
        <f t="shared" si="12"/>
        <v>100</v>
      </c>
      <c r="X36" s="703"/>
      <c r="Y36" s="3696"/>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96" t="s">
        <v>1696</v>
      </c>
      <c r="Q37" s="1352" t="str">
        <f t="shared" si="14"/>
        <v>工程地质条件</v>
      </c>
      <c r="R37" s="705" t="s">
        <v>14</v>
      </c>
      <c r="S37" s="706">
        <f t="shared" si="10"/>
        <v>100</v>
      </c>
      <c r="T37" s="705" t="s">
        <v>14</v>
      </c>
      <c r="U37" s="706">
        <f t="shared" si="11"/>
        <v>100</v>
      </c>
      <c r="V37" s="705" t="s">
        <v>14</v>
      </c>
      <c r="W37" s="706">
        <f t="shared" si="12"/>
        <v>100</v>
      </c>
      <c r="X37" s="1355"/>
      <c r="Y37" s="3696"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96"/>
      <c r="Q38" s="1352">
        <f t="shared" si="14"/>
        <v>111</v>
      </c>
      <c r="R38" s="705" t="s">
        <v>14</v>
      </c>
      <c r="S38" s="706">
        <f t="shared" si="10"/>
        <v>100</v>
      </c>
      <c r="T38" s="705" t="s">
        <v>14</v>
      </c>
      <c r="U38" s="706">
        <f t="shared" si="11"/>
        <v>100</v>
      </c>
      <c r="V38" s="705" t="s">
        <v>14</v>
      </c>
      <c r="W38" s="706">
        <f t="shared" si="12"/>
        <v>100</v>
      </c>
      <c r="X38" s="1355"/>
      <c r="Y38" s="3696"/>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96"/>
      <c r="Q39" s="1352">
        <f t="shared" si="14"/>
        <v>111</v>
      </c>
      <c r="R39" s="705" t="s">
        <v>14</v>
      </c>
      <c r="S39" s="706">
        <f t="shared" si="10"/>
        <v>100</v>
      </c>
      <c r="T39" s="705" t="s">
        <v>14</v>
      </c>
      <c r="U39" s="706">
        <f t="shared" si="11"/>
        <v>100</v>
      </c>
      <c r="V39" s="705" t="s">
        <v>14</v>
      </c>
      <c r="W39" s="706">
        <f t="shared" si="12"/>
        <v>100</v>
      </c>
      <c r="X39" s="1355"/>
      <c r="Y39" s="3696"/>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96"/>
      <c r="Q40" s="1352">
        <f t="shared" si="14"/>
        <v>111</v>
      </c>
      <c r="R40" s="708" t="s">
        <v>14</v>
      </c>
      <c r="S40" s="709">
        <f t="shared" si="10"/>
        <v>100</v>
      </c>
      <c r="T40" s="708" t="s">
        <v>14</v>
      </c>
      <c r="U40" s="709">
        <f t="shared" si="11"/>
        <v>100</v>
      </c>
      <c r="V40" s="708" t="s">
        <v>14</v>
      </c>
      <c r="W40" s="709">
        <f t="shared" si="12"/>
        <v>100</v>
      </c>
      <c r="X40" s="710"/>
      <c r="Y40" s="3696"/>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84" t="str">
        <f>A41</f>
        <v>成交单价</v>
      </c>
      <c r="Q41" s="3684"/>
      <c r="R41" s="3718">
        <f>E41</f>
        <v>0</v>
      </c>
      <c r="S41" s="3718"/>
      <c r="T41" s="3718">
        <f>G41</f>
        <v>0</v>
      </c>
      <c r="U41" s="3718"/>
      <c r="V41" s="3718">
        <f>I41</f>
        <v>0</v>
      </c>
      <c r="W41" s="3718"/>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684" t="str">
        <f>A42</f>
        <v>比较价值（元/平方米）</v>
      </c>
      <c r="Q42" s="3684"/>
      <c r="R42" s="3772" t="e">
        <f>ROUND(PRODUCT(R41,AA7:AA40),0)</f>
        <v>#DIV/0!</v>
      </c>
      <c r="S42" s="3772"/>
      <c r="T42" s="3772" t="e">
        <f>ROUND(PRODUCT(T41,AB7:AB40),0)</f>
        <v>#DIV/0!</v>
      </c>
      <c r="U42" s="3772"/>
      <c r="V42" s="3772" t="e">
        <f>ROUND(PRODUCT(V41,AC7:AC40),0)</f>
        <v>#DIV/0!</v>
      </c>
      <c r="W42" s="3772"/>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60" t="str">
        <f>A43</f>
        <v>估价对象XX用房的比较价值（楼面单价，元/平方米）</v>
      </c>
      <c r="Q43" s="3761"/>
      <c r="R43" s="3773" t="e">
        <f>ROUND(IF(D42="简单平均",AVERAGE(R42:W42),R42*F42+T42*H42+V42*J42),0)</f>
        <v>#DIV/0!</v>
      </c>
      <c r="S43" s="3773"/>
      <c r="T43" s="3773"/>
      <c r="U43" s="3773"/>
      <c r="V43" s="3773"/>
      <c r="W43" s="3773"/>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701" t="s">
        <v>1887</v>
      </c>
      <c r="H50" s="3774"/>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8240.15</v>
      </c>
      <c r="F51" s="639" t="e">
        <f t="shared" ref="F51:F60" si="15">ROUND(B51*E51/10000,0)</f>
        <v>#DIV/0!</v>
      </c>
      <c r="G51" s="3683"/>
      <c r="H51" s="3684"/>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2028.52</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2023-1-1</v>
      </c>
      <c r="D63" s="692">
        <f>EDATE(C63,-3)</f>
        <v>44835</v>
      </c>
      <c r="E63" s="692">
        <f>EDATE(D63,-3)</f>
        <v>44743</v>
      </c>
      <c r="F63" s="692">
        <f t="shared" ref="F63:O63" si="18">EDATE(E63,-3)</f>
        <v>44652</v>
      </c>
      <c r="G63" s="692">
        <f t="shared" si="18"/>
        <v>44562</v>
      </c>
      <c r="H63" s="692">
        <f t="shared" si="18"/>
        <v>44470</v>
      </c>
      <c r="I63" s="692">
        <f t="shared" si="18"/>
        <v>44378</v>
      </c>
      <c r="J63" s="692">
        <f t="shared" si="18"/>
        <v>44287</v>
      </c>
      <c r="K63" s="692">
        <f t="shared" si="18"/>
        <v>44197</v>
      </c>
      <c r="L63" s="692">
        <f t="shared" si="18"/>
        <v>44105</v>
      </c>
      <c r="M63" s="692">
        <f t="shared" si="18"/>
        <v>44013</v>
      </c>
      <c r="N63" s="692">
        <f t="shared" si="18"/>
        <v>43922</v>
      </c>
      <c r="O63" s="692">
        <f t="shared" si="18"/>
        <v>43831</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2023-1</v>
      </c>
      <c r="D65" s="1182" t="str">
        <f t="shared" ref="D65:O65" si="19">YEAR(D63)&amp;"-"&amp;ROUNDUP(MONTH(D63)/3,0)</f>
        <v>2022-4</v>
      </c>
      <c r="E65" s="1182" t="str">
        <f t="shared" si="19"/>
        <v>2022-3</v>
      </c>
      <c r="F65" s="1182" t="str">
        <f t="shared" si="19"/>
        <v>2022-2</v>
      </c>
      <c r="G65" s="1182" t="str">
        <f t="shared" si="19"/>
        <v>2022-1</v>
      </c>
      <c r="H65" s="1182" t="str">
        <f t="shared" si="19"/>
        <v>2021-4</v>
      </c>
      <c r="I65" s="1182" t="str">
        <f t="shared" si="19"/>
        <v>2021-3</v>
      </c>
      <c r="J65" s="1182" t="str">
        <f t="shared" si="19"/>
        <v>2021-2</v>
      </c>
      <c r="K65" s="1182" t="str">
        <f t="shared" si="19"/>
        <v>2021-1</v>
      </c>
      <c r="L65" s="1182" t="str">
        <f t="shared" si="19"/>
        <v>2020-4</v>
      </c>
      <c r="M65" s="1182" t="str">
        <f t="shared" si="19"/>
        <v>2020-3</v>
      </c>
      <c r="N65" s="1182" t="str">
        <f t="shared" si="19"/>
        <v>2020-2</v>
      </c>
      <c r="O65" s="1182" t="str">
        <f t="shared" si="19"/>
        <v>2020-1</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Q80" sqref="Q80"/>
      <selection pane="bottomLeft" activeCell="Q80" sqref="Q8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82" t="s">
        <v>2084</v>
      </c>
      <c r="D1" s="3783"/>
      <c r="E1" s="3783"/>
      <c r="F1" s="3783"/>
      <c r="G1" s="3783"/>
      <c r="H1" s="3783"/>
      <c r="I1" s="3783"/>
      <c r="J1" s="3783"/>
      <c r="K1" s="3783"/>
      <c r="L1" s="3783"/>
      <c r="M1" s="3783"/>
      <c r="N1" s="3783"/>
      <c r="O1" s="3783"/>
      <c r="P1" s="3783"/>
      <c r="Q1" s="3783"/>
      <c r="R1" s="3783"/>
      <c r="S1" s="3784"/>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79" t="s">
        <v>27</v>
      </c>
      <c r="D22" s="3780"/>
      <c r="E22" s="3780"/>
      <c r="F22" s="3780"/>
      <c r="G22" s="3780"/>
      <c r="H22" s="3780"/>
      <c r="I22" s="3780"/>
      <c r="J22" s="3780"/>
      <c r="K22" s="3780"/>
      <c r="L22" s="3780"/>
      <c r="M22" s="3780"/>
      <c r="N22" s="3780"/>
      <c r="O22" s="3780"/>
      <c r="P22" s="3780"/>
      <c r="Q22" s="3781"/>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5863</v>
      </c>
      <c r="C2" s="2145" t="s">
        <v>2074</v>
      </c>
      <c r="D2" s="2145" t="s">
        <v>2075</v>
      </c>
      <c r="E2" s="2612">
        <f ca="1">SUMIF(E6:E13,"&lt;&gt;#ref!",E6:E13)</f>
        <v>10268.67</v>
      </c>
      <c r="F2" s="2793"/>
      <c r="G2" s="2793"/>
      <c r="H2" s="2793"/>
      <c r="I2" s="2793"/>
      <c r="J2" s="2793"/>
      <c r="K2" s="2793"/>
      <c r="L2" s="2793"/>
      <c r="M2" s="2793"/>
      <c r="N2" s="2793"/>
      <c r="O2" s="2793"/>
      <c r="P2" s="2793"/>
    </row>
    <row r="3" spans="1:16" ht="15.75">
      <c r="A3" s="2145" t="s">
        <v>2076</v>
      </c>
      <c r="B3" s="2602">
        <f ca="1">ROUND(B2*10000/E2,0)</f>
        <v>5710</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5863</v>
      </c>
      <c r="C6" s="2145" t="s">
        <v>2074</v>
      </c>
      <c r="D6" s="2793"/>
      <c r="E6" s="2612">
        <f ca="1">SUMIF(INDIRECT("'"&amp;A6&amp;"'"&amp;"!C:C"),"建筑面积",INDIRECT("'"&amp;A6&amp;"'"&amp;"!D:D"))</f>
        <v>10268.67</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19" zoomScale="70" zoomScaleNormal="70" workbookViewId="0">
      <selection activeCell="I22" sqref="I22"/>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94" t="s">
        <v>2610</v>
      </c>
      <c r="B20" s="3789" t="s">
        <v>2631</v>
      </c>
      <c r="C20" s="3103" t="s">
        <v>2442</v>
      </c>
      <c r="D20" s="3104"/>
      <c r="E20" s="3105">
        <v>1</v>
      </c>
      <c r="F20" s="3106" t="s">
        <v>2443</v>
      </c>
      <c r="G20" s="3106"/>
    </row>
    <row r="21" spans="1:13" ht="19.5" customHeight="1">
      <c r="A21" s="3795"/>
      <c r="B21" s="3788"/>
      <c r="C21" s="3107" t="s">
        <v>2444</v>
      </c>
      <c r="D21" s="3108"/>
      <c r="E21" s="3109">
        <v>1</v>
      </c>
      <c r="F21" s="3106" t="s">
        <v>2445</v>
      </c>
      <c r="G21" s="3106"/>
    </row>
    <row r="22" spans="1:13" ht="19.5" customHeight="1">
      <c r="A22" s="3795"/>
      <c r="B22" s="3788"/>
      <c r="C22" s="3107" t="s">
        <v>2446</v>
      </c>
      <c r="D22" s="3108"/>
      <c r="E22" s="3109">
        <v>0.9</v>
      </c>
      <c r="F22" s="3106" t="s">
        <v>2447</v>
      </c>
      <c r="G22" s="3106"/>
    </row>
    <row r="23" spans="1:13" ht="19.5" customHeight="1">
      <c r="A23" s="3795"/>
      <c r="B23" s="3788"/>
      <c r="C23" s="3107" t="s">
        <v>2448</v>
      </c>
      <c r="D23" s="3108"/>
      <c r="E23" s="3109">
        <v>0.9</v>
      </c>
      <c r="F23" s="3106" t="s">
        <v>2449</v>
      </c>
      <c r="G23" s="3106"/>
    </row>
    <row r="24" spans="1:13" ht="19.5" customHeight="1">
      <c r="A24" s="3795"/>
      <c r="B24" s="3788"/>
      <c r="C24" s="3107" t="s">
        <v>2450</v>
      </c>
      <c r="D24" s="3108"/>
      <c r="E24" s="3109">
        <v>0.8</v>
      </c>
      <c r="F24" s="3106" t="s">
        <v>2451</v>
      </c>
      <c r="G24" s="3106"/>
    </row>
    <row r="25" spans="1:13" ht="19.5" customHeight="1" thickBot="1">
      <c r="A25" s="3796"/>
      <c r="B25" s="3790"/>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91" t="s">
        <v>2634</v>
      </c>
      <c r="B27" s="3789" t="s">
        <v>2615</v>
      </c>
      <c r="C27" s="3103" t="s">
        <v>2455</v>
      </c>
      <c r="D27" s="3104"/>
      <c r="E27" s="3105">
        <v>1</v>
      </c>
      <c r="F27" s="3106" t="s">
        <v>2456</v>
      </c>
      <c r="G27" s="3106"/>
    </row>
    <row r="28" spans="1:13" ht="19.5" customHeight="1">
      <c r="A28" s="3792"/>
      <c r="B28" s="3788"/>
      <c r="C28" s="3107" t="s">
        <v>2457</v>
      </c>
      <c r="D28" s="3108"/>
      <c r="E28" s="3109">
        <v>1</v>
      </c>
      <c r="F28" s="3106" t="s">
        <v>2458</v>
      </c>
      <c r="G28" s="3106"/>
    </row>
    <row r="29" spans="1:13" ht="19.5" customHeight="1">
      <c r="A29" s="3792"/>
      <c r="B29" s="3788"/>
      <c r="C29" s="3107" t="s">
        <v>2459</v>
      </c>
      <c r="D29" s="3108"/>
      <c r="E29" s="3109">
        <v>0.8</v>
      </c>
      <c r="F29" s="3106" t="s">
        <v>2460</v>
      </c>
      <c r="G29" s="3106"/>
    </row>
    <row r="30" spans="1:13" ht="19.5" customHeight="1">
      <c r="A30" s="3792"/>
      <c r="B30" s="3788"/>
      <c r="C30" s="3107" t="s">
        <v>2461</v>
      </c>
      <c r="D30" s="3108"/>
      <c r="E30" s="3109">
        <v>0.8</v>
      </c>
      <c r="F30" s="3106" t="s">
        <v>2462</v>
      </c>
      <c r="G30" s="3106"/>
    </row>
    <row r="31" spans="1:13" ht="19.5" customHeight="1">
      <c r="A31" s="3792"/>
      <c r="B31" s="3788"/>
      <c r="C31" s="3107" t="s">
        <v>2463</v>
      </c>
      <c r="D31" s="3108"/>
      <c r="E31" s="3109">
        <v>0.8</v>
      </c>
      <c r="F31" s="3106" t="s">
        <v>2464</v>
      </c>
      <c r="G31" s="3106"/>
    </row>
    <row r="32" spans="1:13" ht="19.5" customHeight="1">
      <c r="A32" s="3792"/>
      <c r="B32" s="3788"/>
      <c r="C32" s="3107" t="s">
        <v>2465</v>
      </c>
      <c r="D32" s="3108"/>
      <c r="E32" s="3109">
        <v>0.7</v>
      </c>
      <c r="F32" s="3106" t="s">
        <v>2466</v>
      </c>
      <c r="G32" s="3106"/>
    </row>
    <row r="33" spans="1:7" ht="19.5" customHeight="1">
      <c r="A33" s="3792"/>
      <c r="B33" s="3788"/>
      <c r="C33" s="3107" t="s">
        <v>2467</v>
      </c>
      <c r="D33" s="3108"/>
      <c r="E33" s="3109">
        <v>0.8</v>
      </c>
      <c r="F33" s="3106" t="s">
        <v>2468</v>
      </c>
      <c r="G33" s="3106"/>
    </row>
    <row r="34" spans="1:7" ht="19.5" customHeight="1">
      <c r="A34" s="3792"/>
      <c r="B34" s="3788"/>
      <c r="C34" s="3107" t="s">
        <v>2469</v>
      </c>
      <c r="D34" s="3108"/>
      <c r="E34" s="3109">
        <v>0.6</v>
      </c>
      <c r="F34" s="3106" t="s">
        <v>2470</v>
      </c>
      <c r="G34" s="3106"/>
    </row>
    <row r="35" spans="1:7" ht="19.5" customHeight="1">
      <c r="A35" s="3792"/>
      <c r="B35" s="3788"/>
      <c r="C35" s="3107" t="s">
        <v>2471</v>
      </c>
      <c r="D35" s="3108"/>
      <c r="E35" s="3109">
        <v>0.2</v>
      </c>
      <c r="F35" s="3106" t="s">
        <v>2472</v>
      </c>
      <c r="G35" s="3106"/>
    </row>
    <row r="36" spans="1:7" ht="19.5" customHeight="1">
      <c r="A36" s="3792"/>
      <c r="B36" s="3788"/>
      <c r="C36" s="3107" t="s">
        <v>2473</v>
      </c>
      <c r="D36" s="3108"/>
      <c r="E36" s="3109">
        <v>0.2</v>
      </c>
      <c r="F36" s="3106" t="s">
        <v>2474</v>
      </c>
      <c r="G36" s="3106"/>
    </row>
    <row r="37" spans="1:7" ht="19.5" customHeight="1">
      <c r="A37" s="3792"/>
      <c r="B37" s="3786" t="s">
        <v>2635</v>
      </c>
      <c r="C37" s="3107" t="s">
        <v>2475</v>
      </c>
      <c r="D37" s="3108"/>
      <c r="E37" s="3109">
        <v>0.6</v>
      </c>
      <c r="F37" s="3106" t="s">
        <v>2476</v>
      </c>
      <c r="G37" s="3106"/>
    </row>
    <row r="38" spans="1:7" ht="19.5" customHeight="1">
      <c r="A38" s="3792"/>
      <c r="B38" s="3788"/>
      <c r="C38" s="3107" t="s">
        <v>2477</v>
      </c>
      <c r="D38" s="3108"/>
      <c r="E38" s="3109">
        <v>0.6</v>
      </c>
      <c r="F38" s="3106" t="s">
        <v>2478</v>
      </c>
      <c r="G38" s="3106"/>
    </row>
    <row r="39" spans="1:7" ht="19.5" customHeight="1" thickBot="1">
      <c r="A39" s="3793"/>
      <c r="B39" s="3790"/>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94" t="s">
        <v>2613</v>
      </c>
      <c r="B41" s="3789" t="s">
        <v>2637</v>
      </c>
      <c r="C41" s="3103" t="s">
        <v>2482</v>
      </c>
      <c r="D41" s="3104"/>
      <c r="E41" s="3105">
        <v>1</v>
      </c>
      <c r="F41" s="3106" t="s">
        <v>2483</v>
      </c>
      <c r="G41" s="3106"/>
    </row>
    <row r="42" spans="1:7" ht="19.5" customHeight="1">
      <c r="A42" s="3795"/>
      <c r="B42" s="3788"/>
      <c r="C42" s="3107" t="s">
        <v>2484</v>
      </c>
      <c r="D42" s="3108"/>
      <c r="E42" s="3109">
        <v>1</v>
      </c>
      <c r="F42" s="3106" t="s">
        <v>2485</v>
      </c>
      <c r="G42" s="3106"/>
    </row>
    <row r="43" spans="1:7" ht="19.5" customHeight="1">
      <c r="A43" s="3795"/>
      <c r="B43" s="3787"/>
      <c r="C43" s="3107" t="s">
        <v>2486</v>
      </c>
      <c r="D43" s="3108"/>
      <c r="E43" s="3109">
        <v>1.5</v>
      </c>
      <c r="F43" s="3106" t="s">
        <v>2487</v>
      </c>
      <c r="G43" s="3106"/>
    </row>
    <row r="44" spans="1:7" ht="19.5" customHeight="1">
      <c r="A44" s="3795"/>
      <c r="B44" s="3118" t="s">
        <v>2638</v>
      </c>
      <c r="C44" s="3107" t="s">
        <v>2639</v>
      </c>
      <c r="D44" s="3108"/>
      <c r="E44" s="3109">
        <v>2</v>
      </c>
      <c r="F44" s="3106" t="s">
        <v>2488</v>
      </c>
      <c r="G44" s="3106"/>
    </row>
    <row r="45" spans="1:7" ht="19.5" customHeight="1">
      <c r="A45" s="3795"/>
      <c r="B45" s="3786" t="s">
        <v>2640</v>
      </c>
      <c r="C45" s="3107" t="s">
        <v>2489</v>
      </c>
      <c r="D45" s="3108"/>
      <c r="E45" s="3109">
        <v>1</v>
      </c>
      <c r="F45" s="3106" t="s">
        <v>2490</v>
      </c>
      <c r="G45" s="3106"/>
    </row>
    <row r="46" spans="1:7" ht="19.5" customHeight="1">
      <c r="A46" s="3795"/>
      <c r="B46" s="3788"/>
      <c r="C46" s="3107" t="s">
        <v>2491</v>
      </c>
      <c r="D46" s="3108"/>
      <c r="E46" s="3109">
        <v>1</v>
      </c>
      <c r="F46" s="3106" t="s">
        <v>2492</v>
      </c>
      <c r="G46" s="3106"/>
    </row>
    <row r="47" spans="1:7" ht="19.5" customHeight="1">
      <c r="A47" s="3795"/>
      <c r="B47" s="3788"/>
      <c r="C47" s="3107" t="s">
        <v>2493</v>
      </c>
      <c r="D47" s="3108"/>
      <c r="E47" s="3109">
        <v>1</v>
      </c>
      <c r="F47" s="3106" t="s">
        <v>2494</v>
      </c>
      <c r="G47" s="3106"/>
    </row>
    <row r="48" spans="1:7" ht="19.5" customHeight="1">
      <c r="A48" s="3795"/>
      <c r="B48" s="3788"/>
      <c r="C48" s="3107" t="s">
        <v>2495</v>
      </c>
      <c r="D48" s="3108"/>
      <c r="E48" s="3109">
        <v>1</v>
      </c>
      <c r="F48" s="3106" t="s">
        <v>2496</v>
      </c>
      <c r="G48" s="3106"/>
    </row>
    <row r="49" spans="1:7" ht="19.5" customHeight="1">
      <c r="A49" s="3795"/>
      <c r="B49" s="3788"/>
      <c r="C49" s="3107" t="s">
        <v>2497</v>
      </c>
      <c r="D49" s="3108"/>
      <c r="E49" s="3109">
        <v>1</v>
      </c>
      <c r="F49" s="3106" t="s">
        <v>2498</v>
      </c>
      <c r="G49" s="3106"/>
    </row>
    <row r="50" spans="1:7" ht="19.5" customHeight="1">
      <c r="A50" s="3795"/>
      <c r="B50" s="3788"/>
      <c r="C50" s="3107" t="s">
        <v>2499</v>
      </c>
      <c r="D50" s="3108"/>
      <c r="E50" s="3109">
        <v>1</v>
      </c>
      <c r="F50" s="3106" t="s">
        <v>2500</v>
      </c>
      <c r="G50" s="3106"/>
    </row>
    <row r="51" spans="1:7" ht="19.5" customHeight="1" thickBot="1">
      <c r="A51" s="3796"/>
      <c r="B51" s="3790"/>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86" t="s">
        <v>2654</v>
      </c>
      <c r="C73" s="3092" t="s">
        <v>2655</v>
      </c>
      <c r="D73" s="3092" t="s">
        <v>2656</v>
      </c>
      <c r="E73" s="3118">
        <v>0.2</v>
      </c>
      <c r="F73" s="3118">
        <v>25</v>
      </c>
    </row>
    <row r="74" spans="1:7" ht="24">
      <c r="A74" s="3118">
        <v>2</v>
      </c>
      <c r="B74" s="3788"/>
      <c r="C74" s="3092" t="s">
        <v>2657</v>
      </c>
      <c r="D74" s="3092" t="s">
        <v>2658</v>
      </c>
      <c r="E74" s="3118">
        <v>0.2</v>
      </c>
      <c r="F74" s="3118">
        <v>25</v>
      </c>
    </row>
    <row r="75" spans="1:7" ht="24">
      <c r="A75" s="3118">
        <v>3</v>
      </c>
      <c r="B75" s="3788"/>
      <c r="C75" s="3092" t="s">
        <v>2659</v>
      </c>
      <c r="D75" s="3092" t="s">
        <v>2660</v>
      </c>
      <c r="E75" s="3118">
        <v>0.2</v>
      </c>
      <c r="F75" s="3118">
        <v>25</v>
      </c>
    </row>
    <row r="76" spans="1:7" ht="13.5">
      <c r="A76" s="3118">
        <v>4</v>
      </c>
      <c r="B76" s="3788"/>
      <c r="C76" s="3092" t="s">
        <v>2661</v>
      </c>
      <c r="D76" s="3092" t="s">
        <v>2662</v>
      </c>
      <c r="E76" s="3118">
        <v>0.15</v>
      </c>
      <c r="F76" s="3118">
        <v>20</v>
      </c>
    </row>
    <row r="77" spans="1:7" ht="24">
      <c r="A77" s="3118">
        <v>5</v>
      </c>
      <c r="B77" s="3788"/>
      <c r="C77" s="3092" t="s">
        <v>2663</v>
      </c>
      <c r="D77" s="3092" t="s">
        <v>2664</v>
      </c>
      <c r="E77" s="3118">
        <v>0.15</v>
      </c>
      <c r="F77" s="3118">
        <v>20</v>
      </c>
    </row>
    <row r="78" spans="1:7" ht="24">
      <c r="A78" s="3118">
        <v>6</v>
      </c>
      <c r="B78" s="3788"/>
      <c r="C78" s="3092" t="s">
        <v>2665</v>
      </c>
      <c r="D78" s="3092" t="s">
        <v>2666</v>
      </c>
      <c r="E78" s="3118">
        <v>0.15</v>
      </c>
      <c r="F78" s="3118">
        <v>20</v>
      </c>
    </row>
    <row r="79" spans="1:7" ht="24">
      <c r="A79" s="3118">
        <v>7</v>
      </c>
      <c r="B79" s="3788"/>
      <c r="C79" s="3092" t="s">
        <v>2667</v>
      </c>
      <c r="D79" s="3092" t="s">
        <v>2668</v>
      </c>
      <c r="E79" s="3118">
        <v>0.15</v>
      </c>
      <c r="F79" s="3118">
        <v>20</v>
      </c>
    </row>
    <row r="80" spans="1:7" ht="24">
      <c r="A80" s="3118">
        <v>8</v>
      </c>
      <c r="B80" s="3788"/>
      <c r="C80" s="3092" t="s">
        <v>2669</v>
      </c>
      <c r="D80" s="3092" t="s">
        <v>2670</v>
      </c>
      <c r="E80" s="3118">
        <v>0.1</v>
      </c>
      <c r="F80" s="3118">
        <v>15</v>
      </c>
    </row>
    <row r="81" spans="1:6" ht="24">
      <c r="A81" s="3118">
        <v>9</v>
      </c>
      <c r="B81" s="3788"/>
      <c r="C81" s="3092" t="s">
        <v>2671</v>
      </c>
      <c r="D81" s="3092" t="s">
        <v>2672</v>
      </c>
      <c r="E81" s="3118">
        <v>0.1</v>
      </c>
      <c r="F81" s="3118">
        <v>15</v>
      </c>
    </row>
    <row r="82" spans="1:6" ht="24">
      <c r="A82" s="3118">
        <v>10</v>
      </c>
      <c r="B82" s="3788"/>
      <c r="C82" s="3092" t="s">
        <v>2673</v>
      </c>
      <c r="D82" s="3092" t="s">
        <v>2674</v>
      </c>
      <c r="E82" s="3118">
        <v>0.1</v>
      </c>
      <c r="F82" s="3118">
        <v>15</v>
      </c>
    </row>
    <row r="83" spans="1:6" ht="24">
      <c r="A83" s="3118">
        <v>11</v>
      </c>
      <c r="B83" s="3788"/>
      <c r="C83" s="3092" t="s">
        <v>2675</v>
      </c>
      <c r="D83" s="3092" t="s">
        <v>2676</v>
      </c>
      <c r="E83" s="3118">
        <v>0.1</v>
      </c>
      <c r="F83" s="3118">
        <v>15</v>
      </c>
    </row>
    <row r="84" spans="1:6" ht="24">
      <c r="A84" s="3118">
        <v>12</v>
      </c>
      <c r="B84" s="3788"/>
      <c r="C84" s="3092" t="s">
        <v>2677</v>
      </c>
      <c r="D84" s="3092" t="s">
        <v>2678</v>
      </c>
      <c r="E84" s="3118">
        <v>0.1</v>
      </c>
      <c r="F84" s="3118">
        <v>15</v>
      </c>
    </row>
    <row r="85" spans="1:6" ht="13.5">
      <c r="A85" s="3118">
        <v>13</v>
      </c>
      <c r="B85" s="3788"/>
      <c r="C85" s="3092" t="s">
        <v>2679</v>
      </c>
      <c r="D85" s="3092" t="s">
        <v>2680</v>
      </c>
      <c r="E85" s="3118">
        <v>0.1</v>
      </c>
      <c r="F85" s="3118">
        <v>15</v>
      </c>
    </row>
    <row r="86" spans="1:6" ht="13.5">
      <c r="A86" s="3118">
        <v>14</v>
      </c>
      <c r="B86" s="3788"/>
      <c r="C86" s="3092" t="s">
        <v>2681</v>
      </c>
      <c r="D86" s="3092" t="s">
        <v>2682</v>
      </c>
      <c r="E86" s="3118">
        <v>0.1</v>
      </c>
      <c r="F86" s="3118">
        <v>15</v>
      </c>
    </row>
    <row r="87" spans="1:6" ht="13.5">
      <c r="A87" s="3118">
        <v>15</v>
      </c>
      <c r="B87" s="3788"/>
      <c r="C87" s="3092" t="s">
        <v>2683</v>
      </c>
      <c r="D87" s="3092" t="s">
        <v>2684</v>
      </c>
      <c r="E87" s="3118">
        <v>0.1</v>
      </c>
      <c r="F87" s="3118">
        <v>15</v>
      </c>
    </row>
    <row r="88" spans="1:6" ht="24">
      <c r="A88" s="3118">
        <v>16</v>
      </c>
      <c r="B88" s="3788"/>
      <c r="C88" s="3092" t="s">
        <v>2685</v>
      </c>
      <c r="D88" s="3092" t="s">
        <v>2686</v>
      </c>
      <c r="E88" s="3118">
        <v>0.1</v>
      </c>
      <c r="F88" s="3118">
        <v>15</v>
      </c>
    </row>
    <row r="89" spans="1:6" ht="24">
      <c r="A89" s="3118">
        <v>17</v>
      </c>
      <c r="B89" s="3787"/>
      <c r="C89" s="3092" t="s">
        <v>2687</v>
      </c>
      <c r="D89" s="3092" t="s">
        <v>2688</v>
      </c>
      <c r="E89" s="3118">
        <v>0.1</v>
      </c>
      <c r="F89" s="3118">
        <v>15</v>
      </c>
    </row>
    <row r="90" spans="1:6" ht="13.5">
      <c r="A90" s="3118">
        <v>18</v>
      </c>
      <c r="B90" s="3786" t="s">
        <v>2689</v>
      </c>
      <c r="C90" s="3092" t="s">
        <v>2690</v>
      </c>
      <c r="D90" s="3092" t="s">
        <v>2691</v>
      </c>
      <c r="E90" s="3118">
        <v>0.2</v>
      </c>
      <c r="F90" s="3118">
        <v>25</v>
      </c>
    </row>
    <row r="91" spans="1:6" ht="24">
      <c r="A91" s="3118">
        <v>19</v>
      </c>
      <c r="B91" s="3788"/>
      <c r="C91" s="3092" t="s">
        <v>2692</v>
      </c>
      <c r="D91" s="3092" t="s">
        <v>2693</v>
      </c>
      <c r="E91" s="3118">
        <v>0.2</v>
      </c>
      <c r="F91" s="3118">
        <v>25</v>
      </c>
    </row>
    <row r="92" spans="1:6" ht="13.5">
      <c r="A92" s="3118">
        <v>20</v>
      </c>
      <c r="B92" s="3788"/>
      <c r="C92" s="3092" t="s">
        <v>2694</v>
      </c>
      <c r="D92" s="3092" t="s">
        <v>2695</v>
      </c>
      <c r="E92" s="3118">
        <v>0.15</v>
      </c>
      <c r="F92" s="3118">
        <v>20</v>
      </c>
    </row>
    <row r="93" spans="1:6" ht="13.5">
      <c r="A93" s="3118">
        <v>21</v>
      </c>
      <c r="B93" s="3788"/>
      <c r="C93" s="3092" t="s">
        <v>2696</v>
      </c>
      <c r="D93" s="3092" t="s">
        <v>2697</v>
      </c>
      <c r="E93" s="3118">
        <v>0.15</v>
      </c>
      <c r="F93" s="3118">
        <v>20</v>
      </c>
    </row>
    <row r="94" spans="1:6" ht="13.5">
      <c r="A94" s="3118">
        <v>22</v>
      </c>
      <c r="B94" s="3788"/>
      <c r="C94" s="3092" t="s">
        <v>2698</v>
      </c>
      <c r="D94" s="3092" t="s">
        <v>2699</v>
      </c>
      <c r="E94" s="3118">
        <v>0.15</v>
      </c>
      <c r="F94" s="3118">
        <v>20</v>
      </c>
    </row>
    <row r="95" spans="1:6" ht="36">
      <c r="A95" s="3118">
        <v>23</v>
      </c>
      <c r="B95" s="3788"/>
      <c r="C95" s="3092" t="s">
        <v>2700</v>
      </c>
      <c r="D95" s="3092" t="s">
        <v>2701</v>
      </c>
      <c r="E95" s="3118">
        <v>0.15</v>
      </c>
      <c r="F95" s="3118">
        <v>20</v>
      </c>
    </row>
    <row r="96" spans="1:6" ht="13.5">
      <c r="A96" s="3118">
        <v>24</v>
      </c>
      <c r="B96" s="3788"/>
      <c r="C96" s="3092" t="s">
        <v>2702</v>
      </c>
      <c r="D96" s="3092" t="s">
        <v>2703</v>
      </c>
      <c r="E96" s="3118">
        <v>0.1</v>
      </c>
      <c r="F96" s="3118">
        <v>15</v>
      </c>
    </row>
    <row r="97" spans="1:6" ht="13.5">
      <c r="A97" s="3118">
        <v>25</v>
      </c>
      <c r="B97" s="3788"/>
      <c r="C97" s="3092" t="s">
        <v>2704</v>
      </c>
      <c r="D97" s="3092" t="s">
        <v>2705</v>
      </c>
      <c r="E97" s="3118">
        <v>0.1</v>
      </c>
      <c r="F97" s="3118">
        <v>15</v>
      </c>
    </row>
    <row r="98" spans="1:6" ht="24">
      <c r="A98" s="3118">
        <v>26</v>
      </c>
      <c r="B98" s="3788"/>
      <c r="C98" s="3092" t="s">
        <v>2706</v>
      </c>
      <c r="D98" s="3092" t="s">
        <v>2707</v>
      </c>
      <c r="E98" s="3118">
        <v>0.1</v>
      </c>
      <c r="F98" s="3118">
        <v>15</v>
      </c>
    </row>
    <row r="99" spans="1:6" ht="24">
      <c r="A99" s="3118">
        <v>27</v>
      </c>
      <c r="B99" s="3788"/>
      <c r="C99" s="3092" t="s">
        <v>2708</v>
      </c>
      <c r="D99" s="3092" t="s">
        <v>2709</v>
      </c>
      <c r="E99" s="3118">
        <v>0.1</v>
      </c>
      <c r="F99" s="3118">
        <v>15</v>
      </c>
    </row>
    <row r="100" spans="1:6" ht="13.5">
      <c r="A100" s="3118">
        <v>28</v>
      </c>
      <c r="B100" s="3788"/>
      <c r="C100" s="3092" t="s">
        <v>2710</v>
      </c>
      <c r="D100" s="3092" t="s">
        <v>2711</v>
      </c>
      <c r="E100" s="3118">
        <v>0.1</v>
      </c>
      <c r="F100" s="3118">
        <v>15</v>
      </c>
    </row>
    <row r="101" spans="1:6" ht="13.5">
      <c r="A101" s="3118">
        <v>29</v>
      </c>
      <c r="B101" s="3788"/>
      <c r="C101" s="3092" t="s">
        <v>2712</v>
      </c>
      <c r="D101" s="3092" t="s">
        <v>2713</v>
      </c>
      <c r="E101" s="3118">
        <v>0.1</v>
      </c>
      <c r="F101" s="3118">
        <v>15</v>
      </c>
    </row>
    <row r="102" spans="1:6" ht="13.5">
      <c r="A102" s="3118">
        <v>30</v>
      </c>
      <c r="B102" s="3788"/>
      <c r="C102" s="3092" t="s">
        <v>2714</v>
      </c>
      <c r="D102" s="3092" t="s">
        <v>2715</v>
      </c>
      <c r="E102" s="3118">
        <v>0.1</v>
      </c>
      <c r="F102" s="3118">
        <v>15</v>
      </c>
    </row>
    <row r="103" spans="1:6" ht="24">
      <c r="A103" s="3118">
        <v>31</v>
      </c>
      <c r="B103" s="3788"/>
      <c r="C103" s="3092" t="s">
        <v>2716</v>
      </c>
      <c r="D103" s="3092" t="s">
        <v>2717</v>
      </c>
      <c r="E103" s="3118">
        <v>0.1</v>
      </c>
      <c r="F103" s="3118">
        <v>15</v>
      </c>
    </row>
    <row r="104" spans="1:6" ht="24">
      <c r="A104" s="3118">
        <v>32</v>
      </c>
      <c r="B104" s="3788"/>
      <c r="C104" s="3092" t="s">
        <v>2718</v>
      </c>
      <c r="D104" s="3092" t="s">
        <v>2719</v>
      </c>
      <c r="E104" s="3118">
        <v>0.1</v>
      </c>
      <c r="F104" s="3118">
        <v>15</v>
      </c>
    </row>
    <row r="105" spans="1:6" ht="24">
      <c r="A105" s="3118">
        <v>33</v>
      </c>
      <c r="B105" s="3788"/>
      <c r="C105" s="3092" t="s">
        <v>2720</v>
      </c>
      <c r="D105" s="3092" t="s">
        <v>2721</v>
      </c>
      <c r="E105" s="3118">
        <v>0.1</v>
      </c>
      <c r="F105" s="3118">
        <v>15</v>
      </c>
    </row>
    <row r="106" spans="1:6" ht="24">
      <c r="A106" s="3118">
        <v>34</v>
      </c>
      <c r="B106" s="3787"/>
      <c r="C106" s="3092" t="s">
        <v>2722</v>
      </c>
      <c r="D106" s="3092" t="s">
        <v>2723</v>
      </c>
      <c r="E106" s="3118">
        <v>0.1</v>
      </c>
      <c r="F106" s="3118">
        <v>15</v>
      </c>
    </row>
    <row r="107" spans="1:6" ht="24">
      <c r="A107" s="3118">
        <v>35</v>
      </c>
      <c r="B107" s="3786" t="s">
        <v>2724</v>
      </c>
      <c r="C107" s="3118" t="s">
        <v>2725</v>
      </c>
      <c r="D107" s="3092" t="s">
        <v>2726</v>
      </c>
      <c r="E107" s="3118">
        <v>0.15</v>
      </c>
      <c r="F107" s="3118">
        <v>20</v>
      </c>
    </row>
    <row r="108" spans="1:6" ht="13.5">
      <c r="A108" s="3118">
        <v>36</v>
      </c>
      <c r="B108" s="3788"/>
      <c r="C108" s="3118" t="s">
        <v>2727</v>
      </c>
      <c r="D108" s="3092" t="s">
        <v>2728</v>
      </c>
      <c r="E108" s="3118">
        <v>0.15</v>
      </c>
      <c r="F108" s="3118">
        <v>20</v>
      </c>
    </row>
    <row r="109" spans="1:6" ht="13.5">
      <c r="A109" s="3118">
        <v>37</v>
      </c>
      <c r="B109" s="3788"/>
      <c r="C109" s="3118" t="s">
        <v>2729</v>
      </c>
      <c r="D109" s="3092" t="s">
        <v>2730</v>
      </c>
      <c r="E109" s="3118">
        <v>0.15</v>
      </c>
      <c r="F109" s="3118">
        <v>20</v>
      </c>
    </row>
    <row r="110" spans="1:6" ht="13.5">
      <c r="A110" s="3118">
        <v>38</v>
      </c>
      <c r="B110" s="3788"/>
      <c r="C110" s="3118" t="s">
        <v>2731</v>
      </c>
      <c r="D110" s="3092" t="s">
        <v>2732</v>
      </c>
      <c r="E110" s="3118">
        <v>0.1</v>
      </c>
      <c r="F110" s="3118">
        <v>15</v>
      </c>
    </row>
    <row r="111" spans="1:6" ht="24">
      <c r="A111" s="3118">
        <v>39</v>
      </c>
      <c r="B111" s="3788"/>
      <c r="C111" s="3118" t="s">
        <v>2733</v>
      </c>
      <c r="D111" s="3092" t="s">
        <v>2734</v>
      </c>
      <c r="E111" s="3118">
        <v>0.1</v>
      </c>
      <c r="F111" s="3118">
        <v>15</v>
      </c>
    </row>
    <row r="112" spans="1:6" ht="24">
      <c r="A112" s="3118">
        <v>40</v>
      </c>
      <c r="B112" s="3787"/>
      <c r="C112" s="3118" t="s">
        <v>2735</v>
      </c>
      <c r="D112" s="3092" t="s">
        <v>2736</v>
      </c>
      <c r="E112" s="3118">
        <v>0.1</v>
      </c>
      <c r="F112" s="3118">
        <v>15</v>
      </c>
    </row>
    <row r="113" spans="1:6" ht="13.5">
      <c r="A113" s="3118">
        <v>41</v>
      </c>
      <c r="B113" s="3785" t="s">
        <v>2737</v>
      </c>
      <c r="C113" s="3118" t="s">
        <v>2738</v>
      </c>
      <c r="D113" s="3092" t="s">
        <v>2739</v>
      </c>
      <c r="E113" s="3118">
        <v>0.1</v>
      </c>
      <c r="F113" s="3118">
        <v>15</v>
      </c>
    </row>
    <row r="114" spans="1:6" ht="13.5">
      <c r="A114" s="3118">
        <v>42</v>
      </c>
      <c r="B114" s="3785"/>
      <c r="C114" s="3118" t="s">
        <v>2740</v>
      </c>
      <c r="D114" s="3092" t="s">
        <v>2741</v>
      </c>
      <c r="E114" s="3118">
        <v>0.1</v>
      </c>
      <c r="F114" s="3118">
        <v>15</v>
      </c>
    </row>
    <row r="115" spans="1:6" ht="24">
      <c r="A115" s="3118">
        <v>43</v>
      </c>
      <c r="B115" s="3785"/>
      <c r="C115" s="3118" t="s">
        <v>2742</v>
      </c>
      <c r="D115" s="3092" t="s">
        <v>2743</v>
      </c>
      <c r="E115" s="3118">
        <v>0.1</v>
      </c>
      <c r="F115" s="3118">
        <v>15</v>
      </c>
    </row>
    <row r="116" spans="1:6" ht="13.5">
      <c r="A116" s="3118">
        <v>44</v>
      </c>
      <c r="B116" s="3786" t="s">
        <v>2744</v>
      </c>
      <c r="C116" s="3118" t="s">
        <v>2745</v>
      </c>
      <c r="D116" s="3092" t="s">
        <v>2746</v>
      </c>
      <c r="E116" s="3118">
        <v>0.1</v>
      </c>
      <c r="F116" s="3118">
        <v>15</v>
      </c>
    </row>
    <row r="117" spans="1:6" ht="24">
      <c r="A117" s="3118">
        <v>45</v>
      </c>
      <c r="B117" s="3787"/>
      <c r="C117" s="3092" t="s">
        <v>2747</v>
      </c>
      <c r="D117" s="3092" t="s">
        <v>2748</v>
      </c>
      <c r="E117" s="3118">
        <v>0.1</v>
      </c>
      <c r="F117" s="3118">
        <v>15</v>
      </c>
    </row>
    <row r="118" spans="1:6" ht="24">
      <c r="A118" s="3118">
        <v>46</v>
      </c>
      <c r="B118" s="3786" t="s">
        <v>2749</v>
      </c>
      <c r="C118" s="3118" t="s">
        <v>2750</v>
      </c>
      <c r="D118" s="3092" t="s">
        <v>2751</v>
      </c>
      <c r="E118" s="3118">
        <v>0.1</v>
      </c>
      <c r="F118" s="3118">
        <v>15</v>
      </c>
    </row>
    <row r="119" spans="1:6" ht="24">
      <c r="A119" s="3118">
        <v>47</v>
      </c>
      <c r="B119" s="3787"/>
      <c r="C119" s="3118" t="s">
        <v>2752</v>
      </c>
      <c r="D119" s="3092" t="s">
        <v>2753</v>
      </c>
      <c r="E119" s="3118">
        <v>0.1</v>
      </c>
      <c r="F119" s="3118">
        <v>15</v>
      </c>
    </row>
    <row r="120" spans="1:6" ht="13.5">
      <c r="A120" s="3118">
        <v>48</v>
      </c>
      <c r="B120" s="3786" t="s">
        <v>2754</v>
      </c>
      <c r="C120" s="3118" t="s">
        <v>2755</v>
      </c>
      <c r="D120" s="3092" t="s">
        <v>2756</v>
      </c>
      <c r="E120" s="3118">
        <v>0.1</v>
      </c>
      <c r="F120" s="3118">
        <v>15</v>
      </c>
    </row>
    <row r="121" spans="1:6" ht="13.5">
      <c r="A121" s="3118">
        <v>49</v>
      </c>
      <c r="B121" s="3787"/>
      <c r="C121" s="3118" t="s">
        <v>2757</v>
      </c>
      <c r="D121" s="3092" t="s">
        <v>2758</v>
      </c>
      <c r="E121" s="3118">
        <v>0.1</v>
      </c>
      <c r="F121" s="3118">
        <v>15</v>
      </c>
    </row>
    <row r="122" spans="1:6" ht="24">
      <c r="A122" s="3118">
        <v>50</v>
      </c>
      <c r="B122" s="3785" t="s">
        <v>2759</v>
      </c>
      <c r="C122" s="3118" t="s">
        <v>2760</v>
      </c>
      <c r="D122" s="3092" t="s">
        <v>2761</v>
      </c>
      <c r="E122" s="3118">
        <v>0.1</v>
      </c>
      <c r="F122" s="3118">
        <v>15</v>
      </c>
    </row>
    <row r="123" spans="1:6" ht="24">
      <c r="A123" s="3118">
        <v>51</v>
      </c>
      <c r="B123" s="3785"/>
      <c r="C123" s="3118" t="s">
        <v>2762</v>
      </c>
      <c r="D123" s="3092" t="s">
        <v>2763</v>
      </c>
      <c r="E123" s="3118">
        <v>0.1</v>
      </c>
      <c r="F123" s="3118">
        <v>15</v>
      </c>
    </row>
    <row r="124" spans="1:6" ht="24">
      <c r="A124" s="3118">
        <v>52</v>
      </c>
      <c r="B124" s="3785" t="s">
        <v>2764</v>
      </c>
      <c r="C124" s="3118" t="s">
        <v>2765</v>
      </c>
      <c r="D124" s="3092" t="s">
        <v>2766</v>
      </c>
      <c r="E124" s="3118">
        <v>0.1</v>
      </c>
      <c r="F124" s="3118">
        <v>15</v>
      </c>
    </row>
    <row r="125" spans="1:6" ht="24">
      <c r="A125" s="3118">
        <v>53</v>
      </c>
      <c r="B125" s="3785"/>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85" t="s">
        <v>2772</v>
      </c>
      <c r="C127" s="3118" t="s">
        <v>2773</v>
      </c>
      <c r="D127" s="3092" t="s">
        <v>2774</v>
      </c>
      <c r="E127" s="3118">
        <v>0.1</v>
      </c>
      <c r="F127" s="3118">
        <v>15</v>
      </c>
    </row>
    <row r="128" spans="1:6" ht="13.5">
      <c r="A128" s="3118">
        <v>56</v>
      </c>
      <c r="B128" s="3785"/>
      <c r="C128" s="3118" t="s">
        <v>2775</v>
      </c>
      <c r="D128" s="3092" t="s">
        <v>2776</v>
      </c>
      <c r="E128" s="3118">
        <v>0.1</v>
      </c>
      <c r="F128" s="3118">
        <v>15</v>
      </c>
    </row>
    <row r="129" spans="1:6" ht="24">
      <c r="A129" s="3118">
        <v>57</v>
      </c>
      <c r="B129" s="3785"/>
      <c r="C129" s="3118" t="s">
        <v>2777</v>
      </c>
      <c r="D129" s="3092" t="s">
        <v>2778</v>
      </c>
      <c r="E129" s="3118">
        <v>0.1</v>
      </c>
      <c r="F129" s="3118">
        <v>15</v>
      </c>
    </row>
    <row r="130" spans="1:6" ht="24">
      <c r="A130" s="3118">
        <v>58</v>
      </c>
      <c r="B130" s="3785" t="s">
        <v>2779</v>
      </c>
      <c r="C130" s="3118" t="s">
        <v>2780</v>
      </c>
      <c r="D130" s="3092" t="s">
        <v>2781</v>
      </c>
      <c r="E130" s="3118">
        <v>0.1</v>
      </c>
      <c r="F130" s="3118">
        <v>15</v>
      </c>
    </row>
    <row r="131" spans="1:6" ht="13.5">
      <c r="A131" s="3118">
        <v>59</v>
      </c>
      <c r="B131" s="3785"/>
      <c r="C131" s="3118" t="s">
        <v>2782</v>
      </c>
      <c r="D131" s="3092" t="s">
        <v>2783</v>
      </c>
      <c r="E131" s="3118">
        <v>0.1</v>
      </c>
      <c r="F131" s="3118">
        <v>15</v>
      </c>
    </row>
    <row r="132" spans="1:6" ht="13.5">
      <c r="A132" s="3118">
        <v>60</v>
      </c>
      <c r="B132" s="3786" t="s">
        <v>2784</v>
      </c>
      <c r="C132" s="3118" t="s">
        <v>2785</v>
      </c>
      <c r="D132" s="3092" t="s">
        <v>2786</v>
      </c>
      <c r="E132" s="3118">
        <v>0.1</v>
      </c>
      <c r="F132" s="3118">
        <v>15</v>
      </c>
    </row>
    <row r="133" spans="1:6" ht="13.5">
      <c r="A133" s="3118">
        <v>61</v>
      </c>
      <c r="B133" s="3787"/>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85" t="s">
        <v>2792</v>
      </c>
      <c r="C135" s="3118" t="s">
        <v>2793</v>
      </c>
      <c r="D135" s="3092" t="s">
        <v>2794</v>
      </c>
      <c r="E135" s="3118">
        <v>0.1</v>
      </c>
      <c r="F135" s="3118">
        <v>15</v>
      </c>
    </row>
    <row r="136" spans="1:6" ht="13.5">
      <c r="A136" s="3118">
        <v>64</v>
      </c>
      <c r="B136" s="3785"/>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1.0512999999999999</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1</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32428</v>
      </c>
      <c r="C2" s="2" t="s">
        <v>106</v>
      </c>
      <c r="D2" s="199"/>
      <c r="E2" s="199"/>
      <c r="F2" s="199"/>
      <c r="G2" s="199"/>
    </row>
    <row r="3" spans="1:7" s="200" customFormat="1" ht="18" customHeight="1" thickBot="1">
      <c r="A3" s="203" t="s">
        <v>58</v>
      </c>
      <c r="B3" s="204">
        <f ca="1">ROUND(B2*10000/'数据-汇总表'!E3,0)</f>
        <v>31580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205</v>
      </c>
      <c r="D10" s="845">
        <f>'数据-汇总表'!E6</f>
        <v>10268.669999999998</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205</v>
      </c>
      <c r="D19" s="849">
        <f>'数据-汇总表'!E3</f>
        <v>10268.669999999998</v>
      </c>
      <c r="E19" s="211">
        <f>'数据-取费表'!B31</f>
        <v>200</v>
      </c>
      <c r="F19" s="231"/>
      <c r="G19" s="1" t="s">
        <v>436</v>
      </c>
    </row>
    <row r="20" spans="1:7" s="214" customFormat="1" ht="13.5" customHeight="1">
      <c r="A20" s="777" t="s">
        <v>419</v>
      </c>
      <c r="B20" s="210" t="s">
        <v>77</v>
      </c>
      <c r="C20" s="232">
        <f>ROUND((C5+C19)*F20,0)</f>
        <v>416</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1780</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17</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2972</v>
      </c>
      <c r="D27" s="235">
        <f>C29</f>
        <v>2.8E-3</v>
      </c>
      <c r="E27" s="236" t="s">
        <v>99</v>
      </c>
      <c r="F27" s="246">
        <f>'数据-取费表'!Q16</f>
        <v>0.14000000000000001</v>
      </c>
      <c r="G27" s="247" t="s">
        <v>431</v>
      </c>
    </row>
    <row r="28" spans="1:7" s="214" customFormat="1" ht="13.5" customHeight="1">
      <c r="A28" s="780" t="s">
        <v>349</v>
      </c>
      <c r="B28" s="248" t="s">
        <v>424</v>
      </c>
      <c r="C28" s="249">
        <f>ROUND((C5+C19+C20)*F27*'数据-取费表'!B21/'数据-取费表'!B20,0)</f>
        <v>2972</v>
      </c>
      <c r="D28" s="235"/>
      <c r="E28" s="236"/>
      <c r="F28" s="246"/>
      <c r="G28" s="247"/>
    </row>
    <row r="29" spans="1:7" s="214" customFormat="1" ht="13.5" customHeight="1">
      <c r="A29" s="780" t="s">
        <v>347</v>
      </c>
      <c r="B29" s="248" t="s">
        <v>425</v>
      </c>
      <c r="C29" s="238">
        <f>ROUND(C21*F27*'数据-取费表'!B21/'数据-取费表'!B20,4)</f>
        <v>2.8E-3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28149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3997</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3594</v>
      </c>
      <c r="D34" s="217"/>
      <c r="E34" s="220"/>
      <c r="F34" s="257">
        <f>IF('数据-取费表'!B24=0,1,'数据-取费表'!N16)</f>
        <v>1</v>
      </c>
      <c r="G34" s="219" t="s">
        <v>89</v>
      </c>
    </row>
    <row r="35" spans="1:7" ht="13.5" customHeight="1">
      <c r="A35" s="780" t="s">
        <v>351</v>
      </c>
      <c r="B35" s="215" t="s">
        <v>33</v>
      </c>
      <c r="C35" s="220">
        <f>ROUND(C34*F35,0)</f>
        <v>144</v>
      </c>
      <c r="D35" s="220"/>
      <c r="E35" s="220"/>
      <c r="F35" s="259">
        <f>'数据-取费表'!B33</f>
        <v>0.04</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205</v>
      </c>
      <c r="D37" s="217">
        <f>'数据-汇总表'!E3</f>
        <v>10268.669999999998</v>
      </c>
      <c r="E37" s="249">
        <f>'数据-取费表'!B35</f>
        <v>200</v>
      </c>
      <c r="F37" s="259"/>
      <c r="G37" s="261" t="s">
        <v>92</v>
      </c>
    </row>
    <row r="38" spans="1:7" ht="13.5" customHeight="1">
      <c r="A38" s="780" t="s">
        <v>354</v>
      </c>
      <c r="B38" s="215" t="s">
        <v>36</v>
      </c>
      <c r="C38" s="220">
        <f>ROUND(C34*F38,0)</f>
        <v>54</v>
      </c>
      <c r="D38" s="220"/>
      <c r="E38" s="220"/>
      <c r="F38" s="259">
        <f>'数据-取费表'!B36</f>
        <v>1.4999999999999999E-2</v>
      </c>
      <c r="G38" s="219" t="s">
        <v>90</v>
      </c>
    </row>
    <row r="39" spans="1:7" s="214" customFormat="1" ht="13.5" customHeight="1">
      <c r="A39" s="777" t="s">
        <v>338</v>
      </c>
      <c r="B39" s="210" t="s">
        <v>77</v>
      </c>
      <c r="C39" s="232">
        <f>ROUND(C33*F20,0)</f>
        <v>80</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169</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166</v>
      </c>
      <c r="D42" s="238"/>
      <c r="E42" s="238"/>
      <c r="F42" s="239"/>
      <c r="G42" s="3661" t="s">
        <v>94</v>
      </c>
    </row>
    <row r="43" spans="1:7" ht="13.5" customHeight="1">
      <c r="A43" s="780" t="s">
        <v>347</v>
      </c>
      <c r="B43" s="215" t="s">
        <v>426</v>
      </c>
      <c r="C43" s="238">
        <f ca="1">ROUND(IF('数据-取费表'!B22&lt;=1,C39*F22*'数据-取费表'!B21/2,C39*(POWER((1+F22),'数据-取费表'!B21/2)-1)),0)</f>
        <v>3</v>
      </c>
      <c r="D43" s="238"/>
      <c r="E43" s="238"/>
      <c r="F43" s="239"/>
      <c r="G43" s="3662"/>
    </row>
    <row r="44" spans="1:7" ht="13.5" customHeight="1">
      <c r="A44" s="780" t="s">
        <v>348</v>
      </c>
      <c r="B44" s="215" t="s">
        <v>428</v>
      </c>
      <c r="C44" s="238">
        <f ca="1">ROUND(IF('数据-取费表'!B22&lt;=1,C40*F22*'数据-取费表'!B21/2,C40*(POWER((1+F22),'数据-取费表'!B21/2)-1)),4)</f>
        <v>8.0000000000000004E-4</v>
      </c>
      <c r="D44" s="238"/>
      <c r="E44" s="238"/>
      <c r="F44" s="239"/>
      <c r="G44" s="3663"/>
    </row>
    <row r="45" spans="1:7" s="214" customFormat="1" ht="13.5" customHeight="1">
      <c r="A45" s="777" t="s">
        <v>341</v>
      </c>
      <c r="B45" s="244" t="s">
        <v>85</v>
      </c>
      <c r="C45" s="245">
        <f>C46</f>
        <v>571</v>
      </c>
      <c r="D45" s="235">
        <f>C47</f>
        <v>2.8E-3</v>
      </c>
      <c r="E45" s="236" t="s">
        <v>102</v>
      </c>
      <c r="F45" s="246"/>
      <c r="G45" s="247" t="s">
        <v>434</v>
      </c>
    </row>
    <row r="46" spans="1:7" s="214" customFormat="1" ht="13.5" customHeight="1">
      <c r="A46" s="780" t="s">
        <v>349</v>
      </c>
      <c r="B46" s="248" t="s">
        <v>427</v>
      </c>
      <c r="C46" s="249">
        <f>ROUND((C33+C39)*F27,0)</f>
        <v>571</v>
      </c>
      <c r="D46" s="263"/>
      <c r="E46" s="236"/>
      <c r="F46" s="246"/>
      <c r="G46" s="247"/>
    </row>
    <row r="47" spans="1:7" s="214" customFormat="1" ht="13.5" customHeight="1">
      <c r="A47" s="780" t="s">
        <v>347</v>
      </c>
      <c r="B47" s="248" t="s">
        <v>429</v>
      </c>
      <c r="C47" s="238">
        <f>ROUND(C40*F27,4)</f>
        <v>2.8E-3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5218</v>
      </c>
      <c r="D49" s="232"/>
      <c r="E49" s="232"/>
      <c r="F49" s="264"/>
      <c r="G49" s="234" t="s">
        <v>435</v>
      </c>
    </row>
    <row r="50" spans="1:7" s="258" customFormat="1" ht="24">
      <c r="A50" s="777" t="s">
        <v>344</v>
      </c>
      <c r="B50" s="210" t="s">
        <v>97</v>
      </c>
      <c r="C50" s="232"/>
      <c r="D50" s="232"/>
      <c r="E50" s="232"/>
      <c r="F50" s="264">
        <f>IF('数据-取费表'!B24=0,'数据-取费表'!N16,1)</f>
        <v>0.82</v>
      </c>
      <c r="G50" s="247" t="s">
        <v>98</v>
      </c>
    </row>
    <row r="51" spans="1:7" ht="16.5" customHeight="1">
      <c r="A51" s="777" t="s">
        <v>345</v>
      </c>
      <c r="B51" s="210" t="s">
        <v>105</v>
      </c>
      <c r="C51" s="232">
        <f ca="1">ROUND(C49*F50,0)</f>
        <v>4279</v>
      </c>
      <c r="D51" s="232"/>
      <c r="E51" s="232"/>
      <c r="F51" s="264"/>
      <c r="G51" s="234" t="s">
        <v>37</v>
      </c>
    </row>
    <row r="52" spans="1:7" s="208" customFormat="1" ht="16.5" thickBot="1">
      <c r="A52" s="265" t="s">
        <v>38</v>
      </c>
      <c r="B52" s="266"/>
      <c r="C52" s="267">
        <f ca="1">C31+C51</f>
        <v>32428</v>
      </c>
      <c r="D52" s="266"/>
      <c r="E52" s="266"/>
      <c r="F52" s="266"/>
      <c r="G52" s="268"/>
    </row>
    <row r="55" spans="1:7" ht="15">
      <c r="B55" s="270" t="s">
        <v>39</v>
      </c>
      <c r="C55" s="271"/>
    </row>
    <row r="56" spans="1:7">
      <c r="B56" s="273" t="s">
        <v>40</v>
      </c>
      <c r="C56" s="274">
        <f ca="1">ROUND(C51/C52,3)</f>
        <v>0.13200000000000001</v>
      </c>
    </row>
    <row r="57" spans="1:7">
      <c r="B57" s="273" t="s">
        <v>41</v>
      </c>
      <c r="C57" s="275">
        <f ca="1">1-C56</f>
        <v>0.86799999999999999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I22" sqref="I22"/>
    </sheetView>
  </sheetViews>
  <sheetFormatPr defaultColWidth="8.875" defaultRowHeight="11.25"/>
  <cols>
    <col min="1" max="1" width="9.625" style="3227" customWidth="1"/>
    <col min="2" max="2" width="18.625" style="3227" customWidth="1"/>
    <col min="3" max="6" width="10.25" style="3227" customWidth="1"/>
    <col min="7" max="7" width="10.5" style="3227" bestFit="1" customWidth="1"/>
    <col min="8" max="8" width="8.875" style="3223"/>
    <col min="9" max="9" width="13.375" style="3223" customWidth="1"/>
    <col min="10" max="13" width="13.375" style="3227" customWidth="1"/>
    <col min="14" max="14" width="18.25" style="3227" customWidth="1"/>
    <col min="15" max="17" width="15.125" style="3227" customWidth="1"/>
    <col min="18" max="20" width="11.5" style="3227" customWidth="1"/>
    <col min="21" max="16384" width="8.875" style="3227"/>
  </cols>
  <sheetData>
    <row r="1" spans="1:20" ht="12" thickBot="1">
      <c r="A1" s="3799" t="s">
        <v>2848</v>
      </c>
      <c r="B1" s="3799"/>
      <c r="C1" s="3799"/>
      <c r="D1" s="3799"/>
      <c r="E1" s="3799"/>
      <c r="F1" s="3799"/>
      <c r="G1" s="3800"/>
      <c r="I1" s="3224" t="s">
        <v>2849</v>
      </c>
      <c r="J1" s="3225" t="s">
        <v>2850</v>
      </c>
      <c r="K1" s="3225" t="s">
        <v>2851</v>
      </c>
      <c r="L1" s="3225" t="s">
        <v>2852</v>
      </c>
      <c r="M1" s="3225" t="s">
        <v>2853</v>
      </c>
      <c r="N1" s="3225" t="s">
        <v>2854</v>
      </c>
      <c r="O1" s="3225" t="s">
        <v>2855</v>
      </c>
      <c r="P1" s="3225" t="s">
        <v>2856</v>
      </c>
      <c r="Q1" s="3225" t="s">
        <v>2857</v>
      </c>
      <c r="R1" s="3225" t="s">
        <v>2858</v>
      </c>
      <c r="S1" s="3225" t="s">
        <v>2859</v>
      </c>
      <c r="T1" s="3226" t="s">
        <v>2860</v>
      </c>
    </row>
    <row r="2" spans="1:20" ht="12" thickBot="1">
      <c r="A2" s="3228" t="s">
        <v>2861</v>
      </c>
      <c r="B2" s="3228"/>
      <c r="C2" s="3228"/>
      <c r="D2" s="3228"/>
      <c r="E2" s="3228"/>
      <c r="F2" s="3228"/>
      <c r="G2" s="3229" t="s">
        <v>2862</v>
      </c>
      <c r="I2" s="3230" t="s">
        <v>2863</v>
      </c>
      <c r="J2" s="3230" t="s">
        <v>2864</v>
      </c>
      <c r="K2" s="3230" t="s">
        <v>2865</v>
      </c>
      <c r="L2" s="3230" t="s">
        <v>2866</v>
      </c>
      <c r="M2" s="3230" t="s">
        <v>2867</v>
      </c>
      <c r="N2" s="3230" t="s">
        <v>2868</v>
      </c>
      <c r="O2" s="3230" t="s">
        <v>2869</v>
      </c>
      <c r="P2" s="3230" t="s">
        <v>2870</v>
      </c>
      <c r="Q2" s="3230" t="s">
        <v>2871</v>
      </c>
      <c r="R2" s="3230" t="s">
        <v>2872</v>
      </c>
      <c r="S2" s="3230" t="s">
        <v>2873</v>
      </c>
      <c r="T2" s="3230" t="s">
        <v>2874</v>
      </c>
    </row>
    <row r="3" spans="1:20" s="3236" customFormat="1">
      <c r="A3" s="3797" t="s">
        <v>2875</v>
      </c>
      <c r="B3" s="3231"/>
      <c r="C3" s="3232" t="s">
        <v>2814</v>
      </c>
      <c r="D3" s="3232" t="s">
        <v>2876</v>
      </c>
      <c r="E3" s="3232" t="s">
        <v>2816</v>
      </c>
      <c r="F3" s="3232" t="s">
        <v>2877</v>
      </c>
      <c r="G3" s="3232" t="s">
        <v>2634</v>
      </c>
      <c r="H3" s="3233"/>
      <c r="I3" s="3234" t="s">
        <v>2878</v>
      </c>
      <c r="J3" s="3235" t="s">
        <v>128</v>
      </c>
      <c r="K3" s="3235" t="s">
        <v>129</v>
      </c>
      <c r="L3" s="3234" t="s">
        <v>130</v>
      </c>
      <c r="M3" s="3234" t="s">
        <v>131</v>
      </c>
      <c r="N3" s="3234" t="s">
        <v>132</v>
      </c>
      <c r="O3" s="3234" t="s">
        <v>133</v>
      </c>
      <c r="P3" s="3234" t="s">
        <v>134</v>
      </c>
      <c r="Q3" s="3234" t="s">
        <v>135</v>
      </c>
      <c r="R3" s="3234" t="s">
        <v>136</v>
      </c>
      <c r="S3" s="3234" t="s">
        <v>2879</v>
      </c>
      <c r="T3" s="3234" t="s">
        <v>2880</v>
      </c>
    </row>
    <row r="4" spans="1:20" s="3236" customFormat="1" ht="12" thickBot="1">
      <c r="A4" s="3798"/>
      <c r="B4" s="3237" t="s">
        <v>2881</v>
      </c>
      <c r="C4" s="3237" t="s">
        <v>2882</v>
      </c>
      <c r="D4" s="3237" t="s">
        <v>2882</v>
      </c>
      <c r="E4" s="3237" t="s">
        <v>2882</v>
      </c>
      <c r="F4" s="3238" t="s">
        <v>2882</v>
      </c>
      <c r="G4" s="3238" t="s">
        <v>2882</v>
      </c>
      <c r="H4" s="3233"/>
      <c r="I4" s="3235" t="s">
        <v>137</v>
      </c>
      <c r="J4" s="3235" t="s">
        <v>111</v>
      </c>
      <c r="K4" s="3235" t="s">
        <v>138</v>
      </c>
      <c r="L4" s="3234" t="s">
        <v>139</v>
      </c>
      <c r="M4" s="3234" t="s">
        <v>140</v>
      </c>
      <c r="N4" s="3234" t="s">
        <v>141</v>
      </c>
      <c r="O4" s="3234" t="s">
        <v>142</v>
      </c>
      <c r="P4" s="3234" t="s">
        <v>143</v>
      </c>
      <c r="Q4" s="3234" t="s">
        <v>2883</v>
      </c>
      <c r="R4" s="3234" t="s">
        <v>2884</v>
      </c>
      <c r="S4" s="3234" t="s">
        <v>2885</v>
      </c>
      <c r="T4" s="3234" t="s">
        <v>2886</v>
      </c>
    </row>
    <row r="5" spans="1:20">
      <c r="A5" s="3239" t="s">
        <v>2849</v>
      </c>
      <c r="B5" s="3230" t="s">
        <v>2863</v>
      </c>
      <c r="C5" s="3230">
        <v>34550</v>
      </c>
      <c r="D5" s="3230">
        <v>34470</v>
      </c>
      <c r="E5" s="3230">
        <v>34330</v>
      </c>
      <c r="F5" s="3230">
        <v>13400</v>
      </c>
      <c r="G5" s="3230">
        <v>25450</v>
      </c>
      <c r="H5" s="3233"/>
      <c r="I5" s="3234" t="s">
        <v>145</v>
      </c>
      <c r="J5" s="3235" t="s">
        <v>146</v>
      </c>
      <c r="K5" s="3235" t="s">
        <v>147</v>
      </c>
      <c r="L5" s="3234" t="s">
        <v>148</v>
      </c>
      <c r="M5" s="3234" t="s">
        <v>149</v>
      </c>
      <c r="N5" s="3234" t="s">
        <v>150</v>
      </c>
      <c r="O5" s="3234" t="s">
        <v>151</v>
      </c>
      <c r="P5" s="3234" t="s">
        <v>152</v>
      </c>
      <c r="Q5" s="3234" t="s">
        <v>2887</v>
      </c>
      <c r="R5" s="3234" t="s">
        <v>2888</v>
      </c>
      <c r="S5" s="3234" t="s">
        <v>153</v>
      </c>
      <c r="T5" s="3234" t="s">
        <v>2889</v>
      </c>
    </row>
    <row r="6" spans="1:20" ht="12" thickBot="1">
      <c r="A6" s="3234" t="s">
        <v>144</v>
      </c>
      <c r="B6" s="3234" t="s">
        <v>2878</v>
      </c>
      <c r="C6" s="3234">
        <v>36990</v>
      </c>
      <c r="D6" s="3234">
        <v>36850</v>
      </c>
      <c r="E6" s="3234">
        <v>36700</v>
      </c>
      <c r="F6" s="3234">
        <v>14590</v>
      </c>
      <c r="G6" s="3234">
        <v>27450</v>
      </c>
      <c r="H6" s="3233"/>
      <c r="I6" s="3240" t="s">
        <v>154</v>
      </c>
      <c r="J6" s="3235" t="s">
        <v>155</v>
      </c>
      <c r="K6" s="3235" t="s">
        <v>156</v>
      </c>
      <c r="L6" s="3234" t="s">
        <v>157</v>
      </c>
      <c r="M6" s="3234" t="s">
        <v>158</v>
      </c>
      <c r="N6" s="3234" t="s">
        <v>159</v>
      </c>
      <c r="O6" s="3234" t="s">
        <v>160</v>
      </c>
      <c r="P6" s="3234" t="s">
        <v>2890</v>
      </c>
      <c r="Q6" s="3234" t="s">
        <v>2891</v>
      </c>
      <c r="R6" s="3234" t="s">
        <v>161</v>
      </c>
      <c r="S6" s="3234" t="s">
        <v>2892</v>
      </c>
      <c r="T6" s="3234" t="s">
        <v>2893</v>
      </c>
    </row>
    <row r="7" spans="1:20">
      <c r="A7" s="3234" t="s">
        <v>144</v>
      </c>
      <c r="B7" s="3235" t="s">
        <v>137</v>
      </c>
      <c r="C7" s="3234">
        <v>34850</v>
      </c>
      <c r="D7" s="3234">
        <v>34690</v>
      </c>
      <c r="E7" s="3234">
        <v>34550</v>
      </c>
      <c r="F7" s="3234">
        <v>14360</v>
      </c>
      <c r="G7" s="3234">
        <v>25620</v>
      </c>
      <c r="H7" s="3233"/>
      <c r="J7" s="3235" t="s">
        <v>162</v>
      </c>
      <c r="K7" s="3235" t="s">
        <v>163</v>
      </c>
      <c r="L7" s="3234" t="s">
        <v>164</v>
      </c>
      <c r="M7" s="3234" t="s">
        <v>165</v>
      </c>
      <c r="N7" s="3234" t="s">
        <v>166</v>
      </c>
      <c r="O7" s="3234" t="s">
        <v>167</v>
      </c>
      <c r="P7" s="3234" t="s">
        <v>2894</v>
      </c>
      <c r="Q7" s="3234" t="s">
        <v>2895</v>
      </c>
      <c r="R7" s="3234" t="s">
        <v>2896</v>
      </c>
      <c r="S7" s="3234" t="s">
        <v>2897</v>
      </c>
      <c r="T7" s="3234" t="s">
        <v>2898</v>
      </c>
    </row>
    <row r="8" spans="1:20" ht="12" thickBot="1">
      <c r="A8" s="3234" t="s">
        <v>144</v>
      </c>
      <c r="B8" s="3234" t="s">
        <v>145</v>
      </c>
      <c r="C8" s="3234">
        <v>32630</v>
      </c>
      <c r="D8" s="3234">
        <v>32510</v>
      </c>
      <c r="E8" s="3234">
        <v>32420</v>
      </c>
      <c r="F8" s="3234">
        <v>13300</v>
      </c>
      <c r="G8" s="3234">
        <v>24010</v>
      </c>
      <c r="H8" s="3233"/>
      <c r="J8" s="3235" t="s">
        <v>168</v>
      </c>
      <c r="K8" s="3235" t="s">
        <v>169</v>
      </c>
      <c r="L8" s="3234" t="s">
        <v>170</v>
      </c>
      <c r="M8" s="3234" t="s">
        <v>171</v>
      </c>
      <c r="N8" s="3234" t="s">
        <v>172</v>
      </c>
      <c r="O8" s="3234" t="s">
        <v>173</v>
      </c>
      <c r="P8" s="3234" t="s">
        <v>2899</v>
      </c>
      <c r="Q8" s="3234" t="s">
        <v>174</v>
      </c>
      <c r="R8" s="3234" t="s">
        <v>2900</v>
      </c>
      <c r="S8" s="3234" t="s">
        <v>2901</v>
      </c>
      <c r="T8" s="3241" t="s">
        <v>2902</v>
      </c>
    </row>
    <row r="9" spans="1:20" ht="12" thickBot="1">
      <c r="A9" s="3242" t="s">
        <v>144</v>
      </c>
      <c r="B9" s="3240" t="s">
        <v>154</v>
      </c>
      <c r="C9" s="3241">
        <v>36370</v>
      </c>
      <c r="D9" s="3241">
        <v>36210</v>
      </c>
      <c r="E9" s="3241">
        <v>36050</v>
      </c>
      <c r="F9" s="3241"/>
      <c r="G9" s="3241">
        <v>26740</v>
      </c>
      <c r="H9" s="3233"/>
      <c r="J9" s="3235" t="s">
        <v>175</v>
      </c>
      <c r="K9" s="3235" t="s">
        <v>176</v>
      </c>
      <c r="L9" s="3234" t="s">
        <v>177</v>
      </c>
      <c r="M9" s="3234" t="s">
        <v>178</v>
      </c>
      <c r="N9" s="3234" t="s">
        <v>179</v>
      </c>
      <c r="O9" s="3234" t="s">
        <v>180</v>
      </c>
      <c r="P9" s="3234" t="s">
        <v>2903</v>
      </c>
      <c r="Q9" s="3234" t="s">
        <v>182</v>
      </c>
      <c r="R9" s="3234" t="s">
        <v>183</v>
      </c>
      <c r="S9" s="3234" t="s">
        <v>200</v>
      </c>
    </row>
    <row r="10" spans="1:20">
      <c r="A10" s="3239" t="s">
        <v>184</v>
      </c>
      <c r="B10" s="3230" t="s">
        <v>2864</v>
      </c>
      <c r="C10" s="3234">
        <v>32350</v>
      </c>
      <c r="D10" s="3234">
        <v>31430</v>
      </c>
      <c r="E10" s="3234">
        <v>31320</v>
      </c>
      <c r="F10" s="3234">
        <v>10850</v>
      </c>
      <c r="G10" s="3234">
        <v>22860</v>
      </c>
      <c r="H10" s="3233"/>
      <c r="J10" s="3235" t="s">
        <v>185</v>
      </c>
      <c r="K10" s="3235" t="s">
        <v>186</v>
      </c>
      <c r="L10" s="3234" t="s">
        <v>187</v>
      </c>
      <c r="M10" s="3234" t="s">
        <v>188</v>
      </c>
      <c r="N10" s="3234" t="s">
        <v>189</v>
      </c>
      <c r="O10" s="3234" t="s">
        <v>190</v>
      </c>
      <c r="P10" s="3234" t="s">
        <v>181</v>
      </c>
      <c r="Q10" s="3234" t="s">
        <v>192</v>
      </c>
      <c r="R10" s="3234" t="s">
        <v>193</v>
      </c>
      <c r="S10" s="3234" t="s">
        <v>2904</v>
      </c>
    </row>
    <row r="11" spans="1:20">
      <c r="A11" s="3234" t="s">
        <v>184</v>
      </c>
      <c r="B11" s="3235" t="s">
        <v>128</v>
      </c>
      <c r="C11" s="3234">
        <v>31590</v>
      </c>
      <c r="D11" s="3234">
        <v>29490</v>
      </c>
      <c r="E11" s="3234">
        <v>28700</v>
      </c>
      <c r="F11" s="3234">
        <v>10410</v>
      </c>
      <c r="G11" s="3234">
        <v>21460</v>
      </c>
      <c r="H11" s="3233"/>
      <c r="J11" s="3235" t="s">
        <v>194</v>
      </c>
      <c r="K11" s="3235" t="s">
        <v>195</v>
      </c>
      <c r="L11" s="3234" t="s">
        <v>196</v>
      </c>
      <c r="M11" s="3234" t="s">
        <v>197</v>
      </c>
      <c r="N11" s="3234" t="s">
        <v>198</v>
      </c>
      <c r="O11" s="3234" t="s">
        <v>2905</v>
      </c>
      <c r="P11" s="3234" t="s">
        <v>191</v>
      </c>
      <c r="Q11" s="3234" t="s">
        <v>199</v>
      </c>
      <c r="R11" s="3234" t="s">
        <v>2906</v>
      </c>
      <c r="S11" s="3234" t="s">
        <v>2907</v>
      </c>
    </row>
    <row r="12" spans="1:20">
      <c r="A12" s="3234" t="s">
        <v>184</v>
      </c>
      <c r="B12" s="3235" t="s">
        <v>111</v>
      </c>
      <c r="C12" s="3234">
        <v>29640</v>
      </c>
      <c r="D12" s="3234">
        <v>27550</v>
      </c>
      <c r="E12" s="3234">
        <v>28010</v>
      </c>
      <c r="F12" s="3234">
        <v>8730</v>
      </c>
      <c r="G12" s="3234">
        <v>20050</v>
      </c>
      <c r="H12" s="3233"/>
      <c r="J12" s="3235" t="s">
        <v>201</v>
      </c>
      <c r="K12" s="3235" t="s">
        <v>202</v>
      </c>
      <c r="L12" s="3234" t="s">
        <v>203</v>
      </c>
      <c r="M12" s="3234" t="s">
        <v>204</v>
      </c>
      <c r="N12" s="3234" t="s">
        <v>205</v>
      </c>
      <c r="O12" s="3234" t="s">
        <v>2908</v>
      </c>
      <c r="P12" s="3234" t="s">
        <v>2909</v>
      </c>
      <c r="Q12" s="3234" t="s">
        <v>2910</v>
      </c>
      <c r="R12" s="3234" t="s">
        <v>2911</v>
      </c>
      <c r="S12" s="3234" t="s">
        <v>2912</v>
      </c>
    </row>
    <row r="13" spans="1:20">
      <c r="A13" s="3234" t="s">
        <v>184</v>
      </c>
      <c r="B13" s="3235" t="s">
        <v>146</v>
      </c>
      <c r="C13" s="3234">
        <v>29680</v>
      </c>
      <c r="D13" s="3234">
        <v>27660</v>
      </c>
      <c r="E13" s="3234">
        <v>28210</v>
      </c>
      <c r="F13" s="3234">
        <v>9590</v>
      </c>
      <c r="G13" s="3234">
        <v>20120</v>
      </c>
      <c r="H13" s="3233"/>
      <c r="J13" s="3235" t="s">
        <v>208</v>
      </c>
      <c r="K13" s="3235" t="s">
        <v>209</v>
      </c>
      <c r="L13" s="3234" t="s">
        <v>210</v>
      </c>
      <c r="M13" s="3234" t="s">
        <v>211</v>
      </c>
      <c r="N13" s="3234" t="s">
        <v>212</v>
      </c>
      <c r="O13" s="3234" t="s">
        <v>2913</v>
      </c>
      <c r="P13" s="3234" t="s">
        <v>206</v>
      </c>
      <c r="Q13" s="3234" t="s">
        <v>219</v>
      </c>
      <c r="R13" s="3234" t="s">
        <v>220</v>
      </c>
      <c r="S13" s="3234" t="s">
        <v>214</v>
      </c>
    </row>
    <row r="14" spans="1:20">
      <c r="A14" s="3234" t="s">
        <v>184</v>
      </c>
      <c r="B14" s="3235" t="s">
        <v>155</v>
      </c>
      <c r="C14" s="3234">
        <v>30520</v>
      </c>
      <c r="D14" s="3234">
        <v>29510</v>
      </c>
      <c r="E14" s="3234">
        <v>29400</v>
      </c>
      <c r="F14" s="3234">
        <v>9630</v>
      </c>
      <c r="G14" s="3234">
        <v>21480</v>
      </c>
      <c r="H14" s="3233"/>
      <c r="J14" s="3235" t="s">
        <v>2914</v>
      </c>
      <c r="K14" s="3235" t="s">
        <v>215</v>
      </c>
      <c r="L14" s="3234" t="s">
        <v>216</v>
      </c>
      <c r="M14" s="3234" t="s">
        <v>217</v>
      </c>
      <c r="N14" s="3234" t="s">
        <v>218</v>
      </c>
      <c r="O14" s="3234" t="s">
        <v>240</v>
      </c>
      <c r="P14" s="3234" t="s">
        <v>213</v>
      </c>
      <c r="Q14" s="3234" t="s">
        <v>2915</v>
      </c>
      <c r="R14" s="3234" t="s">
        <v>228</v>
      </c>
      <c r="S14" s="3234" t="s">
        <v>221</v>
      </c>
    </row>
    <row r="15" spans="1:20">
      <c r="A15" s="3234" t="s">
        <v>184</v>
      </c>
      <c r="B15" s="3235" t="s">
        <v>162</v>
      </c>
      <c r="C15" s="3234">
        <v>29090</v>
      </c>
      <c r="D15" s="3234">
        <v>27590</v>
      </c>
      <c r="E15" s="3234">
        <v>28120</v>
      </c>
      <c r="F15" s="3234">
        <v>9110</v>
      </c>
      <c r="G15" s="3234">
        <v>20070</v>
      </c>
      <c r="H15" s="3233"/>
      <c r="J15" s="3235" t="s">
        <v>222</v>
      </c>
      <c r="K15" s="3235" t="s">
        <v>223</v>
      </c>
      <c r="L15" s="3234" t="s">
        <v>224</v>
      </c>
      <c r="M15" s="3234" t="s">
        <v>225</v>
      </c>
      <c r="N15" s="3234" t="s">
        <v>226</v>
      </c>
      <c r="O15" s="3234" t="s">
        <v>2916</v>
      </c>
      <c r="P15" s="3234" t="s">
        <v>2917</v>
      </c>
      <c r="Q15" s="3234" t="s">
        <v>242</v>
      </c>
      <c r="R15" s="3234" t="s">
        <v>2918</v>
      </c>
      <c r="S15" s="3234" t="s">
        <v>229</v>
      </c>
    </row>
    <row r="16" spans="1:20">
      <c r="A16" s="3234" t="s">
        <v>184</v>
      </c>
      <c r="B16" s="3235" t="s">
        <v>168</v>
      </c>
      <c r="C16" s="3234">
        <v>26790</v>
      </c>
      <c r="D16" s="3234">
        <v>30370</v>
      </c>
      <c r="E16" s="3234">
        <v>30240</v>
      </c>
      <c r="F16" s="3234">
        <v>11590</v>
      </c>
      <c r="G16" s="3234">
        <v>22090</v>
      </c>
      <c r="H16" s="3233"/>
      <c r="J16" s="3235" t="s">
        <v>230</v>
      </c>
      <c r="K16" s="3235" t="s">
        <v>231</v>
      </c>
      <c r="L16" s="3234" t="s">
        <v>232</v>
      </c>
      <c r="M16" s="3234" t="s">
        <v>233</v>
      </c>
      <c r="N16" s="3234" t="s">
        <v>234</v>
      </c>
      <c r="O16" s="3234" t="s">
        <v>2919</v>
      </c>
      <c r="P16" s="3234" t="s">
        <v>227</v>
      </c>
      <c r="Q16" s="3234" t="s">
        <v>250</v>
      </c>
      <c r="R16" s="3234" t="s">
        <v>207</v>
      </c>
      <c r="S16" s="3234" t="s">
        <v>2920</v>
      </c>
    </row>
    <row r="17" spans="1:19" ht="14.25" customHeight="1">
      <c r="A17" s="3234" t="s">
        <v>184</v>
      </c>
      <c r="B17" s="3235" t="s">
        <v>175</v>
      </c>
      <c r="C17" s="3234">
        <v>29180</v>
      </c>
      <c r="D17" s="3234">
        <v>27620</v>
      </c>
      <c r="E17" s="3234">
        <v>28180</v>
      </c>
      <c r="F17" s="3234">
        <v>10790</v>
      </c>
      <c r="G17" s="3234">
        <v>20090</v>
      </c>
      <c r="H17" s="3233"/>
      <c r="J17" s="3235" t="s">
        <v>235</v>
      </c>
      <c r="K17" s="3235" t="s">
        <v>236</v>
      </c>
      <c r="L17" s="3234" t="s">
        <v>237</v>
      </c>
      <c r="M17" s="3234" t="s">
        <v>238</v>
      </c>
      <c r="N17" s="3234" t="s">
        <v>239</v>
      </c>
      <c r="O17" s="3234" t="s">
        <v>2921</v>
      </c>
      <c r="P17" s="3234" t="s">
        <v>2922</v>
      </c>
      <c r="Q17" s="3234" t="s">
        <v>256</v>
      </c>
      <c r="R17" s="3234" t="s">
        <v>2923</v>
      </c>
      <c r="S17" s="3234" t="s">
        <v>258</v>
      </c>
    </row>
    <row r="18" spans="1:19" ht="14.25" customHeight="1">
      <c r="A18" s="3234" t="s">
        <v>184</v>
      </c>
      <c r="B18" s="3235" t="s">
        <v>185</v>
      </c>
      <c r="C18" s="3234">
        <v>26840</v>
      </c>
      <c r="D18" s="3234">
        <v>28930</v>
      </c>
      <c r="E18" s="3234">
        <v>28820</v>
      </c>
      <c r="F18" s="3234"/>
      <c r="G18" s="3234">
        <v>21050</v>
      </c>
      <c r="H18" s="3233"/>
      <c r="J18" s="3235" t="s">
        <v>244</v>
      </c>
      <c r="K18" s="3235" t="s">
        <v>245</v>
      </c>
      <c r="L18" s="3234" t="s">
        <v>246</v>
      </c>
      <c r="M18" s="3234" t="s">
        <v>247</v>
      </c>
      <c r="N18" s="3234" t="s">
        <v>248</v>
      </c>
      <c r="O18" s="3234" t="s">
        <v>2924</v>
      </c>
      <c r="P18" s="3234" t="s">
        <v>241</v>
      </c>
      <c r="Q18" s="3234" t="s">
        <v>2925</v>
      </c>
      <c r="R18" s="3234" t="s">
        <v>257</v>
      </c>
      <c r="S18" s="3234" t="s">
        <v>266</v>
      </c>
    </row>
    <row r="19" spans="1:19" ht="14.25" customHeight="1">
      <c r="A19" s="3234" t="s">
        <v>184</v>
      </c>
      <c r="B19" s="3235" t="s">
        <v>194</v>
      </c>
      <c r="C19" s="3234">
        <v>27750</v>
      </c>
      <c r="D19" s="3234">
        <v>26680</v>
      </c>
      <c r="E19" s="3234">
        <v>26590</v>
      </c>
      <c r="F19" s="3234"/>
      <c r="G19" s="3234">
        <v>19420</v>
      </c>
      <c r="H19" s="3233"/>
      <c r="J19" s="3235" t="s">
        <v>251</v>
      </c>
      <c r="K19" s="3235" t="s">
        <v>252</v>
      </c>
      <c r="L19" s="3234" t="s">
        <v>253</v>
      </c>
      <c r="M19" s="3234" t="s">
        <v>254</v>
      </c>
      <c r="N19" s="3234" t="s">
        <v>255</v>
      </c>
      <c r="O19" s="3234" t="s">
        <v>2926</v>
      </c>
      <c r="P19" s="3234" t="s">
        <v>249</v>
      </c>
      <c r="Q19" s="3234" t="s">
        <v>2927</v>
      </c>
      <c r="R19" s="3234" t="s">
        <v>265</v>
      </c>
      <c r="S19" s="3234" t="s">
        <v>2928</v>
      </c>
    </row>
    <row r="20" spans="1:19" ht="14.25" customHeight="1">
      <c r="A20" s="3234" t="s">
        <v>184</v>
      </c>
      <c r="B20" s="3235" t="s">
        <v>201</v>
      </c>
      <c r="C20" s="3234">
        <v>27050</v>
      </c>
      <c r="D20" s="3234">
        <v>29010</v>
      </c>
      <c r="E20" s="3234">
        <v>28910</v>
      </c>
      <c r="F20" s="3234"/>
      <c r="G20" s="3234">
        <v>21110</v>
      </c>
      <c r="J20" s="3235" t="s">
        <v>259</v>
      </c>
      <c r="K20" s="3235" t="s">
        <v>260</v>
      </c>
      <c r="L20" s="3234" t="s">
        <v>261</v>
      </c>
      <c r="M20" s="3234" t="s">
        <v>262</v>
      </c>
      <c r="N20" s="3234" t="s">
        <v>263</v>
      </c>
      <c r="O20" s="3234" t="s">
        <v>2929</v>
      </c>
      <c r="P20" s="3234" t="s">
        <v>2930</v>
      </c>
      <c r="Q20" s="3234" t="s">
        <v>290</v>
      </c>
      <c r="R20" s="3234" t="s">
        <v>2931</v>
      </c>
      <c r="S20" s="3234" t="s">
        <v>277</v>
      </c>
    </row>
    <row r="21" spans="1:19" ht="14.25" customHeight="1" thickBot="1">
      <c r="A21" s="3234" t="s">
        <v>184</v>
      </c>
      <c r="B21" s="3235" t="s">
        <v>208</v>
      </c>
      <c r="C21" s="3234">
        <v>32370</v>
      </c>
      <c r="D21" s="3234">
        <v>26730</v>
      </c>
      <c r="E21" s="3234">
        <v>26640</v>
      </c>
      <c r="F21" s="3234"/>
      <c r="G21" s="3234">
        <v>19440</v>
      </c>
      <c r="J21" s="3241" t="s">
        <v>2932</v>
      </c>
      <c r="K21" s="3235" t="s">
        <v>267</v>
      </c>
      <c r="L21" s="3234" t="s">
        <v>268</v>
      </c>
      <c r="M21" s="3234" t="s">
        <v>269</v>
      </c>
      <c r="N21" s="3234" t="s">
        <v>270</v>
      </c>
      <c r="O21" s="3234" t="s">
        <v>264</v>
      </c>
      <c r="P21" s="3234" t="s">
        <v>283</v>
      </c>
      <c r="Q21" s="3234" t="s">
        <v>293</v>
      </c>
      <c r="R21" s="3234" t="s">
        <v>2933</v>
      </c>
      <c r="S21" s="3241" t="s">
        <v>2934</v>
      </c>
    </row>
    <row r="22" spans="1:19" ht="14.25" customHeight="1">
      <c r="A22" s="3234" t="s">
        <v>184</v>
      </c>
      <c r="B22" s="3235" t="s">
        <v>2914</v>
      </c>
      <c r="C22" s="3234">
        <v>29830</v>
      </c>
      <c r="D22" s="3234">
        <v>27600</v>
      </c>
      <c r="E22" s="3234">
        <v>28150</v>
      </c>
      <c r="F22" s="3234"/>
      <c r="G22" s="3234">
        <v>20080</v>
      </c>
      <c r="K22" s="3235" t="s">
        <v>2935</v>
      </c>
      <c r="L22" s="3234" t="s">
        <v>272</v>
      </c>
      <c r="M22" s="3234" t="s">
        <v>273</v>
      </c>
      <c r="N22" s="3234" t="s">
        <v>274</v>
      </c>
      <c r="O22" s="3234" t="s">
        <v>2936</v>
      </c>
      <c r="P22" s="3234" t="s">
        <v>286</v>
      </c>
      <c r="Q22" s="3234" t="s">
        <v>295</v>
      </c>
      <c r="R22" s="3234" t="s">
        <v>243</v>
      </c>
    </row>
    <row r="23" spans="1:19" ht="14.25" customHeight="1">
      <c r="A23" s="3234" t="s">
        <v>184</v>
      </c>
      <c r="B23" s="3235" t="s">
        <v>222</v>
      </c>
      <c r="C23" s="3234">
        <v>27800</v>
      </c>
      <c r="D23" s="3234">
        <v>26900</v>
      </c>
      <c r="E23" s="3234">
        <v>27170</v>
      </c>
      <c r="F23" s="3234"/>
      <c r="G23" s="3234">
        <v>19570</v>
      </c>
      <c r="K23" s="3235" t="s">
        <v>2937</v>
      </c>
      <c r="L23" s="3234" t="s">
        <v>278</v>
      </c>
      <c r="M23" s="3234" t="s">
        <v>279</v>
      </c>
      <c r="N23" s="3234" t="s">
        <v>2938</v>
      </c>
      <c r="O23" s="3234" t="s">
        <v>2939</v>
      </c>
      <c r="P23" s="3234" t="s">
        <v>289</v>
      </c>
      <c r="Q23" s="3234" t="s">
        <v>298</v>
      </c>
      <c r="R23" s="3234" t="s">
        <v>2940</v>
      </c>
    </row>
    <row r="24" spans="1:19" ht="14.25" customHeight="1">
      <c r="A24" s="3234" t="s">
        <v>184</v>
      </c>
      <c r="B24" s="3235" t="s">
        <v>230</v>
      </c>
      <c r="C24" s="3234">
        <v>27930</v>
      </c>
      <c r="D24" s="3234">
        <v>32260</v>
      </c>
      <c r="E24" s="3234">
        <v>32120</v>
      </c>
      <c r="F24" s="3234"/>
      <c r="G24" s="3234">
        <v>23470</v>
      </c>
      <c r="K24" s="3235" t="s">
        <v>2941</v>
      </c>
      <c r="L24" s="3234" t="s">
        <v>281</v>
      </c>
      <c r="M24" s="3234" t="s">
        <v>282</v>
      </c>
      <c r="N24" s="3234" t="s">
        <v>2942</v>
      </c>
      <c r="O24" s="3234" t="s">
        <v>285</v>
      </c>
      <c r="P24" s="3234" t="s">
        <v>2943</v>
      </c>
      <c r="Q24" s="3243" t="s">
        <v>2944</v>
      </c>
      <c r="R24" s="3234" t="s">
        <v>2945</v>
      </c>
    </row>
    <row r="25" spans="1:19" ht="14.25" customHeight="1">
      <c r="A25" s="3234" t="s">
        <v>184</v>
      </c>
      <c r="B25" s="3235" t="s">
        <v>235</v>
      </c>
      <c r="C25" s="3234">
        <v>32230</v>
      </c>
      <c r="D25" s="3234">
        <v>29640</v>
      </c>
      <c r="E25" s="3234">
        <v>29510</v>
      </c>
      <c r="F25" s="3234"/>
      <c r="G25" s="3234">
        <v>21560</v>
      </c>
      <c r="K25" s="3235" t="s">
        <v>2946</v>
      </c>
      <c r="L25" s="3234" t="s">
        <v>2947</v>
      </c>
      <c r="M25" s="3234" t="s">
        <v>284</v>
      </c>
      <c r="N25" s="3234" t="s">
        <v>292</v>
      </c>
      <c r="O25" s="3234" t="s">
        <v>288</v>
      </c>
      <c r="P25" s="3234" t="s">
        <v>275</v>
      </c>
      <c r="Q25" s="3243" t="s">
        <v>271</v>
      </c>
      <c r="R25" s="3234" t="s">
        <v>2948</v>
      </c>
    </row>
    <row r="26" spans="1:19" ht="14.25" customHeight="1" thickBot="1">
      <c r="A26" s="3234" t="s">
        <v>184</v>
      </c>
      <c r="B26" s="3235" t="s">
        <v>244</v>
      </c>
      <c r="C26" s="3234">
        <v>31690</v>
      </c>
      <c r="D26" s="3234">
        <v>27650</v>
      </c>
      <c r="E26" s="3234">
        <v>28200</v>
      </c>
      <c r="F26" s="3234"/>
      <c r="G26" s="3234">
        <v>20110</v>
      </c>
      <c r="K26" s="3240" t="s">
        <v>2949</v>
      </c>
      <c r="L26" s="3234" t="s">
        <v>2950</v>
      </c>
      <c r="M26" s="3234" t="s">
        <v>287</v>
      </c>
      <c r="N26" s="3234" t="s">
        <v>294</v>
      </c>
      <c r="O26" s="3234" t="s">
        <v>2951</v>
      </c>
      <c r="P26" s="3234" t="s">
        <v>2952</v>
      </c>
      <c r="Q26" s="3243" t="s">
        <v>276</v>
      </c>
      <c r="R26" s="3234" t="s">
        <v>2953</v>
      </c>
    </row>
    <row r="27" spans="1:19" ht="14.25" customHeight="1">
      <c r="A27" s="3234" t="s">
        <v>184</v>
      </c>
      <c r="B27" s="3235" t="s">
        <v>251</v>
      </c>
      <c r="C27" s="3234">
        <v>29610</v>
      </c>
      <c r="D27" s="3234">
        <v>27770</v>
      </c>
      <c r="E27" s="3234">
        <v>28300</v>
      </c>
      <c r="F27" s="3234"/>
      <c r="G27" s="3234">
        <v>20210</v>
      </c>
      <c r="L27" s="3234" t="s">
        <v>2954</v>
      </c>
      <c r="M27" s="3234" t="s">
        <v>291</v>
      </c>
      <c r="N27" s="3234" t="s">
        <v>297</v>
      </c>
      <c r="O27" s="3234" t="s">
        <v>2955</v>
      </c>
      <c r="P27" s="3234" t="s">
        <v>2956</v>
      </c>
      <c r="Q27" s="3234" t="s">
        <v>2957</v>
      </c>
      <c r="R27" s="3234" t="s">
        <v>2958</v>
      </c>
    </row>
    <row r="28" spans="1:19" ht="14.25" customHeight="1">
      <c r="A28" s="3234" t="s">
        <v>184</v>
      </c>
      <c r="B28" s="3235" t="s">
        <v>259</v>
      </c>
      <c r="C28" s="3234"/>
      <c r="D28" s="3234">
        <v>31520</v>
      </c>
      <c r="E28" s="3234">
        <v>31410</v>
      </c>
      <c r="F28" s="3234"/>
      <c r="G28" s="3234">
        <v>22940</v>
      </c>
      <c r="L28" s="3234" t="s">
        <v>2959</v>
      </c>
      <c r="M28" s="3234" t="s">
        <v>2960</v>
      </c>
      <c r="N28" s="3234" t="s">
        <v>2961</v>
      </c>
      <c r="O28" s="3234" t="s">
        <v>2962</v>
      </c>
      <c r="P28" s="3234" t="s">
        <v>2963</v>
      </c>
      <c r="Q28" s="3234" t="s">
        <v>2964</v>
      </c>
      <c r="R28" s="3234" t="s">
        <v>2965</v>
      </c>
    </row>
    <row r="29" spans="1:19" ht="14.25" customHeight="1" thickBot="1">
      <c r="A29" s="3242" t="s">
        <v>184</v>
      </c>
      <c r="B29" s="3244" t="s">
        <v>2932</v>
      </c>
      <c r="C29" s="3245"/>
      <c r="D29" s="3245">
        <v>29460</v>
      </c>
      <c r="E29" s="3245">
        <v>28640</v>
      </c>
      <c r="F29" s="3245"/>
      <c r="G29" s="3245">
        <v>21430</v>
      </c>
      <c r="L29" s="3234" t="s">
        <v>2966</v>
      </c>
      <c r="M29" s="3234" t="s">
        <v>2967</v>
      </c>
      <c r="N29" s="3234" t="s">
        <v>2968</v>
      </c>
      <c r="O29" s="3234" t="s">
        <v>2969</v>
      </c>
      <c r="P29" s="3234" t="s">
        <v>2970</v>
      </c>
      <c r="Q29" s="3234" t="s">
        <v>2971</v>
      </c>
      <c r="R29" s="3234" t="s">
        <v>280</v>
      </c>
    </row>
    <row r="30" spans="1:19" ht="14.25" customHeight="1">
      <c r="A30" s="3239" t="s">
        <v>296</v>
      </c>
      <c r="B30" s="3230" t="s">
        <v>2865</v>
      </c>
      <c r="C30" s="3230">
        <v>26890</v>
      </c>
      <c r="D30" s="3230">
        <v>26770</v>
      </c>
      <c r="E30" s="3230">
        <v>25700</v>
      </c>
      <c r="F30" s="3230">
        <v>8180</v>
      </c>
      <c r="G30" s="3246">
        <v>18740</v>
      </c>
      <c r="L30" s="3234" t="s">
        <v>2972</v>
      </c>
      <c r="M30" s="3234" t="s">
        <v>2973</v>
      </c>
      <c r="N30" s="3234" t="s">
        <v>2974</v>
      </c>
      <c r="O30" s="3234" t="s">
        <v>2975</v>
      </c>
      <c r="P30" s="3234" t="s">
        <v>2976</v>
      </c>
      <c r="Q30" s="3234" t="s">
        <v>2977</v>
      </c>
      <c r="R30" s="3234" t="s">
        <v>2978</v>
      </c>
    </row>
    <row r="31" spans="1:19" ht="14.25" customHeight="1">
      <c r="A31" s="3234" t="s">
        <v>296</v>
      </c>
      <c r="B31" s="3235" t="s">
        <v>129</v>
      </c>
      <c r="C31" s="3234">
        <v>24550</v>
      </c>
      <c r="D31" s="3234">
        <v>23990</v>
      </c>
      <c r="E31" s="3234">
        <v>22930</v>
      </c>
      <c r="F31" s="3234">
        <v>7470</v>
      </c>
      <c r="G31" s="3247">
        <v>16790</v>
      </c>
      <c r="L31" s="3234" t="s">
        <v>2979</v>
      </c>
      <c r="M31" s="3234" t="s">
        <v>2980</v>
      </c>
      <c r="N31" s="3234" t="s">
        <v>2981</v>
      </c>
      <c r="O31" s="3234" t="s">
        <v>2982</v>
      </c>
      <c r="P31" s="3234" t="s">
        <v>2983</v>
      </c>
      <c r="Q31" s="3234" t="s">
        <v>2984</v>
      </c>
      <c r="R31" s="3234" t="s">
        <v>2985</v>
      </c>
    </row>
    <row r="32" spans="1:19" ht="14.25" customHeight="1" thickBot="1">
      <c r="A32" s="3234" t="s">
        <v>296</v>
      </c>
      <c r="B32" s="3235" t="s">
        <v>138</v>
      </c>
      <c r="C32" s="3234">
        <v>27210</v>
      </c>
      <c r="D32" s="3234">
        <v>23240</v>
      </c>
      <c r="E32" s="3234">
        <v>23260</v>
      </c>
      <c r="F32" s="3234">
        <v>7130</v>
      </c>
      <c r="G32" s="3247">
        <v>16270</v>
      </c>
      <c r="L32" s="3234" t="s">
        <v>2986</v>
      </c>
      <c r="M32" s="3234" t="s">
        <v>2987</v>
      </c>
      <c r="N32" s="3234" t="s">
        <v>300</v>
      </c>
      <c r="O32" s="3234" t="s">
        <v>2988</v>
      </c>
      <c r="P32" s="3234" t="s">
        <v>299</v>
      </c>
      <c r="Q32" s="3234" t="s">
        <v>2989</v>
      </c>
      <c r="R32" s="3241" t="s">
        <v>2990</v>
      </c>
    </row>
    <row r="33" spans="1:17" ht="14.25" customHeight="1" thickBot="1">
      <c r="A33" s="3234" t="s">
        <v>296</v>
      </c>
      <c r="B33" s="3235" t="s">
        <v>147</v>
      </c>
      <c r="C33" s="3234">
        <v>27300</v>
      </c>
      <c r="D33" s="3234">
        <v>22980</v>
      </c>
      <c r="E33" s="3234">
        <v>24260</v>
      </c>
      <c r="F33" s="3234">
        <v>5860</v>
      </c>
      <c r="G33" s="3247">
        <v>16090</v>
      </c>
      <c r="L33" s="3241" t="s">
        <v>2991</v>
      </c>
      <c r="M33" s="3234" t="s">
        <v>2992</v>
      </c>
      <c r="N33" s="3234" t="s">
        <v>301</v>
      </c>
      <c r="O33" s="3234" t="s">
        <v>2993</v>
      </c>
      <c r="P33" s="3234" t="s">
        <v>2994</v>
      </c>
      <c r="Q33" s="3234" t="s">
        <v>2995</v>
      </c>
    </row>
    <row r="34" spans="1:17" ht="14.25" customHeight="1">
      <c r="A34" s="3234" t="s">
        <v>296</v>
      </c>
      <c r="B34" s="3235" t="s">
        <v>156</v>
      </c>
      <c r="C34" s="3234">
        <v>23090</v>
      </c>
      <c r="D34" s="3234">
        <v>23390</v>
      </c>
      <c r="E34" s="3234">
        <v>23510</v>
      </c>
      <c r="F34" s="3234">
        <v>6700</v>
      </c>
      <c r="G34" s="3247">
        <v>16370</v>
      </c>
      <c r="M34" s="3234" t="s">
        <v>2996</v>
      </c>
      <c r="N34" s="3234" t="s">
        <v>302</v>
      </c>
      <c r="O34" s="3234" t="s">
        <v>2997</v>
      </c>
      <c r="P34" s="3234" t="s">
        <v>2998</v>
      </c>
      <c r="Q34" s="3234" t="s">
        <v>2999</v>
      </c>
    </row>
    <row r="35" spans="1:17" ht="14.25" customHeight="1">
      <c r="A35" s="3234" t="s">
        <v>296</v>
      </c>
      <c r="B35" s="3235" t="s">
        <v>163</v>
      </c>
      <c r="C35" s="3234">
        <v>27270</v>
      </c>
      <c r="D35" s="3234">
        <v>24270</v>
      </c>
      <c r="E35" s="3234">
        <v>24950</v>
      </c>
      <c r="F35" s="3234">
        <v>6600</v>
      </c>
      <c r="G35" s="3247">
        <v>16990</v>
      </c>
      <c r="M35" s="3234" t="s">
        <v>3000</v>
      </c>
      <c r="N35" s="3234" t="s">
        <v>3001</v>
      </c>
      <c r="O35" s="3234" t="s">
        <v>3002</v>
      </c>
      <c r="P35" s="3234" t="s">
        <v>3003</v>
      </c>
      <c r="Q35" s="3234" t="s">
        <v>3004</v>
      </c>
    </row>
    <row r="36" spans="1:17" ht="14.25" customHeight="1">
      <c r="A36" s="3234" t="s">
        <v>296</v>
      </c>
      <c r="B36" s="3235" t="s">
        <v>169</v>
      </c>
      <c r="C36" s="3234">
        <v>23490</v>
      </c>
      <c r="D36" s="3234">
        <v>23020</v>
      </c>
      <c r="E36" s="3234">
        <v>25230</v>
      </c>
      <c r="F36" s="3234">
        <v>6780</v>
      </c>
      <c r="G36" s="3247">
        <v>16120</v>
      </c>
      <c r="M36" s="3234" t="s">
        <v>3005</v>
      </c>
      <c r="N36" s="3234" t="s">
        <v>3006</v>
      </c>
      <c r="O36" s="3234" t="s">
        <v>3007</v>
      </c>
      <c r="P36" s="3234" t="s">
        <v>3008</v>
      </c>
      <c r="Q36" s="3234" t="s">
        <v>3009</v>
      </c>
    </row>
    <row r="37" spans="1:17" ht="14.25" customHeight="1">
      <c r="A37" s="3234" t="s">
        <v>296</v>
      </c>
      <c r="B37" s="3235" t="s">
        <v>176</v>
      </c>
      <c r="C37" s="3234">
        <v>24380</v>
      </c>
      <c r="D37" s="3234">
        <v>22240</v>
      </c>
      <c r="E37" s="3234">
        <v>25980</v>
      </c>
      <c r="F37" s="3234">
        <v>8160</v>
      </c>
      <c r="G37" s="3247">
        <v>15570</v>
      </c>
      <c r="M37" s="3234" t="s">
        <v>3010</v>
      </c>
      <c r="N37" s="3234" t="s">
        <v>3011</v>
      </c>
      <c r="O37" s="3234" t="s">
        <v>3012</v>
      </c>
      <c r="P37" s="3234" t="s">
        <v>3013</v>
      </c>
      <c r="Q37" s="3234" t="s">
        <v>3014</v>
      </c>
    </row>
    <row r="38" spans="1:17" ht="14.25" customHeight="1">
      <c r="A38" s="3234" t="s">
        <v>296</v>
      </c>
      <c r="B38" s="3235" t="s">
        <v>186</v>
      </c>
      <c r="C38" s="3234">
        <v>23120</v>
      </c>
      <c r="D38" s="3234">
        <v>24630</v>
      </c>
      <c r="E38" s="3234">
        <v>25030</v>
      </c>
      <c r="F38" s="3234">
        <v>7710</v>
      </c>
      <c r="G38" s="3247">
        <v>17240</v>
      </c>
      <c r="M38" s="3234" t="s">
        <v>3015</v>
      </c>
      <c r="N38" s="3234" t="s">
        <v>3016</v>
      </c>
      <c r="O38" s="3234" t="s">
        <v>3017</v>
      </c>
      <c r="P38" s="3234" t="s">
        <v>3018</v>
      </c>
      <c r="Q38" s="3234" t="s">
        <v>3019</v>
      </c>
    </row>
    <row r="39" spans="1:17" ht="14.25" customHeight="1">
      <c r="A39" s="3234" t="s">
        <v>296</v>
      </c>
      <c r="B39" s="3235" t="s">
        <v>195</v>
      </c>
      <c r="C39" s="3234">
        <v>22330</v>
      </c>
      <c r="D39" s="3234">
        <v>21140</v>
      </c>
      <c r="E39" s="3234">
        <v>23970</v>
      </c>
      <c r="F39" s="3234">
        <v>7940</v>
      </c>
      <c r="G39" s="3247">
        <v>14790</v>
      </c>
      <c r="M39" s="3234" t="s">
        <v>3020</v>
      </c>
      <c r="N39" s="3234" t="s">
        <v>3021</v>
      </c>
      <c r="O39" s="3234" t="s">
        <v>3022</v>
      </c>
      <c r="P39" s="3234" t="s">
        <v>3023</v>
      </c>
      <c r="Q39" s="3234" t="s">
        <v>3024</v>
      </c>
    </row>
    <row r="40" spans="1:17" ht="14.25" customHeight="1">
      <c r="A40" s="3234" t="s">
        <v>296</v>
      </c>
      <c r="B40" s="3235" t="s">
        <v>202</v>
      </c>
      <c r="C40" s="3234">
        <v>24740</v>
      </c>
      <c r="D40" s="3234">
        <v>24690</v>
      </c>
      <c r="E40" s="3234">
        <v>22610</v>
      </c>
      <c r="F40" s="3234"/>
      <c r="G40" s="3247">
        <v>17280</v>
      </c>
      <c r="M40" s="3234" t="s">
        <v>3025</v>
      </c>
      <c r="N40" s="3234" t="s">
        <v>3026</v>
      </c>
      <c r="O40" s="3234" t="s">
        <v>3027</v>
      </c>
      <c r="P40" s="3234" t="s">
        <v>3028</v>
      </c>
      <c r="Q40" s="3234" t="s">
        <v>3029</v>
      </c>
    </row>
    <row r="41" spans="1:17" ht="14.25" customHeight="1" thickBot="1">
      <c r="A41" s="3234" t="s">
        <v>296</v>
      </c>
      <c r="B41" s="3235" t="s">
        <v>209</v>
      </c>
      <c r="C41" s="3234">
        <v>21220</v>
      </c>
      <c r="D41" s="3234">
        <v>21120</v>
      </c>
      <c r="E41" s="3234">
        <v>22590</v>
      </c>
      <c r="F41" s="3234"/>
      <c r="G41" s="3247">
        <v>14780</v>
      </c>
      <c r="M41" s="3241" t="s">
        <v>3030</v>
      </c>
      <c r="N41" s="3234" t="s">
        <v>3031</v>
      </c>
      <c r="O41" s="3234" t="s">
        <v>3032</v>
      </c>
      <c r="P41" s="3234" t="s">
        <v>3033</v>
      </c>
      <c r="Q41" s="3234" t="s">
        <v>3034</v>
      </c>
    </row>
    <row r="42" spans="1:17" ht="14.25" customHeight="1">
      <c r="A42" s="3234" t="s">
        <v>296</v>
      </c>
      <c r="B42" s="3235" t="s">
        <v>215</v>
      </c>
      <c r="C42" s="3234">
        <v>24800</v>
      </c>
      <c r="D42" s="3234">
        <v>22280</v>
      </c>
      <c r="E42" s="3234">
        <v>24350</v>
      </c>
      <c r="F42" s="3234"/>
      <c r="G42" s="3247">
        <v>15590</v>
      </c>
      <c r="N42" s="3234" t="s">
        <v>3035</v>
      </c>
      <c r="O42" s="3234" t="s">
        <v>3036</v>
      </c>
      <c r="P42" s="3234" t="s">
        <v>3037</v>
      </c>
      <c r="Q42" s="3234" t="s">
        <v>3038</v>
      </c>
    </row>
    <row r="43" spans="1:17" ht="14.25" customHeight="1">
      <c r="A43" s="3234" t="s">
        <v>3039</v>
      </c>
      <c r="B43" s="3235" t="s">
        <v>223</v>
      </c>
      <c r="C43" s="3234">
        <v>21210</v>
      </c>
      <c r="D43" s="3234">
        <v>21160</v>
      </c>
      <c r="E43" s="3234">
        <v>22650</v>
      </c>
      <c r="F43" s="3234"/>
      <c r="G43" s="3247">
        <v>14800</v>
      </c>
      <c r="N43" s="3234" t="s">
        <v>3040</v>
      </c>
      <c r="O43" s="3234" t="s">
        <v>3041</v>
      </c>
      <c r="P43" s="3234" t="s">
        <v>3042</v>
      </c>
      <c r="Q43" s="3234" t="s">
        <v>3043</v>
      </c>
    </row>
    <row r="44" spans="1:17" ht="14.25" customHeight="1" thickBot="1">
      <c r="A44" s="3234" t="s">
        <v>296</v>
      </c>
      <c r="B44" s="3235" t="s">
        <v>231</v>
      </c>
      <c r="C44" s="3234">
        <v>22370</v>
      </c>
      <c r="D44" s="3234">
        <v>23140</v>
      </c>
      <c r="E44" s="3234">
        <v>25090</v>
      </c>
      <c r="F44" s="3234"/>
      <c r="G44" s="3247">
        <v>16190</v>
      </c>
      <c r="N44" s="3234" t="s">
        <v>3044</v>
      </c>
      <c r="O44" s="3234" t="s">
        <v>3045</v>
      </c>
      <c r="P44" s="3241" t="s">
        <v>3046</v>
      </c>
      <c r="Q44" s="3234" t="s">
        <v>3047</v>
      </c>
    </row>
    <row r="45" spans="1:17" ht="14.25" customHeight="1" thickBot="1">
      <c r="A45" s="3234" t="s">
        <v>296</v>
      </c>
      <c r="B45" s="3235" t="s">
        <v>236</v>
      </c>
      <c r="C45" s="3234">
        <v>21240</v>
      </c>
      <c r="D45" s="3234">
        <v>27050</v>
      </c>
      <c r="E45" s="3234">
        <v>28000</v>
      </c>
      <c r="F45" s="3234"/>
      <c r="G45" s="3247">
        <v>18940</v>
      </c>
      <c r="N45" s="3234" t="s">
        <v>3048</v>
      </c>
      <c r="O45" s="3241" t="s">
        <v>3049</v>
      </c>
      <c r="Q45" s="3234" t="s">
        <v>3050</v>
      </c>
    </row>
    <row r="46" spans="1:17" ht="14.25" customHeight="1">
      <c r="A46" s="3234" t="s">
        <v>296</v>
      </c>
      <c r="B46" s="3235" t="s">
        <v>245</v>
      </c>
      <c r="C46" s="3234">
        <v>23240</v>
      </c>
      <c r="D46" s="3234">
        <v>23000</v>
      </c>
      <c r="E46" s="3234">
        <v>24980</v>
      </c>
      <c r="F46" s="3234"/>
      <c r="G46" s="3247">
        <v>16100</v>
      </c>
      <c r="N46" s="3234" t="s">
        <v>3051</v>
      </c>
      <c r="Q46" s="3234" t="s">
        <v>3052</v>
      </c>
    </row>
    <row r="47" spans="1:17" ht="14.25" customHeight="1">
      <c r="A47" s="3234" t="s">
        <v>296</v>
      </c>
      <c r="B47" s="3235" t="s">
        <v>252</v>
      </c>
      <c r="C47" s="3234">
        <v>27150</v>
      </c>
      <c r="D47" s="3234">
        <v>23310</v>
      </c>
      <c r="E47" s="3234">
        <v>25150</v>
      </c>
      <c r="F47" s="3234"/>
      <c r="G47" s="3247">
        <v>16310</v>
      </c>
      <c r="N47" s="3234" t="s">
        <v>3053</v>
      </c>
      <c r="Q47" s="3234" t="s">
        <v>3054</v>
      </c>
    </row>
    <row r="48" spans="1:17" ht="14.25" customHeight="1">
      <c r="A48" s="3234" t="s">
        <v>296</v>
      </c>
      <c r="B48" s="3235" t="s">
        <v>260</v>
      </c>
      <c r="C48" s="3234">
        <v>23100</v>
      </c>
      <c r="D48" s="3234">
        <v>21110</v>
      </c>
      <c r="E48" s="3234">
        <v>23080</v>
      </c>
      <c r="F48" s="3234"/>
      <c r="G48" s="3247">
        <v>14780</v>
      </c>
      <c r="N48" s="3234" t="s">
        <v>3055</v>
      </c>
      <c r="Q48" s="3234" t="s">
        <v>3056</v>
      </c>
    </row>
    <row r="49" spans="1:17" ht="14.25" customHeight="1">
      <c r="A49" s="3234" t="s">
        <v>296</v>
      </c>
      <c r="B49" s="3235" t="s">
        <v>267</v>
      </c>
      <c r="C49" s="3234">
        <v>23400</v>
      </c>
      <c r="D49" s="3234">
        <v>22920</v>
      </c>
      <c r="E49" s="3234">
        <v>24900</v>
      </c>
      <c r="F49" s="3234"/>
      <c r="G49" s="3247">
        <v>16040</v>
      </c>
      <c r="N49" s="3234" t="s">
        <v>3057</v>
      </c>
      <c r="Q49" s="3234" t="s">
        <v>3058</v>
      </c>
    </row>
    <row r="50" spans="1:17" ht="14.25" customHeight="1">
      <c r="A50" s="3234" t="s">
        <v>296</v>
      </c>
      <c r="B50" s="3235" t="s">
        <v>2935</v>
      </c>
      <c r="C50" s="3234">
        <v>21200</v>
      </c>
      <c r="D50" s="3234">
        <v>26540</v>
      </c>
      <c r="E50" s="3234">
        <v>23200</v>
      </c>
      <c r="F50" s="3234"/>
      <c r="G50" s="3247">
        <v>18580</v>
      </c>
      <c r="N50" s="3234" t="s">
        <v>3059</v>
      </c>
      <c r="Q50" s="3235" t="s">
        <v>3060</v>
      </c>
    </row>
    <row r="51" spans="1:17" ht="14.25" customHeight="1" thickBot="1">
      <c r="A51" s="3234" t="s">
        <v>296</v>
      </c>
      <c r="B51" s="3235" t="s">
        <v>2937</v>
      </c>
      <c r="C51" s="3234">
        <v>23000</v>
      </c>
      <c r="D51" s="3234">
        <v>23460</v>
      </c>
      <c r="E51" s="3234">
        <v>25290</v>
      </c>
      <c r="F51" s="3234"/>
      <c r="G51" s="3247">
        <v>16420</v>
      </c>
      <c r="N51" s="3234" t="s">
        <v>3061</v>
      </c>
      <c r="Q51" s="3241" t="s">
        <v>3062</v>
      </c>
    </row>
    <row r="52" spans="1:17" ht="14.25" customHeight="1">
      <c r="A52" s="3234" t="s">
        <v>296</v>
      </c>
      <c r="B52" s="3235" t="s">
        <v>2941</v>
      </c>
      <c r="C52" s="3234">
        <v>26660</v>
      </c>
      <c r="D52" s="3234">
        <v>22350</v>
      </c>
      <c r="E52" s="3234">
        <v>22920</v>
      </c>
      <c r="F52" s="3234"/>
      <c r="G52" s="3247">
        <v>15640</v>
      </c>
      <c r="N52" s="3234" t="s">
        <v>3063</v>
      </c>
    </row>
    <row r="53" spans="1:17" ht="14.25" customHeight="1">
      <c r="A53" s="3234" t="s">
        <v>296</v>
      </c>
      <c r="B53" s="3235" t="s">
        <v>2946</v>
      </c>
      <c r="C53" s="3234">
        <v>23580</v>
      </c>
      <c r="D53" s="3234"/>
      <c r="E53" s="3234">
        <v>24280</v>
      </c>
      <c r="F53" s="3234"/>
      <c r="G53" s="3247"/>
      <c r="N53" s="3234" t="s">
        <v>3064</v>
      </c>
    </row>
    <row r="54" spans="1:17" ht="14.25" customHeight="1" thickBot="1">
      <c r="A54" s="3248" t="s">
        <v>296</v>
      </c>
      <c r="B54" s="3240" t="s">
        <v>2949</v>
      </c>
      <c r="C54" s="3241">
        <v>22460</v>
      </c>
      <c r="D54" s="3241"/>
      <c r="E54" s="3241"/>
      <c r="F54" s="3241"/>
      <c r="G54" s="3249"/>
      <c r="N54" s="3234" t="s">
        <v>3065</v>
      </c>
    </row>
    <row r="55" spans="1:17" ht="14.25" customHeight="1">
      <c r="A55" s="3239" t="s">
        <v>110</v>
      </c>
      <c r="B55" s="3230" t="s">
        <v>3066</v>
      </c>
      <c r="C55" s="3234">
        <v>21970</v>
      </c>
      <c r="D55" s="3234">
        <v>20370</v>
      </c>
      <c r="E55" s="3234">
        <v>20180</v>
      </c>
      <c r="F55" s="3234">
        <v>5730</v>
      </c>
      <c r="G55" s="3234">
        <v>13820</v>
      </c>
      <c r="N55" s="3234" t="s">
        <v>3067</v>
      </c>
    </row>
    <row r="56" spans="1:17" ht="14.25" customHeight="1">
      <c r="A56" s="3234" t="s">
        <v>110</v>
      </c>
      <c r="B56" s="3234" t="s">
        <v>130</v>
      </c>
      <c r="C56" s="3234">
        <v>20470</v>
      </c>
      <c r="D56" s="3234">
        <v>20700</v>
      </c>
      <c r="E56" s="3234">
        <v>20380</v>
      </c>
      <c r="F56" s="3234">
        <v>4760</v>
      </c>
      <c r="G56" s="3234">
        <v>14050</v>
      </c>
      <c r="N56" s="3234" t="s">
        <v>3068</v>
      </c>
    </row>
    <row r="57" spans="1:17" ht="14.25" customHeight="1">
      <c r="A57" s="3234" t="s">
        <v>110</v>
      </c>
      <c r="B57" s="3234" t="s">
        <v>139</v>
      </c>
      <c r="C57" s="3234">
        <v>20790</v>
      </c>
      <c r="D57" s="3234">
        <v>21370</v>
      </c>
      <c r="E57" s="3234">
        <v>20890</v>
      </c>
      <c r="F57" s="3234">
        <v>4910</v>
      </c>
      <c r="G57" s="3234">
        <v>14510</v>
      </c>
      <c r="N57" s="3234" t="s">
        <v>3069</v>
      </c>
    </row>
    <row r="58" spans="1:17" ht="14.25" customHeight="1">
      <c r="A58" s="3234" t="s">
        <v>110</v>
      </c>
      <c r="B58" s="3234" t="s">
        <v>148</v>
      </c>
      <c r="C58" s="3234">
        <v>21460</v>
      </c>
      <c r="D58" s="3234">
        <v>20920</v>
      </c>
      <c r="E58" s="3234">
        <v>23410</v>
      </c>
      <c r="F58" s="3234">
        <v>5100</v>
      </c>
      <c r="G58" s="3234">
        <v>14200</v>
      </c>
      <c r="N58" s="3234" t="s">
        <v>3070</v>
      </c>
    </row>
    <row r="59" spans="1:17" ht="14.25" customHeight="1">
      <c r="A59" s="3234" t="s">
        <v>110</v>
      </c>
      <c r="B59" s="3234" t="s">
        <v>157</v>
      </c>
      <c r="C59" s="3234">
        <v>21000</v>
      </c>
      <c r="D59" s="3234">
        <v>21550</v>
      </c>
      <c r="E59" s="3234">
        <v>21150</v>
      </c>
      <c r="F59" s="3234">
        <v>5250</v>
      </c>
      <c r="G59" s="3234">
        <v>14630</v>
      </c>
      <c r="N59" s="3234" t="s">
        <v>3071</v>
      </c>
    </row>
    <row r="60" spans="1:17" ht="14.25" customHeight="1">
      <c r="A60" s="3234" t="s">
        <v>110</v>
      </c>
      <c r="B60" s="3234" t="s">
        <v>164</v>
      </c>
      <c r="C60" s="3234">
        <v>21640</v>
      </c>
      <c r="D60" s="3234">
        <v>21260</v>
      </c>
      <c r="E60" s="3234">
        <v>24040</v>
      </c>
      <c r="F60" s="3234">
        <v>4470</v>
      </c>
      <c r="G60" s="3234">
        <v>14430</v>
      </c>
      <c r="N60" s="3234" t="s">
        <v>3072</v>
      </c>
    </row>
    <row r="61" spans="1:17" ht="14.25" customHeight="1">
      <c r="A61" s="3234" t="s">
        <v>110</v>
      </c>
      <c r="B61" s="3234" t="s">
        <v>170</v>
      </c>
      <c r="C61" s="3234">
        <v>21330</v>
      </c>
      <c r="D61" s="3234">
        <v>18640</v>
      </c>
      <c r="E61" s="3234">
        <v>21190</v>
      </c>
      <c r="F61" s="3234">
        <v>4180</v>
      </c>
      <c r="G61" s="3234">
        <v>12650</v>
      </c>
      <c r="N61" s="3234" t="s">
        <v>3073</v>
      </c>
    </row>
    <row r="62" spans="1:17" ht="14.25" customHeight="1">
      <c r="A62" s="3234" t="s">
        <v>110</v>
      </c>
      <c r="B62" s="3234" t="s">
        <v>177</v>
      </c>
      <c r="C62" s="3234">
        <v>18710</v>
      </c>
      <c r="D62" s="3234">
        <v>19400</v>
      </c>
      <c r="E62" s="3234">
        <v>23750</v>
      </c>
      <c r="F62" s="3234">
        <v>4860</v>
      </c>
      <c r="G62" s="3234">
        <v>13170</v>
      </c>
      <c r="N62" s="3234" t="s">
        <v>3074</v>
      </c>
    </row>
    <row r="63" spans="1:17" ht="14.25" customHeight="1">
      <c r="A63" s="3234" t="s">
        <v>110</v>
      </c>
      <c r="B63" s="3234" t="s">
        <v>187</v>
      </c>
      <c r="C63" s="3234">
        <v>19480</v>
      </c>
      <c r="D63" s="3234">
        <v>16830</v>
      </c>
      <c r="E63" s="3234">
        <v>21590</v>
      </c>
      <c r="F63" s="3234">
        <v>4560</v>
      </c>
      <c r="G63" s="3234">
        <v>11420</v>
      </c>
      <c r="N63" s="3234" t="s">
        <v>3075</v>
      </c>
    </row>
    <row r="64" spans="1:17" ht="14.25" customHeight="1" thickBot="1">
      <c r="A64" s="3234" t="s">
        <v>110</v>
      </c>
      <c r="B64" s="3234" t="s">
        <v>196</v>
      </c>
      <c r="C64" s="3234">
        <v>16920</v>
      </c>
      <c r="D64" s="3234">
        <v>19190</v>
      </c>
      <c r="E64" s="3234">
        <v>22200</v>
      </c>
      <c r="F64" s="3234">
        <v>4390</v>
      </c>
      <c r="G64" s="3234">
        <v>13030</v>
      </c>
      <c r="N64" s="3241" t="s">
        <v>3076</v>
      </c>
    </row>
    <row r="65" spans="1:7" s="3223" customFormat="1" ht="14.25" customHeight="1">
      <c r="A65" s="3234" t="s">
        <v>110</v>
      </c>
      <c r="B65" s="3234" t="s">
        <v>203</v>
      </c>
      <c r="C65" s="3234">
        <v>19290</v>
      </c>
      <c r="D65" s="3234">
        <v>17020</v>
      </c>
      <c r="E65" s="3234">
        <v>19880</v>
      </c>
      <c r="F65" s="3234">
        <v>4070</v>
      </c>
      <c r="G65" s="3234">
        <v>11550</v>
      </c>
    </row>
    <row r="66" spans="1:7" s="3223" customFormat="1" ht="14.25" customHeight="1">
      <c r="A66" s="3234" t="s">
        <v>110</v>
      </c>
      <c r="B66" s="3234" t="s">
        <v>210</v>
      </c>
      <c r="C66" s="3234">
        <v>17090</v>
      </c>
      <c r="D66" s="3234">
        <v>18340</v>
      </c>
      <c r="E66" s="3234">
        <v>21830</v>
      </c>
      <c r="F66" s="3234">
        <v>4690</v>
      </c>
      <c r="G66" s="3234">
        <v>12450</v>
      </c>
    </row>
    <row r="67" spans="1:7" s="3223" customFormat="1" ht="14.25" customHeight="1">
      <c r="A67" s="3234" t="s">
        <v>110</v>
      </c>
      <c r="B67" s="3234" t="s">
        <v>216</v>
      </c>
      <c r="C67" s="3234">
        <v>18420</v>
      </c>
      <c r="D67" s="3234">
        <v>16360</v>
      </c>
      <c r="E67" s="3234">
        <v>20020</v>
      </c>
      <c r="F67" s="3234">
        <v>5150</v>
      </c>
      <c r="G67" s="3234">
        <v>11110</v>
      </c>
    </row>
    <row r="68" spans="1:7" s="3223" customFormat="1" ht="14.25" customHeight="1">
      <c r="A68" s="3234" t="s">
        <v>110</v>
      </c>
      <c r="B68" s="3234" t="s">
        <v>224</v>
      </c>
      <c r="C68" s="3234">
        <v>16450</v>
      </c>
      <c r="D68" s="3234">
        <v>18430</v>
      </c>
      <c r="E68" s="3234">
        <v>21010</v>
      </c>
      <c r="F68" s="3234">
        <v>4720</v>
      </c>
      <c r="G68" s="3234">
        <v>12510</v>
      </c>
    </row>
    <row r="69" spans="1:7" s="3223" customFormat="1" ht="14.25" customHeight="1">
      <c r="A69" s="3234" t="s">
        <v>110</v>
      </c>
      <c r="B69" s="3234" t="s">
        <v>232</v>
      </c>
      <c r="C69" s="3234">
        <v>18510</v>
      </c>
      <c r="D69" s="3234">
        <v>16300</v>
      </c>
      <c r="E69" s="3234">
        <v>18830</v>
      </c>
      <c r="F69" s="3234">
        <v>5400</v>
      </c>
      <c r="G69" s="3234">
        <v>11070</v>
      </c>
    </row>
    <row r="70" spans="1:7" s="3223" customFormat="1" ht="14.25" customHeight="1">
      <c r="A70" s="3234" t="s">
        <v>110</v>
      </c>
      <c r="B70" s="3234" t="s">
        <v>237</v>
      </c>
      <c r="C70" s="3234">
        <v>16370</v>
      </c>
      <c r="D70" s="3234">
        <v>18620</v>
      </c>
      <c r="E70" s="3234">
        <v>21100</v>
      </c>
      <c r="F70" s="3234">
        <v>5700</v>
      </c>
      <c r="G70" s="3234">
        <v>12640</v>
      </c>
    </row>
    <row r="71" spans="1:7" s="3223" customFormat="1" ht="14.25" customHeight="1">
      <c r="A71" s="3234" t="s">
        <v>110</v>
      </c>
      <c r="B71" s="3234" t="s">
        <v>246</v>
      </c>
      <c r="C71" s="3234">
        <v>18700</v>
      </c>
      <c r="D71" s="3234">
        <v>16290</v>
      </c>
      <c r="E71" s="3234">
        <v>18760</v>
      </c>
      <c r="F71" s="3234">
        <v>4780</v>
      </c>
      <c r="G71" s="3234">
        <v>11050</v>
      </c>
    </row>
    <row r="72" spans="1:7" s="3223" customFormat="1" ht="14.25" customHeight="1">
      <c r="A72" s="3234" t="s">
        <v>110</v>
      </c>
      <c r="B72" s="3234" t="s">
        <v>253</v>
      </c>
      <c r="C72" s="3234">
        <v>16340</v>
      </c>
      <c r="D72" s="3234">
        <v>17520</v>
      </c>
      <c r="E72" s="3234">
        <v>21170</v>
      </c>
      <c r="F72" s="3234"/>
      <c r="G72" s="3234">
        <v>11900</v>
      </c>
    </row>
    <row r="73" spans="1:7" s="3223" customFormat="1" ht="14.25" customHeight="1">
      <c r="A73" s="3234" t="s">
        <v>110</v>
      </c>
      <c r="B73" s="3234" t="s">
        <v>261</v>
      </c>
      <c r="C73" s="3234">
        <v>17610</v>
      </c>
      <c r="D73" s="3234">
        <v>18520</v>
      </c>
      <c r="E73" s="3234">
        <v>18720</v>
      </c>
      <c r="F73" s="3234"/>
      <c r="G73" s="3234">
        <v>12570</v>
      </c>
    </row>
    <row r="74" spans="1:7" s="3223" customFormat="1" ht="14.25" customHeight="1">
      <c r="A74" s="3234" t="s">
        <v>110</v>
      </c>
      <c r="B74" s="3234" t="s">
        <v>268</v>
      </c>
      <c r="C74" s="3234">
        <v>18600</v>
      </c>
      <c r="D74" s="3234">
        <v>16480</v>
      </c>
      <c r="E74" s="3234">
        <v>20100</v>
      </c>
      <c r="F74" s="3234"/>
      <c r="G74" s="3234">
        <v>11190</v>
      </c>
    </row>
    <row r="75" spans="1:7" s="3223" customFormat="1" ht="14.25" customHeight="1">
      <c r="A75" s="3234" t="s">
        <v>110</v>
      </c>
      <c r="B75" s="3234" t="s">
        <v>272</v>
      </c>
      <c r="C75" s="3234">
        <v>16570</v>
      </c>
      <c r="D75" s="3234">
        <v>17530</v>
      </c>
      <c r="E75" s="3234">
        <v>21030</v>
      </c>
      <c r="F75" s="3234"/>
      <c r="G75" s="3234">
        <v>11900</v>
      </c>
    </row>
    <row r="76" spans="1:7" s="3223" customFormat="1" ht="14.25" customHeight="1">
      <c r="A76" s="3234" t="s">
        <v>110</v>
      </c>
      <c r="B76" s="3234" t="s">
        <v>278</v>
      </c>
      <c r="C76" s="3234">
        <v>17610</v>
      </c>
      <c r="D76" s="3234">
        <v>20800</v>
      </c>
      <c r="E76" s="3234">
        <v>18920</v>
      </c>
      <c r="F76" s="3234"/>
      <c r="G76" s="3234">
        <v>14120</v>
      </c>
    </row>
    <row r="77" spans="1:7" s="3223" customFormat="1" ht="14.25" customHeight="1">
      <c r="A77" s="3234" t="s">
        <v>110</v>
      </c>
      <c r="B77" s="3234" t="s">
        <v>281</v>
      </c>
      <c r="C77" s="3234">
        <v>20890</v>
      </c>
      <c r="D77" s="3234">
        <v>19740</v>
      </c>
      <c r="E77" s="3234">
        <v>20110</v>
      </c>
      <c r="F77" s="3234"/>
      <c r="G77" s="3234">
        <v>13400</v>
      </c>
    </row>
    <row r="78" spans="1:7" s="3223" customFormat="1" ht="14.25" customHeight="1">
      <c r="A78" s="3234" t="s">
        <v>110</v>
      </c>
      <c r="B78" s="3234" t="s">
        <v>2947</v>
      </c>
      <c r="C78" s="3234">
        <v>19820</v>
      </c>
      <c r="D78" s="3234">
        <v>19780</v>
      </c>
      <c r="E78" s="3234">
        <v>18560</v>
      </c>
      <c r="F78" s="3234"/>
      <c r="G78" s="3234">
        <v>13430</v>
      </c>
    </row>
    <row r="79" spans="1:7" s="3223" customFormat="1" ht="14.25" customHeight="1">
      <c r="A79" s="3234" t="s">
        <v>110</v>
      </c>
      <c r="B79" s="3234" t="s">
        <v>2950</v>
      </c>
      <c r="C79" s="3234">
        <v>21660</v>
      </c>
      <c r="D79" s="3234">
        <v>18000</v>
      </c>
      <c r="E79" s="3234">
        <v>22570</v>
      </c>
      <c r="F79" s="3234"/>
      <c r="G79" s="3234">
        <v>12220</v>
      </c>
    </row>
    <row r="80" spans="1:7" s="3223" customFormat="1" ht="14.25" customHeight="1">
      <c r="A80" s="3234" t="s">
        <v>110</v>
      </c>
      <c r="B80" s="3234" t="s">
        <v>2954</v>
      </c>
      <c r="C80" s="3234">
        <v>19850</v>
      </c>
      <c r="D80" s="3234"/>
      <c r="E80" s="3234">
        <v>21700</v>
      </c>
      <c r="F80" s="3234"/>
      <c r="G80" s="3234"/>
    </row>
    <row r="81" spans="1:7" s="3223" customFormat="1" ht="14.25" customHeight="1">
      <c r="A81" s="3234" t="s">
        <v>110</v>
      </c>
      <c r="B81" s="3234" t="s">
        <v>2959</v>
      </c>
      <c r="C81" s="3234">
        <v>18080</v>
      </c>
      <c r="D81" s="3234"/>
      <c r="E81" s="3234">
        <v>20900</v>
      </c>
      <c r="F81" s="3234"/>
      <c r="G81" s="3234"/>
    </row>
    <row r="82" spans="1:7" s="3223" customFormat="1" ht="14.25" customHeight="1">
      <c r="A82" s="3234" t="s">
        <v>110</v>
      </c>
      <c r="B82" s="3234" t="s">
        <v>2966</v>
      </c>
      <c r="C82" s="3234"/>
      <c r="D82" s="3234"/>
      <c r="E82" s="3234">
        <v>20840</v>
      </c>
      <c r="F82" s="3234"/>
      <c r="G82" s="3234"/>
    </row>
    <row r="83" spans="1:7" s="3223" customFormat="1" ht="14.25" customHeight="1">
      <c r="A83" s="3234" t="s">
        <v>110</v>
      </c>
      <c r="B83" s="3234" t="s">
        <v>3077</v>
      </c>
      <c r="C83" s="3234"/>
      <c r="D83" s="3234"/>
      <c r="E83" s="3234"/>
      <c r="F83" s="3234">
        <v>4770</v>
      </c>
      <c r="G83" s="3234"/>
    </row>
    <row r="84" spans="1:7" s="3223" customFormat="1" ht="14.25" customHeight="1">
      <c r="A84" s="3234" t="s">
        <v>110</v>
      </c>
      <c r="B84" s="3234" t="s">
        <v>3078</v>
      </c>
      <c r="C84" s="3234"/>
      <c r="D84" s="3234"/>
      <c r="E84" s="3234"/>
      <c r="F84" s="3234">
        <v>4600</v>
      </c>
      <c r="G84" s="3234"/>
    </row>
    <row r="85" spans="1:7" s="3223" customFormat="1" ht="14.25" customHeight="1">
      <c r="A85" s="3234" t="s">
        <v>110</v>
      </c>
      <c r="B85" s="3234" t="s">
        <v>3079</v>
      </c>
      <c r="C85" s="3234"/>
      <c r="D85" s="3234"/>
      <c r="E85" s="3234"/>
      <c r="F85" s="3234">
        <v>4680</v>
      </c>
      <c r="G85" s="3234"/>
    </row>
    <row r="86" spans="1:7" s="3223" customFormat="1" ht="14.25" customHeight="1" thickBot="1">
      <c r="A86" s="3242" t="s">
        <v>110</v>
      </c>
      <c r="B86" s="3244" t="s">
        <v>3080</v>
      </c>
      <c r="C86" s="3245">
        <v>16610</v>
      </c>
      <c r="D86" s="3245">
        <v>16540</v>
      </c>
      <c r="E86" s="3245">
        <v>18850</v>
      </c>
      <c r="F86" s="3245"/>
      <c r="G86" s="3245">
        <v>11220</v>
      </c>
    </row>
    <row r="87" spans="1:7" s="3223" customFormat="1" ht="14.25" customHeight="1">
      <c r="A87" s="3239" t="s">
        <v>303</v>
      </c>
      <c r="B87" s="3230" t="s">
        <v>3081</v>
      </c>
      <c r="C87" s="3230">
        <v>15240</v>
      </c>
      <c r="D87" s="3230">
        <v>15170</v>
      </c>
      <c r="E87" s="3230">
        <v>18260</v>
      </c>
      <c r="F87" s="3230">
        <v>3830</v>
      </c>
      <c r="G87" s="3246">
        <v>10020</v>
      </c>
    </row>
    <row r="88" spans="1:7" s="3223" customFormat="1" ht="14.25" customHeight="1">
      <c r="A88" s="3234" t="s">
        <v>303</v>
      </c>
      <c r="B88" s="3234" t="s">
        <v>131</v>
      </c>
      <c r="C88" s="3234">
        <v>17310</v>
      </c>
      <c r="D88" s="3234">
        <v>17220</v>
      </c>
      <c r="E88" s="3234">
        <v>18610</v>
      </c>
      <c r="F88" s="3234">
        <v>3990</v>
      </c>
      <c r="G88" s="3247">
        <v>11380</v>
      </c>
    </row>
    <row r="89" spans="1:7" s="3223" customFormat="1" ht="14.25" customHeight="1">
      <c r="A89" s="3234" t="s">
        <v>303</v>
      </c>
      <c r="B89" s="3234" t="s">
        <v>140</v>
      </c>
      <c r="C89" s="3234">
        <v>15600</v>
      </c>
      <c r="D89" s="3234">
        <v>15550</v>
      </c>
      <c r="E89" s="3234">
        <v>19200</v>
      </c>
      <c r="F89" s="3234">
        <v>4110</v>
      </c>
      <c r="G89" s="3247">
        <v>10270</v>
      </c>
    </row>
    <row r="90" spans="1:7" s="3223" customFormat="1" ht="14.25" customHeight="1">
      <c r="A90" s="3234" t="s">
        <v>303</v>
      </c>
      <c r="B90" s="3234" t="s">
        <v>149</v>
      </c>
      <c r="C90" s="3234">
        <v>17330</v>
      </c>
      <c r="D90" s="3234">
        <v>17240</v>
      </c>
      <c r="E90" s="3234">
        <v>18570</v>
      </c>
      <c r="F90" s="3234">
        <v>4070</v>
      </c>
      <c r="G90" s="3247">
        <v>11390</v>
      </c>
    </row>
    <row r="91" spans="1:7" s="3223" customFormat="1" ht="14.25" customHeight="1">
      <c r="A91" s="3234" t="s">
        <v>303</v>
      </c>
      <c r="B91" s="3234" t="s">
        <v>158</v>
      </c>
      <c r="C91" s="3234">
        <v>16330</v>
      </c>
      <c r="D91" s="3234">
        <v>16260</v>
      </c>
      <c r="E91" s="3234">
        <v>16800</v>
      </c>
      <c r="F91" s="3234">
        <v>3410</v>
      </c>
      <c r="G91" s="3247">
        <v>10740</v>
      </c>
    </row>
    <row r="92" spans="1:7" s="3223" customFormat="1" ht="14.25" customHeight="1">
      <c r="A92" s="3234" t="s">
        <v>303</v>
      </c>
      <c r="B92" s="3234" t="s">
        <v>165</v>
      </c>
      <c r="C92" s="3234">
        <v>15570</v>
      </c>
      <c r="D92" s="3234">
        <v>15500</v>
      </c>
      <c r="E92" s="3234">
        <v>17360</v>
      </c>
      <c r="F92" s="3234">
        <v>3510</v>
      </c>
      <c r="G92" s="3247">
        <v>10240</v>
      </c>
    </row>
    <row r="93" spans="1:7" s="3223" customFormat="1" ht="14.25" customHeight="1">
      <c r="A93" s="3234" t="s">
        <v>303</v>
      </c>
      <c r="B93" s="3234" t="s">
        <v>171</v>
      </c>
      <c r="C93" s="3234">
        <v>14000</v>
      </c>
      <c r="D93" s="3234">
        <v>13930</v>
      </c>
      <c r="E93" s="3234">
        <v>18200</v>
      </c>
      <c r="F93" s="3234">
        <v>3640</v>
      </c>
      <c r="G93" s="3247">
        <v>9210</v>
      </c>
    </row>
    <row r="94" spans="1:7" s="3223" customFormat="1" ht="14.25" customHeight="1">
      <c r="A94" s="3234" t="s">
        <v>303</v>
      </c>
      <c r="B94" s="3234" t="s">
        <v>178</v>
      </c>
      <c r="C94" s="3234">
        <v>14530</v>
      </c>
      <c r="D94" s="3234">
        <v>14470</v>
      </c>
      <c r="E94" s="3234">
        <v>18240</v>
      </c>
      <c r="F94" s="3234">
        <v>3180</v>
      </c>
      <c r="G94" s="3247">
        <v>9560</v>
      </c>
    </row>
    <row r="95" spans="1:7" s="3223" customFormat="1" ht="14.25" customHeight="1">
      <c r="A95" s="3234" t="s">
        <v>303</v>
      </c>
      <c r="B95" s="3234" t="s">
        <v>188</v>
      </c>
      <c r="C95" s="3234">
        <v>17330</v>
      </c>
      <c r="D95" s="3234">
        <v>17260</v>
      </c>
      <c r="E95" s="3234">
        <v>18420</v>
      </c>
      <c r="F95" s="3234">
        <v>3060</v>
      </c>
      <c r="G95" s="3247">
        <v>11410</v>
      </c>
    </row>
    <row r="96" spans="1:7" s="3223" customFormat="1" ht="14.25" customHeight="1">
      <c r="A96" s="3234" t="s">
        <v>303</v>
      </c>
      <c r="B96" s="3234" t="s">
        <v>197</v>
      </c>
      <c r="C96" s="3234">
        <v>15030</v>
      </c>
      <c r="D96" s="3234">
        <v>14970</v>
      </c>
      <c r="E96" s="3234">
        <v>17580</v>
      </c>
      <c r="F96" s="3234">
        <v>2970</v>
      </c>
      <c r="G96" s="3247">
        <v>9890</v>
      </c>
    </row>
    <row r="97" spans="1:7" s="3223" customFormat="1" ht="14.25" customHeight="1">
      <c r="A97" s="3234" t="s">
        <v>303</v>
      </c>
      <c r="B97" s="3234" t="s">
        <v>204</v>
      </c>
      <c r="C97" s="3234">
        <v>17400</v>
      </c>
      <c r="D97" s="3234">
        <v>17330</v>
      </c>
      <c r="E97" s="3234">
        <v>16430</v>
      </c>
      <c r="F97" s="3234">
        <v>2950</v>
      </c>
      <c r="G97" s="3247">
        <v>11450</v>
      </c>
    </row>
    <row r="98" spans="1:7" s="3223" customFormat="1" ht="14.25" customHeight="1">
      <c r="A98" s="3234" t="s">
        <v>303</v>
      </c>
      <c r="B98" s="3234" t="s">
        <v>211</v>
      </c>
      <c r="C98" s="3234">
        <v>15200</v>
      </c>
      <c r="D98" s="3234">
        <v>15120</v>
      </c>
      <c r="E98" s="3234">
        <v>17550</v>
      </c>
      <c r="F98" s="3234">
        <v>3080</v>
      </c>
      <c r="G98" s="3247">
        <v>9990</v>
      </c>
    </row>
    <row r="99" spans="1:7" s="3223" customFormat="1" ht="14.25" customHeight="1">
      <c r="A99" s="3234" t="s">
        <v>303</v>
      </c>
      <c r="B99" s="3234" t="s">
        <v>217</v>
      </c>
      <c r="C99" s="3234">
        <v>17520</v>
      </c>
      <c r="D99" s="3234">
        <v>17430</v>
      </c>
      <c r="E99" s="3234">
        <v>16350</v>
      </c>
      <c r="F99" s="3234">
        <v>3260</v>
      </c>
      <c r="G99" s="3247">
        <v>11510</v>
      </c>
    </row>
    <row r="100" spans="1:7" s="3223" customFormat="1" ht="14.25" customHeight="1">
      <c r="A100" s="3234" t="s">
        <v>303</v>
      </c>
      <c r="B100" s="3234" t="s">
        <v>225</v>
      </c>
      <c r="C100" s="3234">
        <v>15340</v>
      </c>
      <c r="D100" s="3234">
        <v>15260</v>
      </c>
      <c r="E100" s="3234">
        <v>15930</v>
      </c>
      <c r="F100" s="3234">
        <v>2740</v>
      </c>
      <c r="G100" s="3247">
        <v>10080</v>
      </c>
    </row>
    <row r="101" spans="1:7" s="3223" customFormat="1" ht="14.25" customHeight="1">
      <c r="A101" s="3234" t="s">
        <v>303</v>
      </c>
      <c r="B101" s="3234" t="s">
        <v>233</v>
      </c>
      <c r="C101" s="3234">
        <v>14620</v>
      </c>
      <c r="D101" s="3234">
        <v>14560</v>
      </c>
      <c r="E101" s="3234">
        <v>15570</v>
      </c>
      <c r="F101" s="3234">
        <v>3500</v>
      </c>
      <c r="G101" s="3247">
        <v>9630</v>
      </c>
    </row>
    <row r="102" spans="1:7" s="3223" customFormat="1" ht="14.25" customHeight="1">
      <c r="A102" s="3234" t="s">
        <v>303</v>
      </c>
      <c r="B102" s="3234" t="s">
        <v>238</v>
      </c>
      <c r="C102" s="3234">
        <v>13680</v>
      </c>
      <c r="D102" s="3234">
        <v>13610</v>
      </c>
      <c r="E102" s="3234">
        <v>15690</v>
      </c>
      <c r="F102" s="3234">
        <v>2870</v>
      </c>
      <c r="G102" s="3247">
        <v>8990</v>
      </c>
    </row>
    <row r="103" spans="1:7" s="3223" customFormat="1" ht="14.25" customHeight="1">
      <c r="A103" s="3234" t="s">
        <v>303</v>
      </c>
      <c r="B103" s="3234" t="s">
        <v>247</v>
      </c>
      <c r="C103" s="3234">
        <v>14620</v>
      </c>
      <c r="D103" s="3234">
        <v>14540</v>
      </c>
      <c r="E103" s="3234">
        <v>15240</v>
      </c>
      <c r="F103" s="3234">
        <v>2840</v>
      </c>
      <c r="G103" s="3247">
        <v>9610</v>
      </c>
    </row>
    <row r="104" spans="1:7" s="3223" customFormat="1" ht="14.25" customHeight="1">
      <c r="A104" s="3234" t="s">
        <v>303</v>
      </c>
      <c r="B104" s="3234" t="s">
        <v>254</v>
      </c>
      <c r="C104" s="3234">
        <v>13610</v>
      </c>
      <c r="D104" s="3234">
        <v>13540</v>
      </c>
      <c r="E104" s="3234">
        <v>15750</v>
      </c>
      <c r="F104" s="3234">
        <v>2770</v>
      </c>
      <c r="G104" s="3247">
        <v>8940</v>
      </c>
    </row>
    <row r="105" spans="1:7" s="3223" customFormat="1" ht="14.25" customHeight="1">
      <c r="A105" s="3234" t="s">
        <v>303</v>
      </c>
      <c r="B105" s="3234" t="s">
        <v>262</v>
      </c>
      <c r="C105" s="3234">
        <v>13310</v>
      </c>
      <c r="D105" s="3234">
        <v>13240</v>
      </c>
      <c r="E105" s="3234">
        <v>16280</v>
      </c>
      <c r="F105" s="3234">
        <v>3210</v>
      </c>
      <c r="G105" s="3247">
        <v>8750</v>
      </c>
    </row>
    <row r="106" spans="1:7" s="3223" customFormat="1" ht="14.25" customHeight="1">
      <c r="A106" s="3234" t="s">
        <v>303</v>
      </c>
      <c r="B106" s="3234" t="s">
        <v>269</v>
      </c>
      <c r="C106" s="3234">
        <v>13010</v>
      </c>
      <c r="D106" s="3234">
        <v>12930</v>
      </c>
      <c r="E106" s="3234">
        <v>14960</v>
      </c>
      <c r="F106" s="3234">
        <v>3530</v>
      </c>
      <c r="G106" s="3247">
        <v>8550</v>
      </c>
    </row>
    <row r="107" spans="1:7" s="3223" customFormat="1" ht="14.25" customHeight="1">
      <c r="A107" s="3234" t="s">
        <v>303</v>
      </c>
      <c r="B107" s="3234" t="s">
        <v>273</v>
      </c>
      <c r="C107" s="3234">
        <v>13070</v>
      </c>
      <c r="D107" s="3234">
        <v>13000</v>
      </c>
      <c r="E107" s="3234">
        <v>15910</v>
      </c>
      <c r="F107" s="3234">
        <v>3990</v>
      </c>
      <c r="G107" s="3247">
        <v>8580</v>
      </c>
    </row>
    <row r="108" spans="1:7" s="3223" customFormat="1" ht="14.25" customHeight="1">
      <c r="A108" s="3234" t="s">
        <v>303</v>
      </c>
      <c r="B108" s="3234" t="s">
        <v>279</v>
      </c>
      <c r="C108" s="3234">
        <v>12640</v>
      </c>
      <c r="D108" s="3234">
        <v>12580</v>
      </c>
      <c r="E108" s="3234">
        <v>15730</v>
      </c>
      <c r="F108" s="3234"/>
      <c r="G108" s="3247">
        <v>8310</v>
      </c>
    </row>
    <row r="109" spans="1:7" s="3223" customFormat="1" ht="14.25" customHeight="1">
      <c r="A109" s="3234" t="s">
        <v>303</v>
      </c>
      <c r="B109" s="3234" t="s">
        <v>282</v>
      </c>
      <c r="C109" s="3234">
        <v>13130</v>
      </c>
      <c r="D109" s="3234">
        <v>13070</v>
      </c>
      <c r="E109" s="3234">
        <v>15000</v>
      </c>
      <c r="F109" s="3234"/>
      <c r="G109" s="3247">
        <v>8630</v>
      </c>
    </row>
    <row r="110" spans="1:7" s="3223" customFormat="1" ht="14.25" customHeight="1">
      <c r="A110" s="3234" t="s">
        <v>303</v>
      </c>
      <c r="B110" s="3234" t="s">
        <v>284</v>
      </c>
      <c r="C110" s="3234">
        <v>13560</v>
      </c>
      <c r="D110" s="3234">
        <v>13490</v>
      </c>
      <c r="E110" s="3234">
        <v>16300</v>
      </c>
      <c r="F110" s="3234"/>
      <c r="G110" s="3247">
        <v>8920</v>
      </c>
    </row>
    <row r="111" spans="1:7" s="3223" customFormat="1" ht="14.25" customHeight="1">
      <c r="A111" s="3234" t="s">
        <v>303</v>
      </c>
      <c r="B111" s="3234" t="s">
        <v>287</v>
      </c>
      <c r="C111" s="3234">
        <v>12440</v>
      </c>
      <c r="D111" s="3234">
        <v>12380</v>
      </c>
      <c r="E111" s="3234">
        <v>17850</v>
      </c>
      <c r="F111" s="3234"/>
      <c r="G111" s="3247">
        <v>8180</v>
      </c>
    </row>
    <row r="112" spans="1:7" s="3223" customFormat="1" ht="14.25" customHeight="1">
      <c r="A112" s="3234" t="s">
        <v>303</v>
      </c>
      <c r="B112" s="3234" t="s">
        <v>291</v>
      </c>
      <c r="C112" s="3234">
        <v>13260</v>
      </c>
      <c r="D112" s="3234">
        <v>13180</v>
      </c>
      <c r="E112" s="3234">
        <v>19740</v>
      </c>
      <c r="F112" s="3234"/>
      <c r="G112" s="3247">
        <v>8710</v>
      </c>
    </row>
    <row r="113" spans="1:7" s="3223" customFormat="1" ht="14.25" customHeight="1">
      <c r="A113" s="3234" t="s">
        <v>303</v>
      </c>
      <c r="B113" s="3234" t="s">
        <v>2960</v>
      </c>
      <c r="C113" s="3234">
        <v>15520</v>
      </c>
      <c r="D113" s="3234">
        <v>15450</v>
      </c>
      <c r="E113" s="3234"/>
      <c r="F113" s="3234"/>
      <c r="G113" s="3247">
        <v>10210</v>
      </c>
    </row>
    <row r="114" spans="1:7" s="3223" customFormat="1" ht="14.25" customHeight="1">
      <c r="A114" s="3234" t="s">
        <v>303</v>
      </c>
      <c r="B114" s="3234" t="s">
        <v>2967</v>
      </c>
      <c r="C114" s="3234">
        <v>13110</v>
      </c>
      <c r="D114" s="3234">
        <v>13050</v>
      </c>
      <c r="E114" s="3234"/>
      <c r="F114" s="3234"/>
      <c r="G114" s="3247">
        <v>8620</v>
      </c>
    </row>
    <row r="115" spans="1:7" s="3223" customFormat="1" ht="14.25" customHeight="1">
      <c r="A115" s="3234" t="s">
        <v>303</v>
      </c>
      <c r="B115" s="3234" t="s">
        <v>2973</v>
      </c>
      <c r="C115" s="3234">
        <v>12460</v>
      </c>
      <c r="D115" s="3234">
        <v>12390</v>
      </c>
      <c r="E115" s="3234"/>
      <c r="F115" s="3234"/>
      <c r="G115" s="3247">
        <v>8190</v>
      </c>
    </row>
    <row r="116" spans="1:7" s="3223" customFormat="1" ht="14.25" customHeight="1">
      <c r="A116" s="3234" t="s">
        <v>303</v>
      </c>
      <c r="B116" s="3234" t="s">
        <v>2980</v>
      </c>
      <c r="C116" s="3234">
        <v>13580</v>
      </c>
      <c r="D116" s="3234">
        <v>13520</v>
      </c>
      <c r="E116" s="3234"/>
      <c r="F116" s="3234"/>
      <c r="G116" s="3247">
        <v>8930</v>
      </c>
    </row>
    <row r="117" spans="1:7" s="3223" customFormat="1" ht="14.25" customHeight="1">
      <c r="A117" s="3234" t="s">
        <v>303</v>
      </c>
      <c r="B117" s="3234" t="s">
        <v>2987</v>
      </c>
      <c r="C117" s="3234">
        <v>17120</v>
      </c>
      <c r="D117" s="3234">
        <v>17040</v>
      </c>
      <c r="E117" s="3234"/>
      <c r="F117" s="3234"/>
      <c r="G117" s="3247">
        <v>11260</v>
      </c>
    </row>
    <row r="118" spans="1:7" s="3223" customFormat="1" ht="14.25" customHeight="1">
      <c r="A118" s="3234" t="s">
        <v>303</v>
      </c>
      <c r="B118" s="3234" t="s">
        <v>2992</v>
      </c>
      <c r="C118" s="3234">
        <v>14860</v>
      </c>
      <c r="D118" s="3234">
        <v>14790</v>
      </c>
      <c r="E118" s="3234"/>
      <c r="F118" s="3234"/>
      <c r="G118" s="3247">
        <v>9780</v>
      </c>
    </row>
    <row r="119" spans="1:7" s="3223" customFormat="1" ht="14.25" customHeight="1">
      <c r="A119" s="3234" t="s">
        <v>303</v>
      </c>
      <c r="B119" s="3234" t="s">
        <v>2996</v>
      </c>
      <c r="C119" s="3234">
        <v>16470</v>
      </c>
      <c r="D119" s="3234">
        <v>16400</v>
      </c>
      <c r="E119" s="3234"/>
      <c r="F119" s="3234"/>
      <c r="G119" s="3247">
        <v>10840</v>
      </c>
    </row>
    <row r="120" spans="1:7" s="3223" customFormat="1" ht="14.25" customHeight="1">
      <c r="A120" s="3234" t="s">
        <v>303</v>
      </c>
      <c r="B120" s="3234" t="s">
        <v>3082</v>
      </c>
      <c r="C120" s="3234"/>
      <c r="D120" s="3234"/>
      <c r="E120" s="3234"/>
      <c r="F120" s="3234">
        <v>4160</v>
      </c>
      <c r="G120" s="3247"/>
    </row>
    <row r="121" spans="1:7" s="3223" customFormat="1" ht="14.25" customHeight="1">
      <c r="A121" s="3234" t="s">
        <v>303</v>
      </c>
      <c r="B121" s="3234" t="s">
        <v>3083</v>
      </c>
      <c r="C121" s="3234"/>
      <c r="D121" s="3234"/>
      <c r="E121" s="3234"/>
      <c r="F121" s="3234">
        <v>3880</v>
      </c>
      <c r="G121" s="3247"/>
    </row>
    <row r="122" spans="1:7" s="3223" customFormat="1" ht="14.25" customHeight="1">
      <c r="A122" s="3234" t="s">
        <v>303</v>
      </c>
      <c r="B122" s="3234" t="s">
        <v>3084</v>
      </c>
      <c r="C122" s="3234">
        <v>13750</v>
      </c>
      <c r="D122" s="3234">
        <v>13680</v>
      </c>
      <c r="E122" s="3234">
        <v>16460</v>
      </c>
      <c r="F122" s="3234">
        <v>2880</v>
      </c>
      <c r="G122" s="3247">
        <v>9040</v>
      </c>
    </row>
    <row r="123" spans="1:7" s="3223" customFormat="1" ht="14.25" customHeight="1">
      <c r="A123" s="3234" t="s">
        <v>303</v>
      </c>
      <c r="B123" s="3234" t="s">
        <v>3015</v>
      </c>
      <c r="C123" s="3234">
        <v>13590</v>
      </c>
      <c r="D123" s="3234">
        <v>13520</v>
      </c>
      <c r="E123" s="3234">
        <v>16290</v>
      </c>
      <c r="F123" s="3234">
        <v>2790</v>
      </c>
      <c r="G123" s="3247">
        <v>8930</v>
      </c>
    </row>
    <row r="124" spans="1:7" s="3223" customFormat="1" ht="14.25" customHeight="1">
      <c r="A124" s="3234" t="s">
        <v>303</v>
      </c>
      <c r="B124" s="3234" t="s">
        <v>3020</v>
      </c>
      <c r="C124" s="3234">
        <v>13400</v>
      </c>
      <c r="D124" s="3234">
        <v>13320</v>
      </c>
      <c r="E124" s="3234">
        <v>16100</v>
      </c>
      <c r="F124" s="3234">
        <v>2320</v>
      </c>
      <c r="G124" s="3247">
        <v>8800</v>
      </c>
    </row>
    <row r="125" spans="1:7" s="3223" customFormat="1" ht="14.25" customHeight="1">
      <c r="A125" s="3234" t="s">
        <v>303</v>
      </c>
      <c r="B125" s="3234" t="s">
        <v>3025</v>
      </c>
      <c r="C125" s="3234">
        <v>12860</v>
      </c>
      <c r="D125" s="3234">
        <v>12790</v>
      </c>
      <c r="E125" s="3234">
        <v>15370</v>
      </c>
      <c r="F125" s="3234">
        <v>2280</v>
      </c>
      <c r="G125" s="3247">
        <v>8450</v>
      </c>
    </row>
    <row r="126" spans="1:7" s="3223" customFormat="1" ht="14.25" customHeight="1" thickBot="1">
      <c r="A126" s="3248" t="s">
        <v>303</v>
      </c>
      <c r="B126" s="3241" t="s">
        <v>3030</v>
      </c>
      <c r="C126" s="3241">
        <v>12960</v>
      </c>
      <c r="D126" s="3241">
        <v>12890</v>
      </c>
      <c r="E126" s="3241">
        <v>15530</v>
      </c>
      <c r="F126" s="3241">
        <v>2910</v>
      </c>
      <c r="G126" s="3249">
        <v>8520</v>
      </c>
    </row>
    <row r="127" spans="1:7" s="3223" customFormat="1" ht="14.25" customHeight="1">
      <c r="A127" s="3239" t="s">
        <v>29</v>
      </c>
      <c r="B127" s="3230" t="s">
        <v>3085</v>
      </c>
      <c r="C127" s="3234">
        <v>12280</v>
      </c>
      <c r="D127" s="3234">
        <v>12250</v>
      </c>
      <c r="E127" s="3234">
        <v>15130</v>
      </c>
      <c r="F127" s="3234">
        <v>2710</v>
      </c>
      <c r="G127" s="3234">
        <v>7870</v>
      </c>
    </row>
    <row r="128" spans="1:7" s="3223" customFormat="1" ht="14.25" customHeight="1">
      <c r="A128" s="3234" t="s">
        <v>29</v>
      </c>
      <c r="B128" s="3234" t="s">
        <v>132</v>
      </c>
      <c r="C128" s="3234">
        <v>13180</v>
      </c>
      <c r="D128" s="3234">
        <v>13150</v>
      </c>
      <c r="E128" s="3234">
        <v>16190</v>
      </c>
      <c r="F128" s="3234">
        <v>2820</v>
      </c>
      <c r="G128" s="3234">
        <v>8460</v>
      </c>
    </row>
    <row r="129" spans="1:7" s="3223" customFormat="1" ht="14.25" customHeight="1">
      <c r="A129" s="3234" t="s">
        <v>29</v>
      </c>
      <c r="B129" s="3234" t="s">
        <v>141</v>
      </c>
      <c r="C129" s="3234">
        <v>10950</v>
      </c>
      <c r="D129" s="3234">
        <v>10920</v>
      </c>
      <c r="E129" s="3234">
        <v>13820</v>
      </c>
      <c r="F129" s="3234">
        <v>2500</v>
      </c>
      <c r="G129" s="3234">
        <v>7020</v>
      </c>
    </row>
    <row r="130" spans="1:7" s="3223" customFormat="1" ht="14.25" customHeight="1">
      <c r="A130" s="3234" t="s">
        <v>29</v>
      </c>
      <c r="B130" s="3234" t="s">
        <v>150</v>
      </c>
      <c r="C130" s="3234">
        <v>10910</v>
      </c>
      <c r="D130" s="3234">
        <v>10860</v>
      </c>
      <c r="E130" s="3234">
        <v>13730</v>
      </c>
      <c r="F130" s="3234">
        <v>2760</v>
      </c>
      <c r="G130" s="3234">
        <v>6990</v>
      </c>
    </row>
    <row r="131" spans="1:7" s="3223" customFormat="1" ht="14.25" customHeight="1">
      <c r="A131" s="3234" t="s">
        <v>29</v>
      </c>
      <c r="B131" s="3234" t="s">
        <v>159</v>
      </c>
      <c r="C131" s="3234">
        <v>12910</v>
      </c>
      <c r="D131" s="3234">
        <v>12870</v>
      </c>
      <c r="E131" s="3234">
        <v>15720</v>
      </c>
      <c r="F131" s="3234">
        <v>2750</v>
      </c>
      <c r="G131" s="3234">
        <v>8280</v>
      </c>
    </row>
    <row r="132" spans="1:7" s="3223" customFormat="1" ht="14.25" customHeight="1">
      <c r="A132" s="3234" t="s">
        <v>29</v>
      </c>
      <c r="B132" s="3234" t="s">
        <v>166</v>
      </c>
      <c r="C132" s="3234">
        <v>11910</v>
      </c>
      <c r="D132" s="3234">
        <v>11860</v>
      </c>
      <c r="E132" s="3234">
        <v>14730</v>
      </c>
      <c r="F132" s="3234">
        <v>2360</v>
      </c>
      <c r="G132" s="3234">
        <v>7630</v>
      </c>
    </row>
    <row r="133" spans="1:7" s="3223" customFormat="1" ht="14.25" customHeight="1">
      <c r="A133" s="3234" t="s">
        <v>29</v>
      </c>
      <c r="B133" s="3234" t="s">
        <v>172</v>
      </c>
      <c r="C133" s="3234">
        <v>12270</v>
      </c>
      <c r="D133" s="3234">
        <v>12210</v>
      </c>
      <c r="E133" s="3234">
        <v>15010</v>
      </c>
      <c r="F133" s="3234">
        <v>2580</v>
      </c>
      <c r="G133" s="3234">
        <v>7860</v>
      </c>
    </row>
    <row r="134" spans="1:7" s="3223" customFormat="1" ht="14.25" customHeight="1">
      <c r="A134" s="3234" t="s">
        <v>29</v>
      </c>
      <c r="B134" s="3234" t="s">
        <v>179</v>
      </c>
      <c r="C134" s="3234">
        <v>10800</v>
      </c>
      <c r="D134" s="3234">
        <v>10780</v>
      </c>
      <c r="E134" s="3234">
        <v>13640</v>
      </c>
      <c r="F134" s="3234">
        <v>2110</v>
      </c>
      <c r="G134" s="3234">
        <v>6930</v>
      </c>
    </row>
    <row r="135" spans="1:7" s="3223" customFormat="1" ht="14.25" customHeight="1">
      <c r="A135" s="3234" t="s">
        <v>29</v>
      </c>
      <c r="B135" s="3234" t="s">
        <v>189</v>
      </c>
      <c r="C135" s="3234">
        <v>10430</v>
      </c>
      <c r="D135" s="3234">
        <v>10390</v>
      </c>
      <c r="E135" s="3234">
        <v>13140</v>
      </c>
      <c r="F135" s="3234">
        <v>2240</v>
      </c>
      <c r="G135" s="3234">
        <v>6680</v>
      </c>
    </row>
    <row r="136" spans="1:7" s="3223" customFormat="1" ht="14.25" customHeight="1">
      <c r="A136" s="3234" t="s">
        <v>29</v>
      </c>
      <c r="B136" s="3234" t="s">
        <v>198</v>
      </c>
      <c r="C136" s="3234">
        <v>11930</v>
      </c>
      <c r="D136" s="3234">
        <v>11880</v>
      </c>
      <c r="E136" s="3234">
        <v>14770</v>
      </c>
      <c r="F136" s="3234">
        <v>1970</v>
      </c>
      <c r="G136" s="3234">
        <v>7640</v>
      </c>
    </row>
    <row r="137" spans="1:7" s="3223" customFormat="1" ht="14.25" customHeight="1">
      <c r="A137" s="3234" t="s">
        <v>29</v>
      </c>
      <c r="B137" s="3234" t="s">
        <v>205</v>
      </c>
      <c r="C137" s="3234">
        <v>10470</v>
      </c>
      <c r="D137" s="3234">
        <v>10430</v>
      </c>
      <c r="E137" s="3234">
        <v>13190</v>
      </c>
      <c r="F137" s="3234">
        <v>1990</v>
      </c>
      <c r="G137" s="3234">
        <v>6710</v>
      </c>
    </row>
    <row r="138" spans="1:7" s="3223" customFormat="1" ht="14.25" customHeight="1">
      <c r="A138" s="3234" t="s">
        <v>29</v>
      </c>
      <c r="B138" s="3234" t="s">
        <v>212</v>
      </c>
      <c r="C138" s="3234">
        <v>10410</v>
      </c>
      <c r="D138" s="3234">
        <v>10380</v>
      </c>
      <c r="E138" s="3234">
        <v>13130</v>
      </c>
      <c r="F138" s="3234">
        <v>2030</v>
      </c>
      <c r="G138" s="3234">
        <v>6680</v>
      </c>
    </row>
    <row r="139" spans="1:7" s="3223" customFormat="1" ht="14.25" customHeight="1">
      <c r="A139" s="3234" t="s">
        <v>29</v>
      </c>
      <c r="B139" s="3234" t="s">
        <v>218</v>
      </c>
      <c r="C139" s="3234">
        <v>9460</v>
      </c>
      <c r="D139" s="3234">
        <v>9410</v>
      </c>
      <c r="E139" s="3234">
        <v>12050</v>
      </c>
      <c r="F139" s="3234">
        <v>2140</v>
      </c>
      <c r="G139" s="3234">
        <v>6050</v>
      </c>
    </row>
    <row r="140" spans="1:7" s="3223" customFormat="1" ht="14.25" customHeight="1">
      <c r="A140" s="3234" t="s">
        <v>29</v>
      </c>
      <c r="B140" s="3234" t="s">
        <v>226</v>
      </c>
      <c r="C140" s="3234">
        <v>11030</v>
      </c>
      <c r="D140" s="3234">
        <v>10980</v>
      </c>
      <c r="E140" s="3234">
        <v>13880</v>
      </c>
      <c r="F140" s="3234">
        <v>2210</v>
      </c>
      <c r="G140" s="3234">
        <v>7060</v>
      </c>
    </row>
    <row r="141" spans="1:7" s="3223" customFormat="1" ht="14.25" customHeight="1">
      <c r="A141" s="3234" t="s">
        <v>29</v>
      </c>
      <c r="B141" s="3234" t="s">
        <v>234</v>
      </c>
      <c r="C141" s="3234">
        <v>11200</v>
      </c>
      <c r="D141" s="3234">
        <v>11150</v>
      </c>
      <c r="E141" s="3234">
        <v>14100</v>
      </c>
      <c r="F141" s="3234">
        <v>2470</v>
      </c>
      <c r="G141" s="3234">
        <v>7170</v>
      </c>
    </row>
    <row r="142" spans="1:7" s="3223" customFormat="1" ht="14.25" customHeight="1">
      <c r="A142" s="3234" t="s">
        <v>29</v>
      </c>
      <c r="B142" s="3234" t="s">
        <v>239</v>
      </c>
      <c r="C142" s="3234">
        <v>10780</v>
      </c>
      <c r="D142" s="3234">
        <v>10730</v>
      </c>
      <c r="E142" s="3234">
        <v>13540</v>
      </c>
      <c r="F142" s="3234">
        <v>2280</v>
      </c>
      <c r="G142" s="3234">
        <v>6900</v>
      </c>
    </row>
    <row r="143" spans="1:7" s="3223" customFormat="1" ht="14.25" customHeight="1">
      <c r="A143" s="3234" t="s">
        <v>29</v>
      </c>
      <c r="B143" s="3234" t="s">
        <v>248</v>
      </c>
      <c r="C143" s="3234">
        <v>11550</v>
      </c>
      <c r="D143" s="3234">
        <v>11490</v>
      </c>
      <c r="E143" s="3234">
        <v>14480</v>
      </c>
      <c r="F143" s="3234">
        <v>2070</v>
      </c>
      <c r="G143" s="3234">
        <v>7390</v>
      </c>
    </row>
    <row r="144" spans="1:7" s="3223" customFormat="1" ht="14.25" customHeight="1">
      <c r="A144" s="3234" t="s">
        <v>29</v>
      </c>
      <c r="B144" s="3234" t="s">
        <v>255</v>
      </c>
      <c r="C144" s="3234">
        <v>10720</v>
      </c>
      <c r="D144" s="3234">
        <v>10680</v>
      </c>
      <c r="E144" s="3234">
        <v>13480</v>
      </c>
      <c r="F144" s="3234">
        <v>2440</v>
      </c>
      <c r="G144" s="3234">
        <v>6870</v>
      </c>
    </row>
    <row r="145" spans="1:7" s="3223" customFormat="1" ht="14.25" customHeight="1">
      <c r="A145" s="3234" t="s">
        <v>29</v>
      </c>
      <c r="B145" s="3234" t="s">
        <v>263</v>
      </c>
      <c r="C145" s="3234">
        <v>10340</v>
      </c>
      <c r="D145" s="3234">
        <v>10290</v>
      </c>
      <c r="E145" s="3234">
        <v>12880</v>
      </c>
      <c r="F145" s="3234">
        <v>2650</v>
      </c>
      <c r="G145" s="3234">
        <v>6620</v>
      </c>
    </row>
    <row r="146" spans="1:7" s="3223" customFormat="1" ht="14.25" customHeight="1">
      <c r="A146" s="3234" t="s">
        <v>29</v>
      </c>
      <c r="B146" s="3234" t="s">
        <v>270</v>
      </c>
      <c r="C146" s="3234">
        <v>11890</v>
      </c>
      <c r="D146" s="3234">
        <v>11830</v>
      </c>
      <c r="E146" s="3234">
        <v>14670</v>
      </c>
      <c r="F146" s="3234"/>
      <c r="G146" s="3234">
        <v>7610</v>
      </c>
    </row>
    <row r="147" spans="1:7" s="3223" customFormat="1" ht="14.25" customHeight="1">
      <c r="A147" s="3234" t="s">
        <v>29</v>
      </c>
      <c r="B147" s="3234" t="s">
        <v>274</v>
      </c>
      <c r="C147" s="3234">
        <v>12650</v>
      </c>
      <c r="D147" s="3234">
        <v>12600</v>
      </c>
      <c r="E147" s="3234">
        <v>15440</v>
      </c>
      <c r="F147" s="3234"/>
      <c r="G147" s="3234">
        <v>8110</v>
      </c>
    </row>
    <row r="148" spans="1:7" s="3223" customFormat="1" ht="14.25" customHeight="1">
      <c r="A148" s="3234" t="s">
        <v>29</v>
      </c>
      <c r="B148" s="3234" t="s">
        <v>3086</v>
      </c>
      <c r="C148" s="3234">
        <v>10370</v>
      </c>
      <c r="D148" s="3234">
        <v>10310</v>
      </c>
      <c r="E148" s="3234">
        <v>12970</v>
      </c>
      <c r="F148" s="3234"/>
      <c r="G148" s="3234">
        <v>6630</v>
      </c>
    </row>
    <row r="149" spans="1:7" s="3223" customFormat="1" ht="14.25" customHeight="1">
      <c r="A149" s="3234" t="s">
        <v>29</v>
      </c>
      <c r="B149" s="3234" t="s">
        <v>3087</v>
      </c>
      <c r="C149" s="3234">
        <v>11600</v>
      </c>
      <c r="D149" s="3234">
        <v>11560</v>
      </c>
      <c r="E149" s="3234">
        <v>14540</v>
      </c>
      <c r="F149" s="3234">
        <v>2390</v>
      </c>
      <c r="G149" s="3234">
        <v>7430</v>
      </c>
    </row>
    <row r="150" spans="1:7" s="3223" customFormat="1" ht="14.25" customHeight="1">
      <c r="A150" s="3234" t="s">
        <v>29</v>
      </c>
      <c r="B150" s="3234" t="s">
        <v>292</v>
      </c>
      <c r="C150" s="3234">
        <v>9950</v>
      </c>
      <c r="D150" s="3234">
        <v>9890</v>
      </c>
      <c r="E150" s="3234">
        <v>12590</v>
      </c>
      <c r="F150" s="3234">
        <v>1970</v>
      </c>
      <c r="G150" s="3234">
        <v>6360</v>
      </c>
    </row>
    <row r="151" spans="1:7" s="3223" customFormat="1" ht="14.25" customHeight="1">
      <c r="A151" s="3234" t="s">
        <v>29</v>
      </c>
      <c r="B151" s="3234" t="s">
        <v>294</v>
      </c>
      <c r="C151" s="3234">
        <v>10700</v>
      </c>
      <c r="D151" s="3234">
        <v>10650</v>
      </c>
      <c r="E151" s="3234">
        <v>13420</v>
      </c>
      <c r="F151" s="3234">
        <v>2020</v>
      </c>
      <c r="G151" s="3234">
        <v>6850</v>
      </c>
    </row>
    <row r="152" spans="1:7" s="3223" customFormat="1" ht="14.25" customHeight="1">
      <c r="A152" s="3234" t="s">
        <v>29</v>
      </c>
      <c r="B152" s="3234" t="s">
        <v>297</v>
      </c>
      <c r="C152" s="3234">
        <v>10310</v>
      </c>
      <c r="D152" s="3234">
        <v>10260</v>
      </c>
      <c r="E152" s="3234">
        <v>12820</v>
      </c>
      <c r="F152" s="3234">
        <v>1980</v>
      </c>
      <c r="G152" s="3234">
        <v>6600</v>
      </c>
    </row>
    <row r="153" spans="1:7" s="3223" customFormat="1" ht="14.25" customHeight="1">
      <c r="A153" s="3234" t="s">
        <v>29</v>
      </c>
      <c r="B153" s="3234" t="s">
        <v>2961</v>
      </c>
      <c r="C153" s="3234">
        <v>10880</v>
      </c>
      <c r="D153" s="3234">
        <v>10820</v>
      </c>
      <c r="E153" s="3234">
        <v>13660</v>
      </c>
      <c r="F153" s="3234">
        <v>2260</v>
      </c>
      <c r="G153" s="3234">
        <v>6970</v>
      </c>
    </row>
    <row r="154" spans="1:7" s="3223" customFormat="1" ht="14.25" customHeight="1">
      <c r="A154" s="3234" t="s">
        <v>29</v>
      </c>
      <c r="B154" s="3234" t="s">
        <v>3088</v>
      </c>
      <c r="C154" s="3234">
        <v>11220</v>
      </c>
      <c r="D154" s="3234">
        <v>11160</v>
      </c>
      <c r="E154" s="3234">
        <v>14130</v>
      </c>
      <c r="F154" s="3234">
        <v>2230</v>
      </c>
      <c r="G154" s="3234">
        <v>7180</v>
      </c>
    </row>
    <row r="155" spans="1:7" s="3223" customFormat="1" ht="14.25" customHeight="1">
      <c r="A155" s="3234" t="s">
        <v>29</v>
      </c>
      <c r="B155" s="3234" t="s">
        <v>2974</v>
      </c>
      <c r="C155" s="3234">
        <v>10430</v>
      </c>
      <c r="D155" s="3234">
        <v>10380</v>
      </c>
      <c r="E155" s="3234">
        <v>13140</v>
      </c>
      <c r="F155" s="3234">
        <v>2080</v>
      </c>
      <c r="G155" s="3234">
        <v>6650</v>
      </c>
    </row>
    <row r="156" spans="1:7" s="3223" customFormat="1" ht="14.25" customHeight="1">
      <c r="A156" s="3234" t="s">
        <v>29</v>
      </c>
      <c r="B156" s="3234" t="s">
        <v>3089</v>
      </c>
      <c r="C156" s="3234">
        <v>10440</v>
      </c>
      <c r="D156" s="3234">
        <v>10400</v>
      </c>
      <c r="E156" s="3234">
        <v>13150</v>
      </c>
      <c r="F156" s="3234">
        <v>2490</v>
      </c>
      <c r="G156" s="3234">
        <v>6690</v>
      </c>
    </row>
    <row r="157" spans="1:7" s="3223" customFormat="1" ht="14.25" customHeight="1">
      <c r="A157" s="3234" t="s">
        <v>29</v>
      </c>
      <c r="B157" s="3234" t="s">
        <v>300</v>
      </c>
      <c r="C157" s="3234">
        <v>10970</v>
      </c>
      <c r="D157" s="3234">
        <v>10920</v>
      </c>
      <c r="E157" s="3234">
        <v>13840</v>
      </c>
      <c r="F157" s="3234">
        <v>2420</v>
      </c>
      <c r="G157" s="3234">
        <v>7020</v>
      </c>
    </row>
    <row r="158" spans="1:7" s="3223" customFormat="1" ht="14.25" customHeight="1">
      <c r="A158" s="3234" t="s">
        <v>29</v>
      </c>
      <c r="B158" s="3234" t="s">
        <v>301</v>
      </c>
      <c r="C158" s="3234">
        <v>9590</v>
      </c>
      <c r="D158" s="3234">
        <v>9540</v>
      </c>
      <c r="E158" s="3234">
        <v>12210</v>
      </c>
      <c r="F158" s="3234">
        <v>2100</v>
      </c>
      <c r="G158" s="3234">
        <v>6130</v>
      </c>
    </row>
    <row r="159" spans="1:7" s="3223" customFormat="1" ht="14.25" customHeight="1">
      <c r="A159" s="3234" t="s">
        <v>29</v>
      </c>
      <c r="B159" s="3234" t="s">
        <v>302</v>
      </c>
      <c r="C159" s="3234">
        <v>11190</v>
      </c>
      <c r="D159" s="3234">
        <v>11140</v>
      </c>
      <c r="E159" s="3234">
        <v>14090</v>
      </c>
      <c r="F159" s="3234">
        <v>2470</v>
      </c>
      <c r="G159" s="3234">
        <v>7170</v>
      </c>
    </row>
    <row r="160" spans="1:7" s="3223" customFormat="1" ht="14.25" customHeight="1">
      <c r="A160" s="3234" t="s">
        <v>29</v>
      </c>
      <c r="B160" s="3234" t="s">
        <v>3090</v>
      </c>
      <c r="C160" s="3234">
        <v>11180</v>
      </c>
      <c r="D160" s="3234">
        <v>11140</v>
      </c>
      <c r="E160" s="3234">
        <v>14050</v>
      </c>
      <c r="F160" s="3234">
        <v>2270</v>
      </c>
      <c r="G160" s="3234">
        <v>7170</v>
      </c>
    </row>
    <row r="161" spans="1:7" s="3223" customFormat="1" ht="14.25" customHeight="1">
      <c r="A161" s="3234" t="s">
        <v>29</v>
      </c>
      <c r="B161" s="3234" t="s">
        <v>3006</v>
      </c>
      <c r="C161" s="3234">
        <v>11160</v>
      </c>
      <c r="D161" s="3234">
        <v>11120</v>
      </c>
      <c r="E161" s="3234">
        <v>14020</v>
      </c>
      <c r="F161" s="3234">
        <v>2150</v>
      </c>
      <c r="G161" s="3234">
        <v>7160</v>
      </c>
    </row>
    <row r="162" spans="1:7" s="3223" customFormat="1" ht="14.25" customHeight="1">
      <c r="A162" s="3234" t="s">
        <v>29</v>
      </c>
      <c r="B162" s="3234" t="s">
        <v>3011</v>
      </c>
      <c r="C162" s="3234">
        <v>9620</v>
      </c>
      <c r="D162" s="3234">
        <v>9570</v>
      </c>
      <c r="E162" s="3234">
        <v>12320</v>
      </c>
      <c r="F162" s="3234">
        <v>2010</v>
      </c>
      <c r="G162" s="3234">
        <v>6160</v>
      </c>
    </row>
    <row r="163" spans="1:7" s="3223" customFormat="1" ht="14.25" customHeight="1">
      <c r="A163" s="3234" t="s">
        <v>29</v>
      </c>
      <c r="B163" s="3234" t="s">
        <v>3016</v>
      </c>
      <c r="C163" s="3234">
        <v>9320</v>
      </c>
      <c r="D163" s="3234">
        <v>9270</v>
      </c>
      <c r="E163" s="3234">
        <v>11790</v>
      </c>
      <c r="F163" s="3234">
        <v>1920</v>
      </c>
      <c r="G163" s="3234">
        <v>5960</v>
      </c>
    </row>
    <row r="164" spans="1:7" s="3223" customFormat="1" ht="14.25" customHeight="1">
      <c r="A164" s="3234" t="s">
        <v>29</v>
      </c>
      <c r="B164" s="3234" t="s">
        <v>3021</v>
      </c>
      <c r="C164" s="3234"/>
      <c r="D164" s="3234"/>
      <c r="E164" s="3234"/>
      <c r="F164" s="3234">
        <v>1980</v>
      </c>
      <c r="G164" s="3234"/>
    </row>
    <row r="165" spans="1:7" s="3223" customFormat="1" ht="14.25" customHeight="1">
      <c r="A165" s="3234" t="s">
        <v>29</v>
      </c>
      <c r="B165" s="3234" t="s">
        <v>3091</v>
      </c>
      <c r="C165" s="3234">
        <v>11060</v>
      </c>
      <c r="D165" s="3234">
        <v>11030</v>
      </c>
      <c r="E165" s="3234">
        <v>13850</v>
      </c>
      <c r="F165" s="3234">
        <v>2170</v>
      </c>
      <c r="G165" s="3234">
        <v>7090</v>
      </c>
    </row>
    <row r="166" spans="1:7" s="3223" customFormat="1" ht="14.25" customHeight="1">
      <c r="A166" s="3234" t="s">
        <v>29</v>
      </c>
      <c r="B166" s="3234" t="s">
        <v>3031</v>
      </c>
      <c r="C166" s="3234">
        <v>11050</v>
      </c>
      <c r="D166" s="3234">
        <v>11010</v>
      </c>
      <c r="E166" s="3234">
        <v>13920</v>
      </c>
      <c r="F166" s="3234">
        <v>2140</v>
      </c>
      <c r="G166" s="3234">
        <v>7080</v>
      </c>
    </row>
    <row r="167" spans="1:7" s="3223" customFormat="1" ht="14.25" customHeight="1">
      <c r="A167" s="3234" t="s">
        <v>29</v>
      </c>
      <c r="B167" s="3234" t="s">
        <v>3035</v>
      </c>
      <c r="C167" s="3234">
        <v>10930</v>
      </c>
      <c r="D167" s="3234">
        <v>10890</v>
      </c>
      <c r="E167" s="3234">
        <v>13790</v>
      </c>
      <c r="F167" s="3234">
        <v>2010</v>
      </c>
      <c r="G167" s="3234">
        <v>7000</v>
      </c>
    </row>
    <row r="168" spans="1:7" s="3223" customFormat="1" ht="14.25" customHeight="1">
      <c r="A168" s="3234" t="s">
        <v>29</v>
      </c>
      <c r="B168" s="3234" t="s">
        <v>3040</v>
      </c>
      <c r="C168" s="3234">
        <v>9420</v>
      </c>
      <c r="D168" s="3234">
        <v>9380</v>
      </c>
      <c r="E168" s="3234">
        <v>11970</v>
      </c>
      <c r="F168" s="3234"/>
      <c r="G168" s="3234">
        <v>6040</v>
      </c>
    </row>
    <row r="169" spans="1:7" s="3223" customFormat="1" ht="14.25" customHeight="1">
      <c r="A169" s="3234" t="s">
        <v>29</v>
      </c>
      <c r="B169" s="3234" t="s">
        <v>3092</v>
      </c>
      <c r="C169" s="3234"/>
      <c r="D169" s="3234"/>
      <c r="E169" s="3234"/>
      <c r="F169" s="3234">
        <v>2880</v>
      </c>
      <c r="G169" s="3234"/>
    </row>
    <row r="170" spans="1:7" s="3223" customFormat="1" ht="14.25" customHeight="1">
      <c r="A170" s="3234" t="s">
        <v>29</v>
      </c>
      <c r="B170" s="3234" t="s">
        <v>3048</v>
      </c>
      <c r="C170" s="3234"/>
      <c r="D170" s="3234"/>
      <c r="E170" s="3234"/>
      <c r="F170" s="3234">
        <v>2880</v>
      </c>
      <c r="G170" s="3234"/>
    </row>
    <row r="171" spans="1:7" s="3223" customFormat="1" ht="14.25" customHeight="1">
      <c r="A171" s="3234" t="s">
        <v>29</v>
      </c>
      <c r="B171" s="3234" t="s">
        <v>3051</v>
      </c>
      <c r="C171" s="3234"/>
      <c r="D171" s="3234"/>
      <c r="E171" s="3234"/>
      <c r="F171" s="3234">
        <v>2880</v>
      </c>
      <c r="G171" s="3234"/>
    </row>
    <row r="172" spans="1:7" s="3223" customFormat="1" ht="14.25" customHeight="1">
      <c r="A172" s="3234" t="s">
        <v>29</v>
      </c>
      <c r="B172" s="3234" t="s">
        <v>3053</v>
      </c>
      <c r="C172" s="3234"/>
      <c r="D172" s="3234"/>
      <c r="E172" s="3234"/>
      <c r="F172" s="3234">
        <v>2880</v>
      </c>
      <c r="G172" s="3234"/>
    </row>
    <row r="173" spans="1:7" s="3223" customFormat="1" ht="14.25" customHeight="1">
      <c r="A173" s="3234" t="s">
        <v>29</v>
      </c>
      <c r="B173" s="3234" t="s">
        <v>3055</v>
      </c>
      <c r="C173" s="3234"/>
      <c r="D173" s="3234"/>
      <c r="E173" s="3234"/>
      <c r="F173" s="3234">
        <v>2150</v>
      </c>
      <c r="G173" s="3234"/>
    </row>
    <row r="174" spans="1:7" s="3223" customFormat="1" ht="14.25" customHeight="1">
      <c r="A174" s="3234" t="s">
        <v>29</v>
      </c>
      <c r="B174" s="3234" t="s">
        <v>3057</v>
      </c>
      <c r="C174" s="3234"/>
      <c r="D174" s="3234"/>
      <c r="E174" s="3234"/>
      <c r="F174" s="3234">
        <v>2030</v>
      </c>
      <c r="G174" s="3234"/>
    </row>
    <row r="175" spans="1:7" s="3223" customFormat="1" ht="14.25" customHeight="1">
      <c r="A175" s="3234" t="s">
        <v>29</v>
      </c>
      <c r="B175" s="3234" t="s">
        <v>3059</v>
      </c>
      <c r="C175" s="3234"/>
      <c r="D175" s="3234"/>
      <c r="E175" s="3234"/>
      <c r="F175" s="3234">
        <v>2780</v>
      </c>
      <c r="G175" s="3234"/>
    </row>
    <row r="176" spans="1:7" s="3223" customFormat="1" ht="14.25" customHeight="1">
      <c r="A176" s="3234" t="s">
        <v>29</v>
      </c>
      <c r="B176" s="3234" t="s">
        <v>3061</v>
      </c>
      <c r="C176" s="3234"/>
      <c r="D176" s="3234"/>
      <c r="E176" s="3234"/>
      <c r="F176" s="3234">
        <v>2780</v>
      </c>
      <c r="G176" s="3234"/>
    </row>
    <row r="177" spans="1:7" s="3223" customFormat="1" ht="14.25" customHeight="1">
      <c r="A177" s="3234" t="s">
        <v>29</v>
      </c>
      <c r="B177" s="3234" t="s">
        <v>3093</v>
      </c>
      <c r="C177" s="3234"/>
      <c r="D177" s="3234"/>
      <c r="E177" s="3234"/>
      <c r="F177" s="3234">
        <v>2780</v>
      </c>
      <c r="G177" s="3234"/>
    </row>
    <row r="178" spans="1:7" s="3223" customFormat="1" ht="14.25" customHeight="1">
      <c r="A178" s="3234" t="s">
        <v>29</v>
      </c>
      <c r="B178" s="3234" t="s">
        <v>3094</v>
      </c>
      <c r="C178" s="3234"/>
      <c r="D178" s="3234"/>
      <c r="E178" s="3234"/>
      <c r="F178" s="3234">
        <v>2060</v>
      </c>
      <c r="G178" s="3234"/>
    </row>
    <row r="179" spans="1:7" s="3223" customFormat="1" ht="14.25" customHeight="1">
      <c r="A179" s="3234" t="s">
        <v>29</v>
      </c>
      <c r="B179" s="3234" t="s">
        <v>3095</v>
      </c>
      <c r="C179" s="3234"/>
      <c r="D179" s="3234"/>
      <c r="E179" s="3234"/>
      <c r="F179" s="3234">
        <v>2120</v>
      </c>
      <c r="G179" s="3234"/>
    </row>
    <row r="180" spans="1:7" s="3223" customFormat="1" ht="14.25" customHeight="1">
      <c r="A180" s="3234" t="s">
        <v>29</v>
      </c>
      <c r="B180" s="3234" t="s">
        <v>3067</v>
      </c>
      <c r="C180" s="3234"/>
      <c r="D180" s="3234"/>
      <c r="E180" s="3234"/>
      <c r="F180" s="3234">
        <v>2340</v>
      </c>
      <c r="G180" s="3234"/>
    </row>
    <row r="181" spans="1:7" s="3223" customFormat="1" ht="14.25" customHeight="1">
      <c r="A181" s="3234" t="s">
        <v>29</v>
      </c>
      <c r="B181" s="3234" t="s">
        <v>3068</v>
      </c>
      <c r="C181" s="3234"/>
      <c r="D181" s="3234"/>
      <c r="E181" s="3234"/>
      <c r="F181" s="3234">
        <v>2340</v>
      </c>
      <c r="G181" s="3234"/>
    </row>
    <row r="182" spans="1:7" s="3223" customFormat="1" ht="14.25" customHeight="1">
      <c r="A182" s="3234" t="s">
        <v>29</v>
      </c>
      <c r="B182" s="3234" t="s">
        <v>3069</v>
      </c>
      <c r="C182" s="3234"/>
      <c r="D182" s="3234"/>
      <c r="E182" s="3234"/>
      <c r="F182" s="3234">
        <v>2340</v>
      </c>
      <c r="G182" s="3234"/>
    </row>
    <row r="183" spans="1:7" s="3223" customFormat="1" ht="14.25" customHeight="1">
      <c r="A183" s="3234" t="s">
        <v>29</v>
      </c>
      <c r="B183" s="3234" t="s">
        <v>3070</v>
      </c>
      <c r="C183" s="3234"/>
      <c r="D183" s="3234"/>
      <c r="E183" s="3234"/>
      <c r="F183" s="3234">
        <v>2340</v>
      </c>
      <c r="G183" s="3234"/>
    </row>
    <row r="184" spans="1:7" s="3223" customFormat="1" ht="14.25" customHeight="1">
      <c r="A184" s="3234" t="s">
        <v>29</v>
      </c>
      <c r="B184" s="3234" t="s">
        <v>3071</v>
      </c>
      <c r="C184" s="3234"/>
      <c r="D184" s="3234"/>
      <c r="E184" s="3234"/>
      <c r="F184" s="3234">
        <v>2340</v>
      </c>
      <c r="G184" s="3234"/>
    </row>
    <row r="185" spans="1:7" s="3223" customFormat="1" ht="14.25" customHeight="1">
      <c r="A185" s="3234" t="s">
        <v>29</v>
      </c>
      <c r="B185" s="3234" t="s">
        <v>3072</v>
      </c>
      <c r="C185" s="3234"/>
      <c r="D185" s="3234"/>
      <c r="E185" s="3234"/>
      <c r="F185" s="3234">
        <v>2530</v>
      </c>
      <c r="G185" s="3234"/>
    </row>
    <row r="186" spans="1:7" s="3223" customFormat="1" ht="14.25" customHeight="1">
      <c r="A186" s="3234" t="s">
        <v>29</v>
      </c>
      <c r="B186" s="3234" t="s">
        <v>3073</v>
      </c>
      <c r="C186" s="3234"/>
      <c r="D186" s="3234"/>
      <c r="E186" s="3234"/>
      <c r="F186" s="3234">
        <v>2550</v>
      </c>
      <c r="G186" s="3234"/>
    </row>
    <row r="187" spans="1:7" s="3223" customFormat="1" ht="14.25" customHeight="1">
      <c r="A187" s="3234" t="s">
        <v>29</v>
      </c>
      <c r="B187" s="3234" t="s">
        <v>3074</v>
      </c>
      <c r="C187" s="3234"/>
      <c r="D187" s="3234"/>
      <c r="E187" s="3234"/>
      <c r="F187" s="3234">
        <v>2070</v>
      </c>
      <c r="G187" s="3234"/>
    </row>
    <row r="188" spans="1:7" s="3223" customFormat="1" ht="14.25" customHeight="1">
      <c r="A188" s="3234" t="s">
        <v>29</v>
      </c>
      <c r="B188" s="3234" t="s">
        <v>3075</v>
      </c>
      <c r="C188" s="3234"/>
      <c r="D188" s="3234"/>
      <c r="E188" s="3234"/>
      <c r="F188" s="3234">
        <v>2340</v>
      </c>
      <c r="G188" s="3234"/>
    </row>
    <row r="189" spans="1:7" s="3223" customFormat="1" ht="14.25" customHeight="1" thickBot="1">
      <c r="A189" s="3242" t="s">
        <v>29</v>
      </c>
      <c r="B189" s="3245" t="s">
        <v>3076</v>
      </c>
      <c r="C189" s="3245"/>
      <c r="D189" s="3245"/>
      <c r="E189" s="3245"/>
      <c r="F189" s="3245">
        <v>2050</v>
      </c>
      <c r="G189" s="3245"/>
    </row>
    <row r="190" spans="1:7" s="3223" customFormat="1" ht="14.25" customHeight="1">
      <c r="A190" s="3239" t="s">
        <v>304</v>
      </c>
      <c r="B190" s="3230" t="s">
        <v>3096</v>
      </c>
      <c r="C190" s="3230">
        <v>8830</v>
      </c>
      <c r="D190" s="3230">
        <v>8790</v>
      </c>
      <c r="E190" s="3230">
        <v>11630</v>
      </c>
      <c r="F190" s="3230">
        <v>1790</v>
      </c>
      <c r="G190" s="3246">
        <v>5550</v>
      </c>
    </row>
    <row r="191" spans="1:7" s="3223" customFormat="1" ht="14.25" customHeight="1">
      <c r="A191" s="3234" t="s">
        <v>304</v>
      </c>
      <c r="B191" s="3234" t="s">
        <v>133</v>
      </c>
      <c r="C191" s="3234">
        <v>9780</v>
      </c>
      <c r="D191" s="3234">
        <v>9710</v>
      </c>
      <c r="E191" s="3234">
        <v>12550</v>
      </c>
      <c r="F191" s="3234">
        <v>1980</v>
      </c>
      <c r="G191" s="3247">
        <v>6130</v>
      </c>
    </row>
    <row r="192" spans="1:7" s="3223" customFormat="1" ht="14.25" customHeight="1">
      <c r="A192" s="3234" t="s">
        <v>304</v>
      </c>
      <c r="B192" s="3234" t="s">
        <v>142</v>
      </c>
      <c r="C192" s="3234">
        <v>8180</v>
      </c>
      <c r="D192" s="3234">
        <v>8140</v>
      </c>
      <c r="E192" s="3234">
        <v>10870</v>
      </c>
      <c r="F192" s="3234">
        <v>1690</v>
      </c>
      <c r="G192" s="3247">
        <v>5140</v>
      </c>
    </row>
    <row r="193" spans="1:7" s="3223" customFormat="1" ht="14.25" customHeight="1">
      <c r="A193" s="3234" t="s">
        <v>304</v>
      </c>
      <c r="B193" s="3234" t="s">
        <v>151</v>
      </c>
      <c r="C193" s="3234">
        <v>8440</v>
      </c>
      <c r="D193" s="3234">
        <v>8390</v>
      </c>
      <c r="E193" s="3234">
        <v>11210</v>
      </c>
      <c r="F193" s="3234">
        <v>1600</v>
      </c>
      <c r="G193" s="3247">
        <v>5300</v>
      </c>
    </row>
    <row r="194" spans="1:7" s="3223" customFormat="1" ht="14.25" customHeight="1">
      <c r="A194" s="3234" t="s">
        <v>304</v>
      </c>
      <c r="B194" s="3234" t="s">
        <v>160</v>
      </c>
      <c r="C194" s="3234">
        <v>8780</v>
      </c>
      <c r="D194" s="3234">
        <v>8730</v>
      </c>
      <c r="E194" s="3234">
        <v>11550</v>
      </c>
      <c r="F194" s="3234">
        <v>1660</v>
      </c>
      <c r="G194" s="3247">
        <v>5520</v>
      </c>
    </row>
    <row r="195" spans="1:7" s="3223" customFormat="1" ht="14.25" customHeight="1">
      <c r="A195" s="3234" t="s">
        <v>304</v>
      </c>
      <c r="B195" s="3234" t="s">
        <v>167</v>
      </c>
      <c r="C195" s="3234">
        <v>8720</v>
      </c>
      <c r="D195" s="3234">
        <v>8670</v>
      </c>
      <c r="E195" s="3234">
        <v>11450</v>
      </c>
      <c r="F195" s="3234">
        <v>1720</v>
      </c>
      <c r="G195" s="3247">
        <v>5480</v>
      </c>
    </row>
    <row r="196" spans="1:7" s="3223" customFormat="1" ht="14.25" customHeight="1">
      <c r="A196" s="3234" t="s">
        <v>304</v>
      </c>
      <c r="B196" s="3234" t="s">
        <v>173</v>
      </c>
      <c r="C196" s="3234">
        <v>8460</v>
      </c>
      <c r="D196" s="3234">
        <v>8410</v>
      </c>
      <c r="E196" s="3234">
        <v>11230</v>
      </c>
      <c r="F196" s="3234">
        <v>1730</v>
      </c>
      <c r="G196" s="3247">
        <v>5310</v>
      </c>
    </row>
    <row r="197" spans="1:7" s="3223" customFormat="1" ht="14.25" customHeight="1">
      <c r="A197" s="3234" t="s">
        <v>304</v>
      </c>
      <c r="B197" s="3234" t="s">
        <v>180</v>
      </c>
      <c r="C197" s="3234">
        <v>8790</v>
      </c>
      <c r="D197" s="3234">
        <v>8730</v>
      </c>
      <c r="E197" s="3234">
        <v>11560</v>
      </c>
      <c r="F197" s="3234">
        <v>1750</v>
      </c>
      <c r="G197" s="3247">
        <v>5520</v>
      </c>
    </row>
    <row r="198" spans="1:7" s="3223" customFormat="1" ht="14.25" customHeight="1">
      <c r="A198" s="3234" t="s">
        <v>304</v>
      </c>
      <c r="B198" s="3234" t="s">
        <v>190</v>
      </c>
      <c r="C198" s="3234">
        <v>8720</v>
      </c>
      <c r="D198" s="3234">
        <v>8680</v>
      </c>
      <c r="E198" s="3234">
        <v>11470</v>
      </c>
      <c r="F198" s="3234"/>
      <c r="G198" s="3247">
        <v>5480</v>
      </c>
    </row>
    <row r="199" spans="1:7" s="3223" customFormat="1" ht="14.25" customHeight="1">
      <c r="A199" s="3234" t="s">
        <v>304</v>
      </c>
      <c r="B199" s="3234" t="s">
        <v>3097</v>
      </c>
      <c r="C199" s="3234">
        <v>8690</v>
      </c>
      <c r="D199" s="3234">
        <v>8630</v>
      </c>
      <c r="E199" s="3234">
        <v>11350</v>
      </c>
      <c r="F199" s="3234">
        <v>1600</v>
      </c>
      <c r="G199" s="3247">
        <v>5450</v>
      </c>
    </row>
    <row r="200" spans="1:7" s="3223" customFormat="1" ht="14.25" customHeight="1">
      <c r="A200" s="3234" t="s">
        <v>304</v>
      </c>
      <c r="B200" s="3234" t="s">
        <v>2908</v>
      </c>
      <c r="C200" s="3234"/>
      <c r="D200" s="3234"/>
      <c r="E200" s="3234"/>
      <c r="F200" s="3234">
        <v>1510</v>
      </c>
      <c r="G200" s="3247"/>
    </row>
    <row r="201" spans="1:7" s="3223" customFormat="1" ht="14.25" customHeight="1">
      <c r="A201" s="3234" t="s">
        <v>304</v>
      </c>
      <c r="B201" s="3234" t="s">
        <v>3098</v>
      </c>
      <c r="C201" s="3234">
        <v>8440</v>
      </c>
      <c r="D201" s="3234">
        <v>8390</v>
      </c>
      <c r="E201" s="3234">
        <v>10930</v>
      </c>
      <c r="F201" s="3234">
        <v>1500</v>
      </c>
      <c r="G201" s="3247">
        <v>5300</v>
      </c>
    </row>
    <row r="202" spans="1:7" s="3223" customFormat="1" ht="14.25" customHeight="1">
      <c r="A202" s="3234" t="s">
        <v>304</v>
      </c>
      <c r="B202" s="3234" t="s">
        <v>240</v>
      </c>
      <c r="C202" s="3234">
        <v>8530</v>
      </c>
      <c r="D202" s="3234">
        <v>8490</v>
      </c>
      <c r="E202" s="3234">
        <v>11160</v>
      </c>
      <c r="F202" s="3234">
        <v>1580</v>
      </c>
      <c r="G202" s="3247">
        <v>5360</v>
      </c>
    </row>
    <row r="203" spans="1:7" s="3223" customFormat="1" ht="14.25" customHeight="1">
      <c r="A203" s="3234" t="s">
        <v>304</v>
      </c>
      <c r="B203" s="3234" t="s">
        <v>3099</v>
      </c>
      <c r="C203" s="3234">
        <v>8130</v>
      </c>
      <c r="D203" s="3234">
        <v>8070</v>
      </c>
      <c r="E203" s="3234">
        <v>10820</v>
      </c>
      <c r="F203" s="3234">
        <v>1690</v>
      </c>
      <c r="G203" s="3247">
        <v>5100</v>
      </c>
    </row>
    <row r="204" spans="1:7" s="3223" customFormat="1" ht="14.25" customHeight="1">
      <c r="A204" s="3234" t="s">
        <v>304</v>
      </c>
      <c r="B204" s="3234" t="s">
        <v>2919</v>
      </c>
      <c r="C204" s="3234">
        <v>8350</v>
      </c>
      <c r="D204" s="3234">
        <v>8290</v>
      </c>
      <c r="E204" s="3234">
        <v>11080</v>
      </c>
      <c r="F204" s="3234">
        <v>1450</v>
      </c>
      <c r="G204" s="3247">
        <v>5240</v>
      </c>
    </row>
    <row r="205" spans="1:7" s="3223" customFormat="1" ht="14.25" customHeight="1">
      <c r="A205" s="3234" t="s">
        <v>304</v>
      </c>
      <c r="B205" s="3234" t="s">
        <v>2921</v>
      </c>
      <c r="C205" s="3234">
        <v>7190</v>
      </c>
      <c r="D205" s="3234">
        <v>7130</v>
      </c>
      <c r="E205" s="3234">
        <v>9490</v>
      </c>
      <c r="F205" s="3234">
        <v>1470</v>
      </c>
      <c r="G205" s="3247">
        <v>4510</v>
      </c>
    </row>
    <row r="206" spans="1:7" s="3223" customFormat="1" ht="14.25" customHeight="1">
      <c r="A206" s="3234" t="s">
        <v>304</v>
      </c>
      <c r="B206" s="3234" t="s">
        <v>2924</v>
      </c>
      <c r="C206" s="3234">
        <v>7000</v>
      </c>
      <c r="D206" s="3234">
        <v>6950</v>
      </c>
      <c r="E206" s="3234">
        <v>9170</v>
      </c>
      <c r="F206" s="3234">
        <v>1400</v>
      </c>
      <c r="G206" s="3247">
        <v>4380</v>
      </c>
    </row>
    <row r="207" spans="1:7" s="3223" customFormat="1" ht="14.25" customHeight="1">
      <c r="A207" s="3234" t="s">
        <v>304</v>
      </c>
      <c r="B207" s="3234" t="s">
        <v>2926</v>
      </c>
      <c r="C207" s="3234">
        <v>6950</v>
      </c>
      <c r="D207" s="3234">
        <v>6900</v>
      </c>
      <c r="E207" s="3234">
        <v>9110</v>
      </c>
      <c r="F207" s="3234">
        <v>1790</v>
      </c>
      <c r="G207" s="3247">
        <v>4360</v>
      </c>
    </row>
    <row r="208" spans="1:7" s="3223" customFormat="1" ht="14.25" customHeight="1">
      <c r="A208" s="3234" t="s">
        <v>304</v>
      </c>
      <c r="B208" s="3234" t="s">
        <v>3100</v>
      </c>
      <c r="C208" s="3234">
        <v>9470</v>
      </c>
      <c r="D208" s="3234">
        <v>9410</v>
      </c>
      <c r="E208" s="3234">
        <v>12330</v>
      </c>
      <c r="F208" s="3234">
        <v>1770</v>
      </c>
      <c r="G208" s="3247">
        <v>5940</v>
      </c>
    </row>
    <row r="209" spans="1:7" s="3223" customFormat="1" ht="14.25" customHeight="1">
      <c r="A209" s="3234" t="s">
        <v>304</v>
      </c>
      <c r="B209" s="3234" t="s">
        <v>264</v>
      </c>
      <c r="C209" s="3234">
        <v>8740</v>
      </c>
      <c r="D209" s="3234">
        <v>8700</v>
      </c>
      <c r="E209" s="3234">
        <v>11500</v>
      </c>
      <c r="F209" s="3234">
        <v>1730</v>
      </c>
      <c r="G209" s="3247">
        <v>5490</v>
      </c>
    </row>
    <row r="210" spans="1:7" s="3223" customFormat="1" ht="14.25" customHeight="1">
      <c r="A210" s="3234" t="s">
        <v>304</v>
      </c>
      <c r="B210" s="3234" t="s">
        <v>2936</v>
      </c>
      <c r="C210" s="3234">
        <v>8710</v>
      </c>
      <c r="D210" s="3234">
        <v>8660</v>
      </c>
      <c r="E210" s="3234">
        <v>11440</v>
      </c>
      <c r="F210" s="3234">
        <v>1740</v>
      </c>
      <c r="G210" s="3247">
        <v>5470</v>
      </c>
    </row>
    <row r="211" spans="1:7" s="3223" customFormat="1" ht="14.25" customHeight="1">
      <c r="A211" s="3234" t="s">
        <v>304</v>
      </c>
      <c r="B211" s="3234" t="s">
        <v>3101</v>
      </c>
      <c r="C211" s="3234">
        <v>9480</v>
      </c>
      <c r="D211" s="3234">
        <v>9430</v>
      </c>
      <c r="E211" s="3234">
        <v>12360</v>
      </c>
      <c r="F211" s="3234">
        <v>1820</v>
      </c>
      <c r="G211" s="3247">
        <v>5950</v>
      </c>
    </row>
    <row r="212" spans="1:7" s="3223" customFormat="1" ht="14.25" customHeight="1">
      <c r="A212" s="3234" t="s">
        <v>304</v>
      </c>
      <c r="B212" s="3234" t="s">
        <v>285</v>
      </c>
      <c r="C212" s="3234">
        <v>9070</v>
      </c>
      <c r="D212" s="3234">
        <v>9020</v>
      </c>
      <c r="E212" s="3234">
        <v>11720</v>
      </c>
      <c r="F212" s="3234">
        <v>1850</v>
      </c>
      <c r="G212" s="3247">
        <v>5700</v>
      </c>
    </row>
    <row r="213" spans="1:7" s="3223" customFormat="1" ht="14.25" customHeight="1">
      <c r="A213" s="3234" t="s">
        <v>304</v>
      </c>
      <c r="B213" s="3234" t="s">
        <v>288</v>
      </c>
      <c r="C213" s="3234">
        <v>9030</v>
      </c>
      <c r="D213" s="3234">
        <v>8980</v>
      </c>
      <c r="E213" s="3234">
        <v>11670</v>
      </c>
      <c r="F213" s="3234">
        <v>1690</v>
      </c>
      <c r="G213" s="3247">
        <v>5670</v>
      </c>
    </row>
    <row r="214" spans="1:7" s="3223" customFormat="1" ht="14.25" customHeight="1">
      <c r="A214" s="3234" t="s">
        <v>304</v>
      </c>
      <c r="B214" s="3234" t="s">
        <v>3102</v>
      </c>
      <c r="C214" s="3234">
        <v>8090</v>
      </c>
      <c r="D214" s="3234">
        <v>8030</v>
      </c>
      <c r="E214" s="3234">
        <v>10780</v>
      </c>
      <c r="F214" s="3234">
        <v>1570</v>
      </c>
      <c r="G214" s="3247">
        <v>5070</v>
      </c>
    </row>
    <row r="215" spans="1:7" s="3223" customFormat="1" ht="14.25" customHeight="1">
      <c r="A215" s="3234" t="s">
        <v>304</v>
      </c>
      <c r="B215" s="3234" t="s">
        <v>3103</v>
      </c>
      <c r="C215" s="3234">
        <v>7950</v>
      </c>
      <c r="D215" s="3234">
        <v>7900</v>
      </c>
      <c r="E215" s="3234">
        <v>10560</v>
      </c>
      <c r="F215" s="3234">
        <v>1630</v>
      </c>
      <c r="G215" s="3247">
        <v>4990</v>
      </c>
    </row>
    <row r="216" spans="1:7" s="3223" customFormat="1" ht="14.25" customHeight="1">
      <c r="A216" s="3234" t="s">
        <v>304</v>
      </c>
      <c r="B216" s="3234" t="s">
        <v>3104</v>
      </c>
      <c r="C216" s="3234">
        <v>8490</v>
      </c>
      <c r="D216" s="3234">
        <v>8440</v>
      </c>
      <c r="E216" s="3234">
        <v>11260</v>
      </c>
      <c r="F216" s="3234">
        <v>1690</v>
      </c>
      <c r="G216" s="3247">
        <v>5330</v>
      </c>
    </row>
    <row r="217" spans="1:7" s="3223" customFormat="1" ht="14.25" customHeight="1">
      <c r="A217" s="3234" t="s">
        <v>304</v>
      </c>
      <c r="B217" s="3234" t="s">
        <v>2969</v>
      </c>
      <c r="C217" s="3234">
        <v>8200</v>
      </c>
      <c r="D217" s="3234">
        <v>8150</v>
      </c>
      <c r="E217" s="3234">
        <v>10910</v>
      </c>
      <c r="F217" s="3234">
        <v>1670</v>
      </c>
      <c r="G217" s="3247">
        <v>5150</v>
      </c>
    </row>
    <row r="218" spans="1:7" s="3223" customFormat="1" ht="14.25" customHeight="1">
      <c r="A218" s="3234" t="s">
        <v>304</v>
      </c>
      <c r="B218" s="3234" t="s">
        <v>3105</v>
      </c>
      <c r="C218" s="3234"/>
      <c r="D218" s="3234"/>
      <c r="E218" s="3234"/>
      <c r="F218" s="3234">
        <v>2040</v>
      </c>
      <c r="G218" s="3247"/>
    </row>
    <row r="219" spans="1:7" s="3223" customFormat="1" ht="14.25" customHeight="1">
      <c r="A219" s="3234" t="s">
        <v>304</v>
      </c>
      <c r="B219" s="3234" t="s">
        <v>3106</v>
      </c>
      <c r="C219" s="3234"/>
      <c r="D219" s="3234"/>
      <c r="E219" s="3234"/>
      <c r="F219" s="3234">
        <v>2040</v>
      </c>
      <c r="G219" s="3247"/>
    </row>
    <row r="220" spans="1:7" s="3223" customFormat="1" ht="14.25" customHeight="1">
      <c r="A220" s="3234" t="s">
        <v>304</v>
      </c>
      <c r="B220" s="3234" t="s">
        <v>3107</v>
      </c>
      <c r="C220" s="3234"/>
      <c r="D220" s="3234"/>
      <c r="E220" s="3234"/>
      <c r="F220" s="3234">
        <v>2040</v>
      </c>
      <c r="G220" s="3247"/>
    </row>
    <row r="221" spans="1:7" s="3223" customFormat="1" ht="14.25" customHeight="1">
      <c r="A221" s="3234" t="s">
        <v>304</v>
      </c>
      <c r="B221" s="3234" t="s">
        <v>3108</v>
      </c>
      <c r="C221" s="3234"/>
      <c r="D221" s="3234"/>
      <c r="E221" s="3234"/>
      <c r="F221" s="3234">
        <v>2040</v>
      </c>
      <c r="G221" s="3247"/>
    </row>
    <row r="222" spans="1:7" s="3223" customFormat="1" ht="14.25" customHeight="1">
      <c r="A222" s="3234" t="s">
        <v>304</v>
      </c>
      <c r="B222" s="3234" t="s">
        <v>3109</v>
      </c>
      <c r="C222" s="3234"/>
      <c r="D222" s="3234"/>
      <c r="E222" s="3234"/>
      <c r="F222" s="3234">
        <v>2040</v>
      </c>
      <c r="G222" s="3247"/>
    </row>
    <row r="223" spans="1:7" s="3223" customFormat="1" ht="14.25" customHeight="1">
      <c r="A223" s="3234" t="s">
        <v>304</v>
      </c>
      <c r="B223" s="3234" t="s">
        <v>3110</v>
      </c>
      <c r="C223" s="3234"/>
      <c r="D223" s="3234"/>
      <c r="E223" s="3234"/>
      <c r="F223" s="3234">
        <v>1930</v>
      </c>
      <c r="G223" s="3247"/>
    </row>
    <row r="224" spans="1:7" s="3223" customFormat="1" ht="14.25" customHeight="1">
      <c r="A224" s="3234" t="s">
        <v>304</v>
      </c>
      <c r="B224" s="3234" t="s">
        <v>3111</v>
      </c>
      <c r="C224" s="3234"/>
      <c r="D224" s="3234"/>
      <c r="E224" s="3234"/>
      <c r="F224" s="3234">
        <v>1930</v>
      </c>
      <c r="G224" s="3247"/>
    </row>
    <row r="225" spans="1:7" s="3223" customFormat="1" ht="14.25" customHeight="1">
      <c r="A225" s="3234" t="s">
        <v>304</v>
      </c>
      <c r="B225" s="3234" t="s">
        <v>3112</v>
      </c>
      <c r="C225" s="3234"/>
      <c r="D225" s="3234"/>
      <c r="E225" s="3234"/>
      <c r="F225" s="3234">
        <v>1930</v>
      </c>
      <c r="G225" s="3247"/>
    </row>
    <row r="226" spans="1:7" s="3223" customFormat="1" ht="14.25" customHeight="1">
      <c r="A226" s="3234" t="s">
        <v>304</v>
      </c>
      <c r="B226" s="3234" t="s">
        <v>3113</v>
      </c>
      <c r="C226" s="3234"/>
      <c r="D226" s="3234"/>
      <c r="E226" s="3234"/>
      <c r="F226" s="3234">
        <v>1700</v>
      </c>
      <c r="G226" s="3247"/>
    </row>
    <row r="227" spans="1:7" s="3223" customFormat="1" ht="14.25" customHeight="1">
      <c r="A227" s="3234" t="s">
        <v>304</v>
      </c>
      <c r="B227" s="3234" t="s">
        <v>3114</v>
      </c>
      <c r="C227" s="3234"/>
      <c r="D227" s="3234"/>
      <c r="E227" s="3234"/>
      <c r="F227" s="3234">
        <v>1520</v>
      </c>
      <c r="G227" s="3247"/>
    </row>
    <row r="228" spans="1:7" s="3223" customFormat="1" ht="14.25" customHeight="1">
      <c r="A228" s="3234" t="s">
        <v>304</v>
      </c>
      <c r="B228" s="3234" t="s">
        <v>3115</v>
      </c>
      <c r="C228" s="3234"/>
      <c r="D228" s="3234"/>
      <c r="E228" s="3234"/>
      <c r="F228" s="3234">
        <v>1520</v>
      </c>
      <c r="G228" s="3247"/>
    </row>
    <row r="229" spans="1:7" s="3223" customFormat="1" ht="14.25" customHeight="1">
      <c r="A229" s="3234" t="s">
        <v>304</v>
      </c>
      <c r="B229" s="3234" t="s">
        <v>3032</v>
      </c>
      <c r="C229" s="3234"/>
      <c r="D229" s="3234"/>
      <c r="E229" s="3234"/>
      <c r="F229" s="3234">
        <v>1520</v>
      </c>
      <c r="G229" s="3247"/>
    </row>
    <row r="230" spans="1:7" s="3223" customFormat="1" ht="14.25" customHeight="1">
      <c r="A230" s="3234" t="s">
        <v>304</v>
      </c>
      <c r="B230" s="3234" t="s">
        <v>3116</v>
      </c>
      <c r="C230" s="3234"/>
      <c r="D230" s="3234"/>
      <c r="E230" s="3234"/>
      <c r="F230" s="3234">
        <v>1820</v>
      </c>
      <c r="G230" s="3247"/>
    </row>
    <row r="231" spans="1:7" s="3223" customFormat="1" ht="14.25" customHeight="1">
      <c r="A231" s="3234" t="s">
        <v>304</v>
      </c>
      <c r="B231" s="3234" t="s">
        <v>3117</v>
      </c>
      <c r="C231" s="3234"/>
      <c r="D231" s="3234"/>
      <c r="E231" s="3234"/>
      <c r="F231" s="3234">
        <v>1760</v>
      </c>
      <c r="G231" s="3247"/>
    </row>
    <row r="232" spans="1:7" s="3223" customFormat="1" ht="14.25" customHeight="1">
      <c r="A232" s="3234" t="s">
        <v>304</v>
      </c>
      <c r="B232" s="3234" t="s">
        <v>3118</v>
      </c>
      <c r="C232" s="3234"/>
      <c r="D232" s="3234"/>
      <c r="E232" s="3234"/>
      <c r="F232" s="3234">
        <v>1840</v>
      </c>
      <c r="G232" s="3247"/>
    </row>
    <row r="233" spans="1:7" s="3223" customFormat="1" ht="14.25" customHeight="1" thickBot="1">
      <c r="A233" s="3248" t="s">
        <v>304</v>
      </c>
      <c r="B233" s="3241" t="s">
        <v>3049</v>
      </c>
      <c r="C233" s="3241"/>
      <c r="D233" s="3241"/>
      <c r="E233" s="3241"/>
      <c r="F233" s="3241">
        <v>1770</v>
      </c>
      <c r="G233" s="3249"/>
    </row>
    <row r="234" spans="1:7" s="3223" customFormat="1" ht="14.25" customHeight="1">
      <c r="A234" s="3239" t="s">
        <v>305</v>
      </c>
      <c r="B234" s="3230" t="s">
        <v>3119</v>
      </c>
      <c r="C234" s="3234">
        <v>6980</v>
      </c>
      <c r="D234" s="3234">
        <v>6970</v>
      </c>
      <c r="E234" s="3234">
        <v>8720</v>
      </c>
      <c r="F234" s="3234">
        <v>1350</v>
      </c>
      <c r="G234" s="3234">
        <v>4280</v>
      </c>
    </row>
    <row r="235" spans="1:7" s="3223" customFormat="1" ht="14.25" customHeight="1">
      <c r="A235" s="3234" t="s">
        <v>305</v>
      </c>
      <c r="B235" s="3234" t="s">
        <v>134</v>
      </c>
      <c r="C235" s="3234">
        <v>7620</v>
      </c>
      <c r="D235" s="3234">
        <v>7580</v>
      </c>
      <c r="E235" s="3234">
        <v>9360</v>
      </c>
      <c r="F235" s="3234">
        <v>1490</v>
      </c>
      <c r="G235" s="3234">
        <v>4650</v>
      </c>
    </row>
    <row r="236" spans="1:7" s="3223" customFormat="1" ht="14.25" customHeight="1">
      <c r="A236" s="3234" t="s">
        <v>305</v>
      </c>
      <c r="B236" s="3234" t="s">
        <v>143</v>
      </c>
      <c r="C236" s="3234">
        <v>6650</v>
      </c>
      <c r="D236" s="3234">
        <v>6630</v>
      </c>
      <c r="E236" s="3234">
        <v>8330</v>
      </c>
      <c r="F236" s="3234">
        <v>1250</v>
      </c>
      <c r="G236" s="3234">
        <v>4070</v>
      </c>
    </row>
    <row r="237" spans="1:7" s="3223" customFormat="1" ht="14.25" customHeight="1">
      <c r="A237" s="3234" t="s">
        <v>305</v>
      </c>
      <c r="B237" s="3234" t="s">
        <v>152</v>
      </c>
      <c r="C237" s="3234">
        <v>5850</v>
      </c>
      <c r="D237" s="3234">
        <v>5820</v>
      </c>
      <c r="E237" s="3234">
        <v>7260</v>
      </c>
      <c r="F237" s="3234">
        <v>1140</v>
      </c>
      <c r="G237" s="3234">
        <v>3570</v>
      </c>
    </row>
    <row r="238" spans="1:7" s="3223" customFormat="1" ht="14.25" customHeight="1">
      <c r="A238" s="3234" t="s">
        <v>305</v>
      </c>
      <c r="B238" s="3234" t="s">
        <v>2890</v>
      </c>
      <c r="C238" s="3234">
        <v>6920</v>
      </c>
      <c r="D238" s="3234">
        <v>6890</v>
      </c>
      <c r="E238" s="3234">
        <v>8640</v>
      </c>
      <c r="F238" s="3234">
        <v>1310</v>
      </c>
      <c r="G238" s="3234">
        <v>4230</v>
      </c>
    </row>
    <row r="239" spans="1:7" s="3223" customFormat="1" ht="14.25" customHeight="1">
      <c r="A239" s="3234" t="s">
        <v>305</v>
      </c>
      <c r="B239" s="3234" t="s">
        <v>3120</v>
      </c>
      <c r="C239" s="3234">
        <v>6780</v>
      </c>
      <c r="D239" s="3234">
        <v>6750</v>
      </c>
      <c r="E239" s="3234">
        <v>8440</v>
      </c>
      <c r="F239" s="3234">
        <v>1160</v>
      </c>
      <c r="G239" s="3234">
        <v>4140</v>
      </c>
    </row>
    <row r="240" spans="1:7" s="3223" customFormat="1" ht="14.25" customHeight="1">
      <c r="A240" s="3234" t="s">
        <v>305</v>
      </c>
      <c r="B240" s="3234" t="s">
        <v>3121</v>
      </c>
      <c r="C240" s="3234">
        <v>5420</v>
      </c>
      <c r="D240" s="3234">
        <v>5380</v>
      </c>
      <c r="E240" s="3234">
        <v>6640</v>
      </c>
      <c r="F240" s="3234">
        <v>1020</v>
      </c>
      <c r="G240" s="3234">
        <v>3300</v>
      </c>
    </row>
    <row r="241" spans="1:7" s="3223" customFormat="1" ht="14.25" customHeight="1">
      <c r="A241" s="3234" t="s">
        <v>305</v>
      </c>
      <c r="B241" s="3234" t="s">
        <v>3122</v>
      </c>
      <c r="C241" s="3234">
        <v>6660</v>
      </c>
      <c r="D241" s="3234">
        <v>6640</v>
      </c>
      <c r="E241" s="3234">
        <v>8340</v>
      </c>
      <c r="F241" s="3234">
        <v>1130</v>
      </c>
      <c r="G241" s="3234">
        <v>4080</v>
      </c>
    </row>
    <row r="242" spans="1:7" s="3223" customFormat="1" ht="14.25" customHeight="1">
      <c r="A242" s="3234" t="s">
        <v>305</v>
      </c>
      <c r="B242" s="3234" t="s">
        <v>181</v>
      </c>
      <c r="C242" s="3234">
        <v>6580</v>
      </c>
      <c r="D242" s="3234">
        <v>6550</v>
      </c>
      <c r="E242" s="3234">
        <v>8090</v>
      </c>
      <c r="F242" s="3234">
        <v>1240</v>
      </c>
      <c r="G242" s="3234">
        <v>4020</v>
      </c>
    </row>
    <row r="243" spans="1:7" s="3223" customFormat="1" ht="14.25" customHeight="1">
      <c r="A243" s="3234" t="s">
        <v>305</v>
      </c>
      <c r="B243" s="3234" t="s">
        <v>191</v>
      </c>
      <c r="C243" s="3234">
        <v>6000</v>
      </c>
      <c r="D243" s="3234">
        <v>5970</v>
      </c>
      <c r="E243" s="3234">
        <v>7370</v>
      </c>
      <c r="F243" s="3234">
        <v>1070</v>
      </c>
      <c r="G243" s="3234">
        <v>3670</v>
      </c>
    </row>
    <row r="244" spans="1:7" s="3223" customFormat="1" ht="14.25" customHeight="1">
      <c r="A244" s="3234" t="s">
        <v>305</v>
      </c>
      <c r="B244" s="3234" t="s">
        <v>3123</v>
      </c>
      <c r="C244" s="3234">
        <v>5840</v>
      </c>
      <c r="D244" s="3234">
        <v>5810</v>
      </c>
      <c r="E244" s="3234">
        <v>7240</v>
      </c>
      <c r="F244" s="3234">
        <v>1100</v>
      </c>
      <c r="G244" s="3234">
        <v>3560</v>
      </c>
    </row>
    <row r="245" spans="1:7" s="3223" customFormat="1" ht="14.25" customHeight="1">
      <c r="A245" s="3234" t="s">
        <v>305</v>
      </c>
      <c r="B245" s="3234" t="s">
        <v>206</v>
      </c>
      <c r="C245" s="3234">
        <v>6040</v>
      </c>
      <c r="D245" s="3234">
        <v>6000</v>
      </c>
      <c r="E245" s="3234">
        <v>7420</v>
      </c>
      <c r="F245" s="3234">
        <v>1140</v>
      </c>
      <c r="G245" s="3234">
        <v>3690</v>
      </c>
    </row>
    <row r="246" spans="1:7" s="3223" customFormat="1" ht="14.25" customHeight="1">
      <c r="A246" s="3234" t="s">
        <v>305</v>
      </c>
      <c r="B246" s="3234" t="s">
        <v>213</v>
      </c>
      <c r="C246" s="3234">
        <v>5890</v>
      </c>
      <c r="D246" s="3234">
        <v>5860</v>
      </c>
      <c r="E246" s="3234">
        <v>7300</v>
      </c>
      <c r="F246" s="3234">
        <v>1110</v>
      </c>
      <c r="G246" s="3234">
        <v>3590</v>
      </c>
    </row>
    <row r="247" spans="1:7" s="3223" customFormat="1" ht="14.25" customHeight="1">
      <c r="A247" s="3234" t="s">
        <v>305</v>
      </c>
      <c r="B247" s="3234" t="s">
        <v>3124</v>
      </c>
      <c r="C247" s="3234">
        <v>6480</v>
      </c>
      <c r="D247" s="3234">
        <v>6450</v>
      </c>
      <c r="E247" s="3234">
        <v>8010</v>
      </c>
      <c r="F247" s="3234">
        <v>1170</v>
      </c>
      <c r="G247" s="3234">
        <v>3960</v>
      </c>
    </row>
    <row r="248" spans="1:7" s="3223" customFormat="1" ht="14.25" customHeight="1">
      <c r="A248" s="3234" t="s">
        <v>305</v>
      </c>
      <c r="B248" s="3234" t="s">
        <v>227</v>
      </c>
      <c r="C248" s="3234">
        <v>6860</v>
      </c>
      <c r="D248" s="3234">
        <v>6840</v>
      </c>
      <c r="E248" s="3234">
        <v>8520</v>
      </c>
      <c r="F248" s="3234">
        <v>1240</v>
      </c>
      <c r="G248" s="3234">
        <v>4200</v>
      </c>
    </row>
    <row r="249" spans="1:7" s="3223" customFormat="1" ht="14.25" customHeight="1">
      <c r="A249" s="3234" t="s">
        <v>305</v>
      </c>
      <c r="B249" s="3234" t="s">
        <v>3125</v>
      </c>
      <c r="C249" s="3234">
        <v>7180</v>
      </c>
      <c r="D249" s="3234">
        <v>7140</v>
      </c>
      <c r="E249" s="3234">
        <v>8900</v>
      </c>
      <c r="F249" s="3234">
        <v>1350</v>
      </c>
      <c r="G249" s="3234">
        <v>4380</v>
      </c>
    </row>
    <row r="250" spans="1:7" s="3223" customFormat="1" ht="14.25" customHeight="1">
      <c r="A250" s="3234" t="s">
        <v>305</v>
      </c>
      <c r="B250" s="3234" t="s">
        <v>241</v>
      </c>
      <c r="C250" s="3234">
        <v>6880</v>
      </c>
      <c r="D250" s="3234">
        <v>6860</v>
      </c>
      <c r="E250" s="3234">
        <v>8550</v>
      </c>
      <c r="F250" s="3234">
        <v>1220</v>
      </c>
      <c r="G250" s="3234">
        <v>4210</v>
      </c>
    </row>
    <row r="251" spans="1:7" s="3223" customFormat="1" ht="14.25" customHeight="1">
      <c r="A251" s="3234" t="s">
        <v>305</v>
      </c>
      <c r="B251" s="3234" t="s">
        <v>249</v>
      </c>
      <c r="C251" s="3234"/>
      <c r="D251" s="3234"/>
      <c r="E251" s="3234"/>
      <c r="F251" s="3234">
        <v>1100</v>
      </c>
      <c r="G251" s="3234"/>
    </row>
    <row r="252" spans="1:7" s="3223" customFormat="1" ht="14.25" customHeight="1">
      <c r="A252" s="3234" t="s">
        <v>305</v>
      </c>
      <c r="B252" s="3234" t="s">
        <v>3126</v>
      </c>
      <c r="C252" s="3234">
        <v>7240</v>
      </c>
      <c r="D252" s="3234">
        <v>7200</v>
      </c>
      <c r="E252" s="3234">
        <v>9040</v>
      </c>
      <c r="F252" s="3234">
        <v>1380</v>
      </c>
      <c r="G252" s="3234">
        <v>4420</v>
      </c>
    </row>
    <row r="253" spans="1:7" s="3223" customFormat="1" ht="14.25" customHeight="1">
      <c r="A253" s="3234" t="s">
        <v>305</v>
      </c>
      <c r="B253" s="3234" t="s">
        <v>283</v>
      </c>
      <c r="C253" s="3234">
        <v>6670</v>
      </c>
      <c r="D253" s="3234">
        <v>6650</v>
      </c>
      <c r="E253" s="3234">
        <v>8350</v>
      </c>
      <c r="F253" s="3234">
        <v>1260</v>
      </c>
      <c r="G253" s="3234">
        <v>4080</v>
      </c>
    </row>
    <row r="254" spans="1:7" s="3223" customFormat="1" ht="14.25" customHeight="1">
      <c r="A254" s="3234" t="s">
        <v>305</v>
      </c>
      <c r="B254" s="3234" t="s">
        <v>286</v>
      </c>
      <c r="C254" s="3234">
        <v>7630</v>
      </c>
      <c r="D254" s="3234">
        <v>7590</v>
      </c>
      <c r="E254" s="3234">
        <v>9380</v>
      </c>
      <c r="F254" s="3234">
        <v>1320</v>
      </c>
      <c r="G254" s="3234">
        <v>4660</v>
      </c>
    </row>
    <row r="255" spans="1:7" s="3223" customFormat="1" ht="14.25" customHeight="1">
      <c r="A255" s="3234" t="s">
        <v>305</v>
      </c>
      <c r="B255" s="3234" t="s">
        <v>289</v>
      </c>
      <c r="C255" s="3234">
        <v>6940</v>
      </c>
      <c r="D255" s="3234">
        <v>6890</v>
      </c>
      <c r="E255" s="3234">
        <v>8650</v>
      </c>
      <c r="F255" s="3234">
        <v>1210</v>
      </c>
      <c r="G255" s="3234">
        <v>4230</v>
      </c>
    </row>
    <row r="256" spans="1:7" s="3223" customFormat="1" ht="14.25" customHeight="1">
      <c r="A256" s="3234" t="s">
        <v>305</v>
      </c>
      <c r="B256" s="3234" t="s">
        <v>3127</v>
      </c>
      <c r="C256" s="3234">
        <v>7520</v>
      </c>
      <c r="D256" s="3234">
        <v>7490</v>
      </c>
      <c r="E256" s="3234">
        <v>9240</v>
      </c>
      <c r="F256" s="3234">
        <v>1270</v>
      </c>
      <c r="G256" s="3234">
        <v>4590</v>
      </c>
    </row>
    <row r="257" spans="1:7" s="3223" customFormat="1" ht="14.25" customHeight="1">
      <c r="A257" s="3234" t="s">
        <v>305</v>
      </c>
      <c r="B257" s="3234" t="s">
        <v>275</v>
      </c>
      <c r="C257" s="3234">
        <v>6280</v>
      </c>
      <c r="D257" s="3234">
        <v>6230</v>
      </c>
      <c r="E257" s="3234">
        <v>7740</v>
      </c>
      <c r="F257" s="3234">
        <v>1080</v>
      </c>
      <c r="G257" s="3234">
        <v>3830</v>
      </c>
    </row>
    <row r="258" spans="1:7" s="3223" customFormat="1" ht="14.25" customHeight="1">
      <c r="A258" s="3234" t="s">
        <v>305</v>
      </c>
      <c r="B258" s="3234" t="s">
        <v>2952</v>
      </c>
      <c r="C258" s="3234">
        <v>6190</v>
      </c>
      <c r="D258" s="3234">
        <v>6160</v>
      </c>
      <c r="E258" s="3234">
        <v>7680</v>
      </c>
      <c r="F258" s="3234">
        <v>1170</v>
      </c>
      <c r="G258" s="3234">
        <v>3780</v>
      </c>
    </row>
    <row r="259" spans="1:7" s="3223" customFormat="1" ht="14.25" customHeight="1">
      <c r="A259" s="3234" t="s">
        <v>305</v>
      </c>
      <c r="B259" s="3234" t="s">
        <v>3128</v>
      </c>
      <c r="C259" s="3234">
        <v>7610</v>
      </c>
      <c r="D259" s="3234">
        <v>7570</v>
      </c>
      <c r="E259" s="3234">
        <v>9350</v>
      </c>
      <c r="F259" s="3234">
        <v>1350</v>
      </c>
      <c r="G259" s="3234">
        <v>4650</v>
      </c>
    </row>
    <row r="260" spans="1:7" s="3223" customFormat="1" ht="14.25" customHeight="1">
      <c r="A260" s="3234" t="s">
        <v>305</v>
      </c>
      <c r="B260" s="3234" t="s">
        <v>3129</v>
      </c>
      <c r="C260" s="3234">
        <v>6920</v>
      </c>
      <c r="D260" s="3234">
        <v>6880</v>
      </c>
      <c r="E260" s="3234">
        <v>8380</v>
      </c>
      <c r="F260" s="3234">
        <v>1160</v>
      </c>
      <c r="G260" s="3234">
        <v>4220</v>
      </c>
    </row>
    <row r="261" spans="1:7" s="3223" customFormat="1" ht="14.25" customHeight="1">
      <c r="A261" s="3234" t="s">
        <v>305</v>
      </c>
      <c r="B261" s="3234" t="s">
        <v>3130</v>
      </c>
      <c r="C261" s="3234">
        <v>6850</v>
      </c>
      <c r="D261" s="3234">
        <v>6810</v>
      </c>
      <c r="E261" s="3234">
        <v>8290</v>
      </c>
      <c r="F261" s="3234">
        <v>1130</v>
      </c>
      <c r="G261" s="3234">
        <v>4180</v>
      </c>
    </row>
    <row r="262" spans="1:7" s="3223" customFormat="1" ht="14.25" customHeight="1">
      <c r="A262" s="3234" t="s">
        <v>305</v>
      </c>
      <c r="B262" s="3234" t="s">
        <v>3131</v>
      </c>
      <c r="C262" s="3234">
        <v>5860</v>
      </c>
      <c r="D262" s="3234">
        <v>5820</v>
      </c>
      <c r="E262" s="3234">
        <v>7640</v>
      </c>
      <c r="F262" s="3234">
        <v>1070</v>
      </c>
      <c r="G262" s="3234">
        <v>3570</v>
      </c>
    </row>
    <row r="263" spans="1:7" s="3223" customFormat="1" ht="14.25" customHeight="1">
      <c r="A263" s="3234" t="s">
        <v>305</v>
      </c>
      <c r="B263" s="3234" t="s">
        <v>3132</v>
      </c>
      <c r="C263" s="3234">
        <v>5870</v>
      </c>
      <c r="D263" s="3234">
        <v>5840</v>
      </c>
      <c r="E263" s="3234">
        <v>7270</v>
      </c>
      <c r="F263" s="3234">
        <v>1190</v>
      </c>
      <c r="G263" s="3234">
        <v>3580</v>
      </c>
    </row>
    <row r="264" spans="1:7" s="3223" customFormat="1" ht="14.25" customHeight="1">
      <c r="A264" s="3234" t="s">
        <v>305</v>
      </c>
      <c r="B264" s="3234" t="s">
        <v>299</v>
      </c>
      <c r="C264" s="3234">
        <v>6190</v>
      </c>
      <c r="D264" s="3234">
        <v>6150</v>
      </c>
      <c r="E264" s="3234">
        <v>7660</v>
      </c>
      <c r="F264" s="3234">
        <v>1160</v>
      </c>
      <c r="G264" s="3234">
        <v>3770</v>
      </c>
    </row>
    <row r="265" spans="1:7" s="3223" customFormat="1" ht="14.25" customHeight="1">
      <c r="A265" s="3234" t="s">
        <v>305</v>
      </c>
      <c r="B265" s="3234" t="s">
        <v>3133</v>
      </c>
      <c r="C265" s="3234"/>
      <c r="D265" s="3234"/>
      <c r="E265" s="3234"/>
      <c r="F265" s="3234">
        <v>1500</v>
      </c>
      <c r="G265" s="3234"/>
    </row>
    <row r="266" spans="1:7" s="3223" customFormat="1" ht="14.25" customHeight="1">
      <c r="A266" s="3234" t="s">
        <v>305</v>
      </c>
      <c r="B266" s="3234" t="s">
        <v>3134</v>
      </c>
      <c r="C266" s="3234"/>
      <c r="D266" s="3234"/>
      <c r="E266" s="3234"/>
      <c r="F266" s="3234">
        <v>1500</v>
      </c>
      <c r="G266" s="3234"/>
    </row>
    <row r="267" spans="1:7" s="3223" customFormat="1" ht="14.25" customHeight="1">
      <c r="A267" s="3234" t="s">
        <v>305</v>
      </c>
      <c r="B267" s="3234" t="s">
        <v>3135</v>
      </c>
      <c r="C267" s="3234"/>
      <c r="D267" s="3234"/>
      <c r="E267" s="3234"/>
      <c r="F267" s="3234">
        <v>1500</v>
      </c>
      <c r="G267" s="3234"/>
    </row>
    <row r="268" spans="1:7" s="3223" customFormat="1" ht="14.25" customHeight="1">
      <c r="A268" s="3234" t="s">
        <v>305</v>
      </c>
      <c r="B268" s="3234" t="s">
        <v>3136</v>
      </c>
      <c r="C268" s="3234"/>
      <c r="D268" s="3234"/>
      <c r="E268" s="3234"/>
      <c r="F268" s="3234">
        <v>1290</v>
      </c>
      <c r="G268" s="3234"/>
    </row>
    <row r="269" spans="1:7" s="3223" customFormat="1" ht="14.25" customHeight="1">
      <c r="A269" s="3234" t="s">
        <v>305</v>
      </c>
      <c r="B269" s="3234" t="s">
        <v>3137</v>
      </c>
      <c r="C269" s="3234"/>
      <c r="D269" s="3234"/>
      <c r="E269" s="3234"/>
      <c r="F269" s="3234">
        <v>1150</v>
      </c>
      <c r="G269" s="3234"/>
    </row>
    <row r="270" spans="1:7" s="3223" customFormat="1" ht="14.25" customHeight="1">
      <c r="A270" s="3234" t="s">
        <v>305</v>
      </c>
      <c r="B270" s="3234" t="s">
        <v>3138</v>
      </c>
      <c r="C270" s="3234"/>
      <c r="D270" s="3234"/>
      <c r="E270" s="3234"/>
      <c r="F270" s="3234">
        <v>1380</v>
      </c>
      <c r="G270" s="3234"/>
    </row>
    <row r="271" spans="1:7" s="3223" customFormat="1" ht="14.25" customHeight="1">
      <c r="A271" s="3234" t="s">
        <v>305</v>
      </c>
      <c r="B271" s="3234" t="s">
        <v>3139</v>
      </c>
      <c r="C271" s="3234"/>
      <c r="D271" s="3234"/>
      <c r="E271" s="3234"/>
      <c r="F271" s="3234">
        <v>1460</v>
      </c>
      <c r="G271" s="3234"/>
    </row>
    <row r="272" spans="1:7" s="3223" customFormat="1" ht="14.25" customHeight="1">
      <c r="A272" s="3234" t="s">
        <v>305</v>
      </c>
      <c r="B272" s="3234" t="s">
        <v>3140</v>
      </c>
      <c r="C272" s="3234"/>
      <c r="D272" s="3234"/>
      <c r="E272" s="3234"/>
      <c r="F272" s="3234">
        <v>1460</v>
      </c>
      <c r="G272" s="3234"/>
    </row>
    <row r="273" spans="1:7" s="3223" customFormat="1" ht="14.25" customHeight="1">
      <c r="A273" s="3234" t="s">
        <v>305</v>
      </c>
      <c r="B273" s="3234" t="s">
        <v>3033</v>
      </c>
      <c r="C273" s="3234"/>
      <c r="D273" s="3234"/>
      <c r="E273" s="3234"/>
      <c r="F273" s="3234">
        <v>1490</v>
      </c>
      <c r="G273" s="3234"/>
    </row>
    <row r="274" spans="1:7" s="3223" customFormat="1" ht="14.25" customHeight="1">
      <c r="A274" s="3234" t="s">
        <v>305</v>
      </c>
      <c r="B274" s="3234" t="s">
        <v>3141</v>
      </c>
      <c r="C274" s="3234"/>
      <c r="D274" s="3234"/>
      <c r="E274" s="3234"/>
      <c r="F274" s="3234">
        <v>1490</v>
      </c>
      <c r="G274" s="3234"/>
    </row>
    <row r="275" spans="1:7" s="3223" customFormat="1" ht="14.25" customHeight="1">
      <c r="A275" s="3234" t="s">
        <v>305</v>
      </c>
      <c r="B275" s="3234" t="s">
        <v>3142</v>
      </c>
      <c r="C275" s="3234"/>
      <c r="D275" s="3234"/>
      <c r="E275" s="3234"/>
      <c r="F275" s="3234">
        <v>1220</v>
      </c>
      <c r="G275" s="3234"/>
    </row>
    <row r="276" spans="1:7" s="3223" customFormat="1" ht="14.25" customHeight="1" thickBot="1">
      <c r="A276" s="3242" t="s">
        <v>305</v>
      </c>
      <c r="B276" s="3244" t="s">
        <v>3143</v>
      </c>
      <c r="C276" s="3245"/>
      <c r="D276" s="3245"/>
      <c r="E276" s="3245"/>
      <c r="F276" s="3245">
        <v>1380</v>
      </c>
      <c r="G276" s="3245"/>
    </row>
    <row r="277" spans="1:7" s="3223" customFormat="1" ht="14.25" customHeight="1">
      <c r="A277" s="3239" t="s">
        <v>306</v>
      </c>
      <c r="B277" s="3230" t="s">
        <v>3144</v>
      </c>
      <c r="C277" s="3230">
        <v>5790</v>
      </c>
      <c r="D277" s="3230">
        <v>5740</v>
      </c>
      <c r="E277" s="3230">
        <v>6730</v>
      </c>
      <c r="F277" s="3230">
        <v>1110</v>
      </c>
      <c r="G277" s="3246">
        <v>3460</v>
      </c>
    </row>
    <row r="278" spans="1:7" s="3223" customFormat="1" ht="14.25" customHeight="1">
      <c r="A278" s="3234" t="s">
        <v>306</v>
      </c>
      <c r="B278" s="3234" t="s">
        <v>135</v>
      </c>
      <c r="C278" s="3234">
        <v>5740</v>
      </c>
      <c r="D278" s="3234">
        <v>5670</v>
      </c>
      <c r="E278" s="3234">
        <v>6680</v>
      </c>
      <c r="F278" s="3234">
        <v>1070</v>
      </c>
      <c r="G278" s="3247">
        <v>3420</v>
      </c>
    </row>
    <row r="279" spans="1:7" s="3223" customFormat="1" ht="14.25" customHeight="1">
      <c r="A279" s="3234" t="s">
        <v>306</v>
      </c>
      <c r="B279" s="3234" t="s">
        <v>3145</v>
      </c>
      <c r="C279" s="3234">
        <v>4760</v>
      </c>
      <c r="D279" s="3234">
        <v>4720</v>
      </c>
      <c r="E279" s="3234">
        <v>5540</v>
      </c>
      <c r="F279" s="3234">
        <v>810</v>
      </c>
      <c r="G279" s="3247">
        <v>2850</v>
      </c>
    </row>
    <row r="280" spans="1:7" s="3223" customFormat="1" ht="14.25" customHeight="1">
      <c r="A280" s="3234" t="s">
        <v>306</v>
      </c>
      <c r="B280" s="3234" t="s">
        <v>3146</v>
      </c>
      <c r="C280" s="3234">
        <v>4010</v>
      </c>
      <c r="D280" s="3234">
        <v>3950</v>
      </c>
      <c r="E280" s="3234">
        <v>4710</v>
      </c>
      <c r="F280" s="3234">
        <v>800</v>
      </c>
      <c r="G280" s="3247">
        <v>2390</v>
      </c>
    </row>
    <row r="281" spans="1:7" s="3223" customFormat="1" ht="14.25" customHeight="1">
      <c r="A281" s="3234" t="s">
        <v>306</v>
      </c>
      <c r="B281" s="3234" t="s">
        <v>3147</v>
      </c>
      <c r="C281" s="3234">
        <v>4480</v>
      </c>
      <c r="D281" s="3234">
        <v>4420</v>
      </c>
      <c r="E281" s="3234">
        <v>5230</v>
      </c>
      <c r="F281" s="3234">
        <v>870</v>
      </c>
      <c r="G281" s="3247">
        <v>2660</v>
      </c>
    </row>
    <row r="282" spans="1:7" s="3223" customFormat="1" ht="14.25" customHeight="1">
      <c r="A282" s="3234" t="s">
        <v>306</v>
      </c>
      <c r="B282" s="3234" t="s">
        <v>3148</v>
      </c>
      <c r="C282" s="3234">
        <v>5360</v>
      </c>
      <c r="D282" s="3234">
        <v>5300</v>
      </c>
      <c r="E282" s="3234">
        <v>6190</v>
      </c>
      <c r="F282" s="3234">
        <v>950</v>
      </c>
      <c r="G282" s="3247">
        <v>3190</v>
      </c>
    </row>
    <row r="283" spans="1:7" s="3223" customFormat="1" ht="14.25" customHeight="1">
      <c r="A283" s="3234" t="s">
        <v>306</v>
      </c>
      <c r="B283" s="3234" t="s">
        <v>174</v>
      </c>
      <c r="C283" s="3234">
        <v>4950</v>
      </c>
      <c r="D283" s="3234">
        <v>4900</v>
      </c>
      <c r="E283" s="3234">
        <v>5720</v>
      </c>
      <c r="F283" s="3234">
        <v>920</v>
      </c>
      <c r="G283" s="3247">
        <v>2950</v>
      </c>
    </row>
    <row r="284" spans="1:7" s="3223" customFormat="1" ht="14.25" customHeight="1">
      <c r="A284" s="3234" t="s">
        <v>306</v>
      </c>
      <c r="B284" s="3234" t="s">
        <v>182</v>
      </c>
      <c r="C284" s="3234">
        <v>5610</v>
      </c>
      <c r="D284" s="3234">
        <v>5560</v>
      </c>
      <c r="E284" s="3234">
        <v>6520</v>
      </c>
      <c r="F284" s="3234">
        <v>1030</v>
      </c>
      <c r="G284" s="3247">
        <v>3360</v>
      </c>
    </row>
    <row r="285" spans="1:7" s="3223" customFormat="1" ht="14.25" customHeight="1">
      <c r="A285" s="3234" t="s">
        <v>306</v>
      </c>
      <c r="B285" s="3234" t="s">
        <v>192</v>
      </c>
      <c r="C285" s="3234">
        <v>5340</v>
      </c>
      <c r="D285" s="3234">
        <v>5290</v>
      </c>
      <c r="E285" s="3234">
        <v>6170</v>
      </c>
      <c r="F285" s="3234">
        <v>1080</v>
      </c>
      <c r="G285" s="3247">
        <v>3180</v>
      </c>
    </row>
    <row r="286" spans="1:7" s="3223" customFormat="1" ht="14.25" customHeight="1">
      <c r="A286" s="3234" t="s">
        <v>306</v>
      </c>
      <c r="B286" s="3234" t="s">
        <v>199</v>
      </c>
      <c r="C286" s="3234">
        <v>4890</v>
      </c>
      <c r="D286" s="3234">
        <v>4840</v>
      </c>
      <c r="E286" s="3234">
        <v>5640</v>
      </c>
      <c r="F286" s="3234">
        <v>960</v>
      </c>
      <c r="G286" s="3247">
        <v>2910</v>
      </c>
    </row>
    <row r="287" spans="1:7" s="3223" customFormat="1" ht="14.25" customHeight="1">
      <c r="A287" s="3234" t="s">
        <v>306</v>
      </c>
      <c r="B287" s="3234" t="s">
        <v>3149</v>
      </c>
      <c r="C287" s="3234">
        <v>4960</v>
      </c>
      <c r="D287" s="3234">
        <v>4920</v>
      </c>
      <c r="E287" s="3234">
        <v>5730</v>
      </c>
      <c r="F287" s="3234">
        <v>930</v>
      </c>
      <c r="G287" s="3247">
        <v>2960</v>
      </c>
    </row>
    <row r="288" spans="1:7" s="3223" customFormat="1" ht="14.25" customHeight="1">
      <c r="A288" s="3234" t="s">
        <v>306</v>
      </c>
      <c r="B288" s="3234" t="s">
        <v>219</v>
      </c>
      <c r="C288" s="3234">
        <v>4350</v>
      </c>
      <c r="D288" s="3234">
        <v>4300</v>
      </c>
      <c r="E288" s="3234">
        <v>4900</v>
      </c>
      <c r="F288" s="3234">
        <v>820</v>
      </c>
      <c r="G288" s="3247">
        <v>2590</v>
      </c>
    </row>
    <row r="289" spans="1:7" s="3223" customFormat="1" ht="14.25" customHeight="1">
      <c r="A289" s="3234" t="s">
        <v>306</v>
      </c>
      <c r="B289" s="3234" t="s">
        <v>3150</v>
      </c>
      <c r="C289" s="3234">
        <v>5230</v>
      </c>
      <c r="D289" s="3234">
        <v>5170</v>
      </c>
      <c r="E289" s="3234">
        <v>6060</v>
      </c>
      <c r="F289" s="3234">
        <v>900</v>
      </c>
      <c r="G289" s="3247">
        <v>3120</v>
      </c>
    </row>
    <row r="290" spans="1:7" s="3223" customFormat="1" ht="14.25" customHeight="1">
      <c r="A290" s="3234" t="s">
        <v>306</v>
      </c>
      <c r="B290" s="3234" t="s">
        <v>242</v>
      </c>
      <c r="C290" s="3234">
        <v>5550</v>
      </c>
      <c r="D290" s="3234">
        <v>5500</v>
      </c>
      <c r="E290" s="3234">
        <v>6440</v>
      </c>
      <c r="F290" s="3234">
        <v>960</v>
      </c>
      <c r="G290" s="3247">
        <v>3320</v>
      </c>
    </row>
    <row r="291" spans="1:7" s="3223" customFormat="1" ht="14.25" customHeight="1">
      <c r="A291" s="3234" t="s">
        <v>306</v>
      </c>
      <c r="B291" s="3234" t="s">
        <v>250</v>
      </c>
      <c r="C291" s="3234">
        <v>5440</v>
      </c>
      <c r="D291" s="3234">
        <v>5400</v>
      </c>
      <c r="E291" s="3234">
        <v>6320</v>
      </c>
      <c r="F291" s="3234">
        <v>930</v>
      </c>
      <c r="G291" s="3247">
        <v>3250</v>
      </c>
    </row>
    <row r="292" spans="1:7" s="3223" customFormat="1" ht="14.25" customHeight="1">
      <c r="A292" s="3234" t="s">
        <v>306</v>
      </c>
      <c r="B292" s="3234" t="s">
        <v>256</v>
      </c>
      <c r="C292" s="3234">
        <v>5400</v>
      </c>
      <c r="D292" s="3234">
        <v>5360</v>
      </c>
      <c r="E292" s="3234">
        <v>6270</v>
      </c>
      <c r="F292" s="3234">
        <v>1040</v>
      </c>
      <c r="G292" s="3247">
        <v>3230</v>
      </c>
    </row>
    <row r="293" spans="1:7" s="3223" customFormat="1" ht="14.25" customHeight="1">
      <c r="A293" s="3234" t="s">
        <v>306</v>
      </c>
      <c r="B293" s="3234" t="s">
        <v>2925</v>
      </c>
      <c r="C293" s="3234">
        <v>5320</v>
      </c>
      <c r="D293" s="3234">
        <v>5270</v>
      </c>
      <c r="E293" s="3234">
        <v>6160</v>
      </c>
      <c r="F293" s="3234">
        <v>990</v>
      </c>
      <c r="G293" s="3247">
        <v>3170</v>
      </c>
    </row>
    <row r="294" spans="1:7" s="3223" customFormat="1" ht="14.25" customHeight="1">
      <c r="A294" s="3234" t="s">
        <v>306</v>
      </c>
      <c r="B294" s="3234" t="s">
        <v>3151</v>
      </c>
      <c r="C294" s="3234">
        <v>5260</v>
      </c>
      <c r="D294" s="3234">
        <v>5210</v>
      </c>
      <c r="E294" s="3234">
        <v>6100</v>
      </c>
      <c r="F294" s="3234">
        <v>950</v>
      </c>
      <c r="G294" s="3247">
        <v>3150</v>
      </c>
    </row>
    <row r="295" spans="1:7" s="3223" customFormat="1" ht="14.25" customHeight="1">
      <c r="A295" s="3234" t="s">
        <v>306</v>
      </c>
      <c r="B295" s="3234" t="s">
        <v>290</v>
      </c>
      <c r="C295" s="3234">
        <v>5610</v>
      </c>
      <c r="D295" s="3234">
        <v>5570</v>
      </c>
      <c r="E295" s="3234">
        <v>6530</v>
      </c>
      <c r="F295" s="3234">
        <v>960</v>
      </c>
      <c r="G295" s="3247">
        <v>3360</v>
      </c>
    </row>
    <row r="296" spans="1:7" s="3223" customFormat="1" ht="14.25" customHeight="1">
      <c r="A296" s="3234" t="s">
        <v>306</v>
      </c>
      <c r="B296" s="3234" t="s">
        <v>293</v>
      </c>
      <c r="C296" s="3234">
        <v>5540</v>
      </c>
      <c r="D296" s="3234">
        <v>5490</v>
      </c>
      <c r="E296" s="3234">
        <v>6430</v>
      </c>
      <c r="F296" s="3234">
        <v>980</v>
      </c>
      <c r="G296" s="3247">
        <v>3310</v>
      </c>
    </row>
    <row r="297" spans="1:7" s="3223" customFormat="1" ht="14.25" customHeight="1">
      <c r="A297" s="3234" t="s">
        <v>306</v>
      </c>
      <c r="B297" s="3234" t="s">
        <v>295</v>
      </c>
      <c r="C297" s="3234">
        <v>5480</v>
      </c>
      <c r="D297" s="3234">
        <v>5420</v>
      </c>
      <c r="E297" s="3234">
        <v>6370</v>
      </c>
      <c r="F297" s="3234">
        <v>990</v>
      </c>
      <c r="G297" s="3247">
        <v>3270</v>
      </c>
    </row>
    <row r="298" spans="1:7" s="3223" customFormat="1" ht="14.25" customHeight="1">
      <c r="A298" s="3234" t="s">
        <v>306</v>
      </c>
      <c r="B298" s="3234" t="s">
        <v>298</v>
      </c>
      <c r="C298" s="3234">
        <v>5090</v>
      </c>
      <c r="D298" s="3234">
        <v>5050</v>
      </c>
      <c r="E298" s="3234">
        <v>5910</v>
      </c>
      <c r="F298" s="3234">
        <v>900</v>
      </c>
      <c r="G298" s="3247">
        <v>3040</v>
      </c>
    </row>
    <row r="299" spans="1:7" s="3223" customFormat="1" ht="14.25" customHeight="1">
      <c r="A299" s="3234" t="s">
        <v>306</v>
      </c>
      <c r="B299" s="3243" t="s">
        <v>2944</v>
      </c>
      <c r="C299" s="3234">
        <v>5430</v>
      </c>
      <c r="D299" s="3234">
        <v>5380</v>
      </c>
      <c r="E299" s="3234">
        <v>6280</v>
      </c>
      <c r="F299" s="3234">
        <v>1000</v>
      </c>
      <c r="G299" s="3247">
        <v>3240</v>
      </c>
    </row>
    <row r="300" spans="1:7" s="3223" customFormat="1" ht="14.25" customHeight="1">
      <c r="A300" s="3234" t="s">
        <v>306</v>
      </c>
      <c r="B300" s="3243" t="s">
        <v>271</v>
      </c>
      <c r="C300" s="3234">
        <v>4740</v>
      </c>
      <c r="D300" s="3234">
        <v>4680</v>
      </c>
      <c r="E300" s="3234">
        <v>5450</v>
      </c>
      <c r="F300" s="3234">
        <v>900</v>
      </c>
      <c r="G300" s="3247">
        <v>2830</v>
      </c>
    </row>
    <row r="301" spans="1:7" s="3223" customFormat="1" ht="14.25" customHeight="1">
      <c r="A301" s="3234" t="s">
        <v>306</v>
      </c>
      <c r="B301" s="3243" t="s">
        <v>276</v>
      </c>
      <c r="C301" s="3234">
        <v>4870</v>
      </c>
      <c r="D301" s="3234">
        <v>4810</v>
      </c>
      <c r="E301" s="3234">
        <v>5560</v>
      </c>
      <c r="F301" s="3234">
        <v>990</v>
      </c>
      <c r="G301" s="3247">
        <v>2910</v>
      </c>
    </row>
    <row r="302" spans="1:7" s="3223" customFormat="1" ht="14.25" customHeight="1">
      <c r="A302" s="3234" t="s">
        <v>306</v>
      </c>
      <c r="B302" s="3234" t="s">
        <v>3152</v>
      </c>
      <c r="C302" s="3234">
        <v>5520</v>
      </c>
      <c r="D302" s="3234">
        <v>5470</v>
      </c>
      <c r="E302" s="3234">
        <v>6410</v>
      </c>
      <c r="F302" s="3234">
        <v>950</v>
      </c>
      <c r="G302" s="3247">
        <v>3300</v>
      </c>
    </row>
    <row r="303" spans="1:7" s="3223" customFormat="1" ht="14.25" customHeight="1">
      <c r="A303" s="3234" t="s">
        <v>306</v>
      </c>
      <c r="B303" s="3234" t="s">
        <v>2964</v>
      </c>
      <c r="C303" s="3234">
        <v>5630</v>
      </c>
      <c r="D303" s="3234">
        <v>5590</v>
      </c>
      <c r="E303" s="3234">
        <v>6550</v>
      </c>
      <c r="F303" s="3234">
        <v>1010</v>
      </c>
      <c r="G303" s="3247">
        <v>3370</v>
      </c>
    </row>
    <row r="304" spans="1:7" s="3223" customFormat="1" ht="14.25" customHeight="1">
      <c r="A304" s="3234" t="s">
        <v>306</v>
      </c>
      <c r="B304" s="3234" t="s">
        <v>2971</v>
      </c>
      <c r="C304" s="3234">
        <v>5680</v>
      </c>
      <c r="D304" s="3234">
        <v>5620</v>
      </c>
      <c r="E304" s="3234">
        <v>6620</v>
      </c>
      <c r="F304" s="3234">
        <v>1050</v>
      </c>
      <c r="G304" s="3247">
        <v>3390</v>
      </c>
    </row>
    <row r="305" spans="1:7" s="3223" customFormat="1" ht="14.25" customHeight="1">
      <c r="A305" s="3234" t="s">
        <v>306</v>
      </c>
      <c r="B305" s="3234" t="s">
        <v>2977</v>
      </c>
      <c r="C305" s="3234">
        <v>5590</v>
      </c>
      <c r="D305" s="3234">
        <v>5530</v>
      </c>
      <c r="E305" s="3234">
        <v>6460</v>
      </c>
      <c r="F305" s="3234">
        <v>900</v>
      </c>
      <c r="G305" s="3247">
        <v>3340</v>
      </c>
    </row>
    <row r="306" spans="1:7" s="3223" customFormat="1" ht="14.25" customHeight="1">
      <c r="A306" s="3234" t="s">
        <v>306</v>
      </c>
      <c r="B306" s="3234" t="s">
        <v>3153</v>
      </c>
      <c r="C306" s="3234">
        <v>5560</v>
      </c>
      <c r="D306" s="3234">
        <v>5510</v>
      </c>
      <c r="E306" s="3234">
        <v>6440</v>
      </c>
      <c r="F306" s="3234">
        <v>900</v>
      </c>
      <c r="G306" s="3247">
        <v>3320</v>
      </c>
    </row>
    <row r="307" spans="1:7" s="3223" customFormat="1" ht="14.25" customHeight="1">
      <c r="A307" s="3234" t="s">
        <v>306</v>
      </c>
      <c r="B307" s="3234" t="s">
        <v>2989</v>
      </c>
      <c r="C307" s="3234">
        <v>5650</v>
      </c>
      <c r="D307" s="3234">
        <v>5600</v>
      </c>
      <c r="E307" s="3234">
        <v>6590</v>
      </c>
      <c r="F307" s="3234">
        <v>930</v>
      </c>
      <c r="G307" s="3247">
        <v>3380</v>
      </c>
    </row>
    <row r="308" spans="1:7" s="3223" customFormat="1" ht="14.25" customHeight="1">
      <c r="A308" s="3234" t="s">
        <v>306</v>
      </c>
      <c r="B308" s="3234" t="s">
        <v>3154</v>
      </c>
      <c r="C308" s="3234">
        <v>5620</v>
      </c>
      <c r="D308" s="3234">
        <v>5580</v>
      </c>
      <c r="E308" s="3234">
        <v>6540</v>
      </c>
      <c r="F308" s="3234">
        <v>910</v>
      </c>
      <c r="G308" s="3247">
        <v>3370</v>
      </c>
    </row>
    <row r="309" spans="1:7" s="3223" customFormat="1" ht="14.25" customHeight="1">
      <c r="A309" s="3234" t="s">
        <v>306</v>
      </c>
      <c r="B309" s="3234" t="s">
        <v>3155</v>
      </c>
      <c r="C309" s="3234">
        <v>5060</v>
      </c>
      <c r="D309" s="3234">
        <v>5020</v>
      </c>
      <c r="E309" s="3234">
        <v>6370</v>
      </c>
      <c r="F309" s="3234">
        <v>800</v>
      </c>
      <c r="G309" s="3247">
        <v>3020</v>
      </c>
    </row>
    <row r="310" spans="1:7" s="3223" customFormat="1" ht="14.25" customHeight="1">
      <c r="A310" s="3234" t="s">
        <v>306</v>
      </c>
      <c r="B310" s="3234" t="s">
        <v>3004</v>
      </c>
      <c r="C310" s="3234">
        <v>5150</v>
      </c>
      <c r="D310" s="3234">
        <v>5110</v>
      </c>
      <c r="E310" s="3234">
        <v>6500</v>
      </c>
      <c r="F310" s="3234">
        <v>880</v>
      </c>
      <c r="G310" s="3247">
        <v>3080</v>
      </c>
    </row>
    <row r="311" spans="1:7" s="3223" customFormat="1" ht="14.25" customHeight="1">
      <c r="A311" s="3234" t="s">
        <v>306</v>
      </c>
      <c r="B311" s="3234" t="s">
        <v>3156</v>
      </c>
      <c r="C311" s="3234">
        <v>4750</v>
      </c>
      <c r="D311" s="3234">
        <v>4710</v>
      </c>
      <c r="E311" s="3234">
        <v>5510</v>
      </c>
      <c r="F311" s="3234">
        <v>880</v>
      </c>
      <c r="G311" s="3247">
        <v>2840</v>
      </c>
    </row>
    <row r="312" spans="1:7" s="3223" customFormat="1" ht="14.25" customHeight="1">
      <c r="A312" s="3234" t="s">
        <v>306</v>
      </c>
      <c r="B312" s="3234" t="s">
        <v>3014</v>
      </c>
      <c r="C312" s="3234">
        <v>4690</v>
      </c>
      <c r="D312" s="3234">
        <v>4640</v>
      </c>
      <c r="E312" s="3234">
        <v>5420</v>
      </c>
      <c r="F312" s="3234">
        <v>800</v>
      </c>
      <c r="G312" s="3247">
        <v>2800</v>
      </c>
    </row>
    <row r="313" spans="1:7" s="3223" customFormat="1" ht="14.25" customHeight="1">
      <c r="A313" s="3234" t="s">
        <v>306</v>
      </c>
      <c r="B313" s="3234" t="s">
        <v>3019</v>
      </c>
      <c r="C313" s="3234">
        <v>4810</v>
      </c>
      <c r="D313" s="3234">
        <v>4760</v>
      </c>
      <c r="E313" s="3234">
        <v>5550</v>
      </c>
      <c r="F313" s="3234">
        <v>920</v>
      </c>
      <c r="G313" s="3247">
        <v>2870</v>
      </c>
    </row>
    <row r="314" spans="1:7" s="3223" customFormat="1" ht="14.25" customHeight="1">
      <c r="A314" s="3234" t="s">
        <v>306</v>
      </c>
      <c r="B314" s="3234" t="s">
        <v>3157</v>
      </c>
      <c r="C314" s="3234"/>
      <c r="D314" s="3234"/>
      <c r="E314" s="3234"/>
      <c r="F314" s="3234">
        <v>1020</v>
      </c>
      <c r="G314" s="3247"/>
    </row>
    <row r="315" spans="1:7" s="3223" customFormat="1" ht="14.25" customHeight="1">
      <c r="A315" s="3234" t="s">
        <v>306</v>
      </c>
      <c r="B315" s="3234" t="s">
        <v>3158</v>
      </c>
      <c r="C315" s="3234"/>
      <c r="D315" s="3234"/>
      <c r="E315" s="3234"/>
      <c r="F315" s="3234">
        <v>1050</v>
      </c>
      <c r="G315" s="3247"/>
    </row>
    <row r="316" spans="1:7" s="3223" customFormat="1" ht="14.25" customHeight="1">
      <c r="A316" s="3234" t="s">
        <v>306</v>
      </c>
      <c r="B316" s="3234" t="s">
        <v>3034</v>
      </c>
      <c r="C316" s="3234"/>
      <c r="D316" s="3234"/>
      <c r="E316" s="3234"/>
      <c r="F316" s="3234">
        <v>900</v>
      </c>
      <c r="G316" s="3247"/>
    </row>
    <row r="317" spans="1:7" s="3223" customFormat="1" ht="14.25" customHeight="1">
      <c r="A317" s="3234" t="s">
        <v>306</v>
      </c>
      <c r="B317" s="3234" t="s">
        <v>3159</v>
      </c>
      <c r="C317" s="3234"/>
      <c r="D317" s="3234"/>
      <c r="E317" s="3234"/>
      <c r="F317" s="3234">
        <v>920</v>
      </c>
      <c r="G317" s="3247"/>
    </row>
    <row r="318" spans="1:7" s="3223" customFormat="1" ht="14.25" customHeight="1">
      <c r="A318" s="3234" t="s">
        <v>306</v>
      </c>
      <c r="B318" s="3234" t="s">
        <v>3160</v>
      </c>
      <c r="C318" s="3234"/>
      <c r="D318" s="3234"/>
      <c r="E318" s="3234"/>
      <c r="F318" s="3234">
        <v>1080</v>
      </c>
      <c r="G318" s="3247"/>
    </row>
    <row r="319" spans="1:7" s="3223" customFormat="1" ht="14.25" customHeight="1">
      <c r="A319" s="3234" t="s">
        <v>306</v>
      </c>
      <c r="B319" s="3234" t="s">
        <v>3047</v>
      </c>
      <c r="C319" s="3234"/>
      <c r="D319" s="3234"/>
      <c r="E319" s="3234"/>
      <c r="F319" s="3234">
        <v>1020</v>
      </c>
      <c r="G319" s="3247"/>
    </row>
    <row r="320" spans="1:7" s="3223" customFormat="1" ht="14.25" customHeight="1">
      <c r="A320" s="3234" t="s">
        <v>306</v>
      </c>
      <c r="B320" s="3234" t="s">
        <v>3050</v>
      </c>
      <c r="C320" s="3234"/>
      <c r="D320" s="3234"/>
      <c r="E320" s="3234"/>
      <c r="F320" s="3234">
        <v>1050</v>
      </c>
      <c r="G320" s="3247"/>
    </row>
    <row r="321" spans="1:7" s="3223" customFormat="1" ht="14.25" customHeight="1">
      <c r="A321" s="3234" t="s">
        <v>306</v>
      </c>
      <c r="B321" s="3234" t="s">
        <v>3052</v>
      </c>
      <c r="C321" s="3234"/>
      <c r="D321" s="3234"/>
      <c r="E321" s="3234"/>
      <c r="F321" s="3234">
        <v>960</v>
      </c>
      <c r="G321" s="3247"/>
    </row>
    <row r="322" spans="1:7" s="3223" customFormat="1" ht="14.25" customHeight="1">
      <c r="A322" s="3234" t="s">
        <v>306</v>
      </c>
      <c r="B322" s="3234" t="s">
        <v>3054</v>
      </c>
      <c r="C322" s="3234"/>
      <c r="D322" s="3234"/>
      <c r="E322" s="3234"/>
      <c r="F322" s="3234">
        <v>960</v>
      </c>
      <c r="G322" s="3247"/>
    </row>
    <row r="323" spans="1:7" s="3223" customFormat="1" ht="14.25" customHeight="1">
      <c r="A323" s="3234" t="s">
        <v>306</v>
      </c>
      <c r="B323" s="3234" t="s">
        <v>3056</v>
      </c>
      <c r="C323" s="3234"/>
      <c r="D323" s="3234"/>
      <c r="E323" s="3234"/>
      <c r="F323" s="3234">
        <v>880</v>
      </c>
      <c r="G323" s="3247"/>
    </row>
    <row r="324" spans="1:7" s="3223" customFormat="1" ht="14.25" customHeight="1">
      <c r="A324" s="3234" t="s">
        <v>306</v>
      </c>
      <c r="B324" s="3234" t="s">
        <v>3058</v>
      </c>
      <c r="C324" s="3234"/>
      <c r="D324" s="3234"/>
      <c r="E324" s="3234"/>
      <c r="F324" s="3234">
        <v>930</v>
      </c>
      <c r="G324" s="3247"/>
    </row>
    <row r="325" spans="1:7" s="3223" customFormat="1" ht="14.25" customHeight="1">
      <c r="A325" s="3234" t="s">
        <v>306</v>
      </c>
      <c r="B325" s="3235" t="s">
        <v>3060</v>
      </c>
      <c r="C325" s="3234"/>
      <c r="D325" s="3234"/>
      <c r="E325" s="3234"/>
      <c r="F325" s="3234">
        <v>900</v>
      </c>
      <c r="G325" s="3247"/>
    </row>
    <row r="326" spans="1:7" s="3223" customFormat="1" ht="14.25" customHeight="1" thickBot="1">
      <c r="A326" s="3248" t="s">
        <v>306</v>
      </c>
      <c r="B326" s="3241" t="s">
        <v>3062</v>
      </c>
      <c r="C326" s="3241"/>
      <c r="D326" s="3241"/>
      <c r="E326" s="3241"/>
      <c r="F326" s="3241">
        <v>790</v>
      </c>
      <c r="G326" s="3249"/>
    </row>
    <row r="327" spans="1:7" s="3223" customFormat="1" ht="14.25" customHeight="1">
      <c r="A327" s="3239" t="s">
        <v>307</v>
      </c>
      <c r="B327" s="3230" t="s">
        <v>3161</v>
      </c>
      <c r="C327" s="3234">
        <v>3750</v>
      </c>
      <c r="D327" s="3234">
        <v>3710</v>
      </c>
      <c r="E327" s="3234">
        <v>4080</v>
      </c>
      <c r="F327" s="3234">
        <v>860</v>
      </c>
      <c r="G327" s="3234">
        <v>2210</v>
      </c>
    </row>
    <row r="328" spans="1:7" s="3223" customFormat="1" ht="14.25" customHeight="1">
      <c r="A328" s="3234" t="s">
        <v>307</v>
      </c>
      <c r="B328" s="3234" t="s">
        <v>136</v>
      </c>
      <c r="C328" s="3234">
        <v>3330</v>
      </c>
      <c r="D328" s="3234">
        <v>3290</v>
      </c>
      <c r="E328" s="3234">
        <v>3610</v>
      </c>
      <c r="F328" s="3234">
        <v>850</v>
      </c>
      <c r="G328" s="3234">
        <v>1960</v>
      </c>
    </row>
    <row r="329" spans="1:7" s="3223" customFormat="1" ht="14.25" customHeight="1">
      <c r="A329" s="3234" t="s">
        <v>307</v>
      </c>
      <c r="B329" s="3234" t="s">
        <v>3162</v>
      </c>
      <c r="C329" s="3234">
        <v>2730</v>
      </c>
      <c r="D329" s="3234">
        <v>2690</v>
      </c>
      <c r="E329" s="3234">
        <v>3100</v>
      </c>
      <c r="F329" s="3234">
        <v>660</v>
      </c>
      <c r="G329" s="3234">
        <v>1610</v>
      </c>
    </row>
    <row r="330" spans="1:7" s="3223" customFormat="1" ht="14.25" customHeight="1">
      <c r="A330" s="3234" t="s">
        <v>307</v>
      </c>
      <c r="B330" s="3234" t="s">
        <v>3163</v>
      </c>
      <c r="C330" s="3234">
        <v>3270</v>
      </c>
      <c r="D330" s="3234">
        <v>3240</v>
      </c>
      <c r="E330" s="3234">
        <v>3560</v>
      </c>
      <c r="F330" s="3234">
        <v>680</v>
      </c>
      <c r="G330" s="3234">
        <v>1940</v>
      </c>
    </row>
    <row r="331" spans="1:7" s="3223" customFormat="1" ht="14.25" customHeight="1">
      <c r="A331" s="3234" t="s">
        <v>307</v>
      </c>
      <c r="B331" s="3234" t="s">
        <v>161</v>
      </c>
      <c r="C331" s="3234">
        <v>3770</v>
      </c>
      <c r="D331" s="3234">
        <v>3740</v>
      </c>
      <c r="E331" s="3234">
        <v>4110</v>
      </c>
      <c r="F331" s="3234">
        <v>730</v>
      </c>
      <c r="G331" s="3234">
        <v>2230</v>
      </c>
    </row>
    <row r="332" spans="1:7" s="3223" customFormat="1" ht="14.25" customHeight="1">
      <c r="A332" s="3234" t="s">
        <v>307</v>
      </c>
      <c r="B332" s="3234" t="s">
        <v>2896</v>
      </c>
      <c r="C332" s="3234">
        <v>3520</v>
      </c>
      <c r="D332" s="3234">
        <v>3480</v>
      </c>
      <c r="E332" s="3234">
        <v>3830</v>
      </c>
      <c r="F332" s="3234">
        <v>720</v>
      </c>
      <c r="G332" s="3234">
        <v>2090</v>
      </c>
    </row>
    <row r="333" spans="1:7" s="3223" customFormat="1" ht="14.25" customHeight="1">
      <c r="A333" s="3234" t="s">
        <v>307</v>
      </c>
      <c r="B333" s="3234" t="s">
        <v>3164</v>
      </c>
      <c r="C333" s="3234">
        <v>3840</v>
      </c>
      <c r="D333" s="3234">
        <v>3800</v>
      </c>
      <c r="E333" s="3234">
        <v>4200</v>
      </c>
      <c r="F333" s="3234">
        <v>760</v>
      </c>
      <c r="G333" s="3234">
        <v>2270</v>
      </c>
    </row>
    <row r="334" spans="1:7" s="3223" customFormat="1" ht="14.25" customHeight="1">
      <c r="A334" s="3234" t="s">
        <v>307</v>
      </c>
      <c r="B334" s="3234" t="s">
        <v>183</v>
      </c>
      <c r="C334" s="3234">
        <v>3960</v>
      </c>
      <c r="D334" s="3234">
        <v>3910</v>
      </c>
      <c r="E334" s="3234">
        <v>4340</v>
      </c>
      <c r="F334" s="3234">
        <v>780</v>
      </c>
      <c r="G334" s="3234">
        <v>2340</v>
      </c>
    </row>
    <row r="335" spans="1:7" s="3223" customFormat="1" ht="14.25" customHeight="1">
      <c r="A335" s="3234" t="s">
        <v>307</v>
      </c>
      <c r="B335" s="3234" t="s">
        <v>193</v>
      </c>
      <c r="C335" s="3234">
        <v>3710</v>
      </c>
      <c r="D335" s="3234">
        <v>3670</v>
      </c>
      <c r="E335" s="3234">
        <v>4030</v>
      </c>
      <c r="F335" s="3234">
        <v>750</v>
      </c>
      <c r="G335" s="3234">
        <v>2200</v>
      </c>
    </row>
    <row r="336" spans="1:7" s="3223" customFormat="1" ht="14.25" customHeight="1">
      <c r="A336" s="3234" t="s">
        <v>307</v>
      </c>
      <c r="B336" s="3234" t="s">
        <v>2906</v>
      </c>
      <c r="C336" s="3234">
        <v>3570</v>
      </c>
      <c r="D336" s="3234">
        <v>3530</v>
      </c>
      <c r="E336" s="3234">
        <v>3880</v>
      </c>
      <c r="F336" s="3234">
        <v>770</v>
      </c>
      <c r="G336" s="3234">
        <v>2110</v>
      </c>
    </row>
    <row r="337" spans="1:10" s="3223" customFormat="1" ht="14.25" customHeight="1">
      <c r="A337" s="3234" t="s">
        <v>307</v>
      </c>
      <c r="B337" s="3234" t="s">
        <v>3165</v>
      </c>
      <c r="C337" s="3234">
        <v>3780</v>
      </c>
      <c r="D337" s="3234">
        <v>3750</v>
      </c>
      <c r="E337" s="3234">
        <v>4130</v>
      </c>
      <c r="F337" s="3234">
        <v>750</v>
      </c>
      <c r="G337" s="3234">
        <v>2240</v>
      </c>
    </row>
    <row r="338" spans="1:10" s="3223" customFormat="1" ht="14.25" customHeight="1">
      <c r="A338" s="3234" t="s">
        <v>307</v>
      </c>
      <c r="B338" s="3234" t="s">
        <v>220</v>
      </c>
      <c r="C338" s="3234">
        <v>3600</v>
      </c>
      <c r="D338" s="3234">
        <v>3570</v>
      </c>
      <c r="E338" s="3234">
        <v>3920</v>
      </c>
      <c r="F338" s="3234">
        <v>790</v>
      </c>
      <c r="G338" s="3234">
        <v>2140</v>
      </c>
    </row>
    <row r="339" spans="1:10" s="3223" customFormat="1" ht="14.25" customHeight="1">
      <c r="A339" s="3234" t="s">
        <v>307</v>
      </c>
      <c r="B339" s="3234" t="s">
        <v>228</v>
      </c>
      <c r="C339" s="3234">
        <v>3540</v>
      </c>
      <c r="D339" s="3234">
        <v>3500</v>
      </c>
      <c r="E339" s="3234">
        <v>3850</v>
      </c>
      <c r="F339" s="3234">
        <v>780</v>
      </c>
      <c r="G339" s="3234">
        <v>2100</v>
      </c>
    </row>
    <row r="340" spans="1:10" s="3223" customFormat="1" ht="14.25" customHeight="1">
      <c r="A340" s="3234" t="s">
        <v>307</v>
      </c>
      <c r="B340" s="3234" t="s">
        <v>3166</v>
      </c>
      <c r="C340" s="3234">
        <v>3850</v>
      </c>
      <c r="D340" s="3234">
        <v>3810</v>
      </c>
      <c r="E340" s="3234">
        <v>4210</v>
      </c>
      <c r="F340" s="3234">
        <v>750</v>
      </c>
      <c r="G340" s="3234">
        <v>2280</v>
      </c>
    </row>
    <row r="341" spans="1:10" s="3223" customFormat="1" ht="14.25" customHeight="1">
      <c r="A341" s="3234" t="s">
        <v>307</v>
      </c>
      <c r="B341" s="3234" t="s">
        <v>207</v>
      </c>
      <c r="C341" s="3234">
        <v>3780</v>
      </c>
      <c r="D341" s="3234">
        <v>3750</v>
      </c>
      <c r="E341" s="3234">
        <v>4140</v>
      </c>
      <c r="F341" s="3234">
        <v>720</v>
      </c>
      <c r="G341" s="3234">
        <v>2240</v>
      </c>
    </row>
    <row r="342" spans="1:10" s="3223" customFormat="1" ht="14.25" customHeight="1">
      <c r="A342" s="3234" t="s">
        <v>307</v>
      </c>
      <c r="B342" s="3234" t="s">
        <v>3167</v>
      </c>
      <c r="C342" s="3234">
        <v>3670</v>
      </c>
      <c r="D342" s="3234">
        <v>3620</v>
      </c>
      <c r="E342" s="3234">
        <v>3990</v>
      </c>
      <c r="F342" s="3234">
        <v>760</v>
      </c>
      <c r="G342" s="3234">
        <v>2170</v>
      </c>
    </row>
    <row r="343" spans="1:10" s="3223" customFormat="1" ht="14.25" customHeight="1">
      <c r="A343" s="3234" t="s">
        <v>307</v>
      </c>
      <c r="B343" s="3234" t="s">
        <v>257</v>
      </c>
      <c r="C343" s="3234">
        <v>3760</v>
      </c>
      <c r="D343" s="3234">
        <v>3720</v>
      </c>
      <c r="E343" s="3234">
        <v>4090</v>
      </c>
      <c r="F343" s="3234">
        <v>780</v>
      </c>
      <c r="G343" s="3234">
        <v>2220</v>
      </c>
    </row>
    <row r="344" spans="1:10" s="3223" customFormat="1" ht="14.25" customHeight="1">
      <c r="A344" s="3234" t="s">
        <v>307</v>
      </c>
      <c r="B344" s="3234" t="s">
        <v>265</v>
      </c>
      <c r="C344" s="3234">
        <v>3680</v>
      </c>
      <c r="D344" s="3234">
        <v>3640</v>
      </c>
      <c r="E344" s="3234">
        <v>4010</v>
      </c>
      <c r="F344" s="3234">
        <v>750</v>
      </c>
      <c r="G344" s="3234">
        <v>2180</v>
      </c>
    </row>
    <row r="345" spans="1:10">
      <c r="A345" s="3234" t="s">
        <v>307</v>
      </c>
      <c r="B345" s="3234" t="s">
        <v>2931</v>
      </c>
      <c r="C345" s="3234">
        <v>3190</v>
      </c>
      <c r="D345" s="3234">
        <v>3140</v>
      </c>
      <c r="E345" s="3234">
        <v>3450</v>
      </c>
      <c r="F345" s="3234">
        <v>720</v>
      </c>
      <c r="G345" s="3234">
        <v>1880</v>
      </c>
      <c r="J345" s="3223"/>
    </row>
    <row r="346" spans="1:10">
      <c r="A346" s="3234" t="s">
        <v>307</v>
      </c>
      <c r="B346" s="3234" t="s">
        <v>3168</v>
      </c>
      <c r="C346" s="3234">
        <v>3630</v>
      </c>
      <c r="D346" s="3234">
        <v>3590</v>
      </c>
      <c r="E346" s="3234">
        <v>3940</v>
      </c>
      <c r="F346" s="3234">
        <v>730</v>
      </c>
      <c r="G346" s="3234">
        <v>2150</v>
      </c>
      <c r="J346" s="3223"/>
    </row>
    <row r="347" spans="1:10">
      <c r="A347" s="3234" t="s">
        <v>307</v>
      </c>
      <c r="B347" s="3234" t="s">
        <v>243</v>
      </c>
      <c r="C347" s="3234">
        <v>3860</v>
      </c>
      <c r="D347" s="3234">
        <v>3820</v>
      </c>
      <c r="E347" s="3234">
        <v>4220</v>
      </c>
      <c r="F347" s="3234">
        <v>750</v>
      </c>
      <c r="G347" s="3234">
        <v>2280</v>
      </c>
      <c r="J347" s="3223"/>
    </row>
    <row r="348" spans="1:10">
      <c r="A348" s="3234" t="s">
        <v>307</v>
      </c>
      <c r="B348" s="3234" t="s">
        <v>2940</v>
      </c>
      <c r="C348" s="3234">
        <v>4000</v>
      </c>
      <c r="D348" s="3234">
        <v>3950</v>
      </c>
      <c r="E348" s="3234">
        <v>4430</v>
      </c>
      <c r="F348" s="3234">
        <v>760</v>
      </c>
      <c r="G348" s="3234">
        <v>2360</v>
      </c>
      <c r="J348" s="3223"/>
    </row>
    <row r="349" spans="1:10">
      <c r="A349" s="3234" t="s">
        <v>307</v>
      </c>
      <c r="B349" s="3234" t="s">
        <v>2945</v>
      </c>
      <c r="C349" s="3234">
        <v>3820</v>
      </c>
      <c r="D349" s="3234">
        <v>3780</v>
      </c>
      <c r="E349" s="3234">
        <v>4170</v>
      </c>
      <c r="F349" s="3234">
        <v>710</v>
      </c>
      <c r="G349" s="3234">
        <v>2260</v>
      </c>
      <c r="J349" s="3223"/>
    </row>
    <row r="350" spans="1:10">
      <c r="A350" s="3234" t="s">
        <v>307</v>
      </c>
      <c r="B350" s="3234" t="s">
        <v>3169</v>
      </c>
      <c r="C350" s="3234">
        <v>3760</v>
      </c>
      <c r="D350" s="3234">
        <v>3730</v>
      </c>
      <c r="E350" s="3234">
        <v>4100</v>
      </c>
      <c r="F350" s="3234">
        <v>800</v>
      </c>
      <c r="G350" s="3234">
        <v>2230</v>
      </c>
      <c r="J350" s="3223"/>
    </row>
    <row r="351" spans="1:10">
      <c r="A351" s="3234" t="s">
        <v>307</v>
      </c>
      <c r="B351" s="3234" t="s">
        <v>2953</v>
      </c>
      <c r="C351" s="3234">
        <v>3610</v>
      </c>
      <c r="D351" s="3234">
        <v>3580</v>
      </c>
      <c r="E351" s="3234">
        <v>3930</v>
      </c>
      <c r="F351" s="3234">
        <v>700</v>
      </c>
      <c r="G351" s="3234">
        <v>2140</v>
      </c>
      <c r="J351" s="3223"/>
    </row>
    <row r="352" spans="1:10">
      <c r="A352" s="3234" t="s">
        <v>307</v>
      </c>
      <c r="B352" s="3234" t="s">
        <v>2958</v>
      </c>
      <c r="C352" s="3234">
        <v>3670</v>
      </c>
      <c r="D352" s="3234">
        <v>3630</v>
      </c>
      <c r="E352" s="3234">
        <v>4000</v>
      </c>
      <c r="F352" s="3234">
        <v>750</v>
      </c>
      <c r="G352" s="3234">
        <v>2180</v>
      </c>
    </row>
    <row r="353" spans="1:7" s="3227" customFormat="1">
      <c r="A353" s="3234" t="s">
        <v>307</v>
      </c>
      <c r="B353" s="3234" t="s">
        <v>3170</v>
      </c>
      <c r="C353" s="3234">
        <v>3190</v>
      </c>
      <c r="D353" s="3234">
        <v>3150</v>
      </c>
      <c r="E353" s="3234">
        <v>3640</v>
      </c>
      <c r="F353" s="3234">
        <v>630</v>
      </c>
      <c r="G353" s="3234">
        <v>1890</v>
      </c>
    </row>
    <row r="354" spans="1:7" s="3227" customFormat="1">
      <c r="A354" s="3234" t="s">
        <v>307</v>
      </c>
      <c r="B354" s="3234" t="s">
        <v>280</v>
      </c>
      <c r="C354" s="3234">
        <v>3450</v>
      </c>
      <c r="D354" s="3234">
        <v>3420</v>
      </c>
      <c r="E354" s="3234">
        <v>3960</v>
      </c>
      <c r="F354" s="3234">
        <v>660</v>
      </c>
      <c r="G354" s="3234">
        <v>2050</v>
      </c>
    </row>
    <row r="355" spans="1:7" s="3227" customFormat="1">
      <c r="A355" s="3234" t="s">
        <v>307</v>
      </c>
      <c r="B355" s="3234" t="s">
        <v>2978</v>
      </c>
      <c r="C355" s="3234">
        <v>3650</v>
      </c>
      <c r="D355" s="3234">
        <v>3610</v>
      </c>
      <c r="E355" s="3234">
        <v>4200</v>
      </c>
      <c r="F355" s="3234">
        <v>640</v>
      </c>
      <c r="G355" s="3234">
        <v>2160</v>
      </c>
    </row>
    <row r="356" spans="1:7" s="3227" customFormat="1">
      <c r="A356" s="3234" t="s">
        <v>307</v>
      </c>
      <c r="B356" s="3234" t="s">
        <v>2985</v>
      </c>
      <c r="C356" s="3234">
        <v>3260</v>
      </c>
      <c r="D356" s="3234">
        <v>3230</v>
      </c>
      <c r="E356" s="3234">
        <v>3740</v>
      </c>
      <c r="F356" s="3234">
        <v>600</v>
      </c>
      <c r="G356" s="3234">
        <v>1930</v>
      </c>
    </row>
    <row r="357" spans="1:7" s="3227" customFormat="1" ht="12" thickBot="1">
      <c r="A357" s="3242" t="s">
        <v>307</v>
      </c>
      <c r="B357" s="3245" t="s">
        <v>3171</v>
      </c>
      <c r="C357" s="3245">
        <v>3690</v>
      </c>
      <c r="D357" s="3245">
        <v>3650</v>
      </c>
      <c r="E357" s="3245">
        <v>4020</v>
      </c>
      <c r="F357" s="3245">
        <v>700</v>
      </c>
      <c r="G357" s="3245">
        <v>2190</v>
      </c>
    </row>
    <row r="358" spans="1:7" s="3227" customFormat="1">
      <c r="A358" s="3239" t="s">
        <v>3172</v>
      </c>
      <c r="B358" s="3230" t="s">
        <v>3173</v>
      </c>
      <c r="C358" s="3230">
        <v>2080</v>
      </c>
      <c r="D358" s="3230">
        <v>2040</v>
      </c>
      <c r="E358" s="3230">
        <v>2010</v>
      </c>
      <c r="F358" s="3230">
        <v>530</v>
      </c>
      <c r="G358" s="3246">
        <v>1230</v>
      </c>
    </row>
    <row r="359" spans="1:7" s="3227" customFormat="1">
      <c r="A359" s="3234" t="s">
        <v>3172</v>
      </c>
      <c r="B359" s="3234" t="s">
        <v>3174</v>
      </c>
      <c r="C359" s="3234">
        <v>1850</v>
      </c>
      <c r="D359" s="3234">
        <v>1820</v>
      </c>
      <c r="E359" s="3234">
        <v>1780</v>
      </c>
      <c r="F359" s="3234">
        <v>520</v>
      </c>
      <c r="G359" s="3247">
        <v>1100</v>
      </c>
    </row>
    <row r="360" spans="1:7" s="3227" customFormat="1">
      <c r="A360" s="3234" t="s">
        <v>3172</v>
      </c>
      <c r="B360" s="3234" t="s">
        <v>3175</v>
      </c>
      <c r="C360" s="3234">
        <v>2020</v>
      </c>
      <c r="D360" s="3234">
        <v>1990</v>
      </c>
      <c r="E360" s="3234">
        <v>1950</v>
      </c>
      <c r="F360" s="3234">
        <v>500</v>
      </c>
      <c r="G360" s="3247">
        <v>1200</v>
      </c>
    </row>
    <row r="361" spans="1:7" s="3227" customFormat="1">
      <c r="A361" s="3234" t="s">
        <v>3172</v>
      </c>
      <c r="B361" s="3234" t="s">
        <v>153</v>
      </c>
      <c r="C361" s="3234">
        <v>2260</v>
      </c>
      <c r="D361" s="3234">
        <v>2220</v>
      </c>
      <c r="E361" s="3234">
        <v>2180</v>
      </c>
      <c r="F361" s="3234">
        <v>580</v>
      </c>
      <c r="G361" s="3247">
        <v>1340</v>
      </c>
    </row>
    <row r="362" spans="1:7" s="3227" customFormat="1">
      <c r="A362" s="3234" t="s">
        <v>3172</v>
      </c>
      <c r="B362" s="3234" t="s">
        <v>3176</v>
      </c>
      <c r="C362" s="3234">
        <v>2650</v>
      </c>
      <c r="D362" s="3234">
        <v>2610</v>
      </c>
      <c r="E362" s="3234">
        <v>2570</v>
      </c>
      <c r="F362" s="3234">
        <v>630</v>
      </c>
      <c r="G362" s="3247">
        <v>1570</v>
      </c>
    </row>
    <row r="363" spans="1:7" s="3227" customFormat="1">
      <c r="A363" s="3234" t="s">
        <v>3172</v>
      </c>
      <c r="B363" s="3234" t="s">
        <v>2897</v>
      </c>
      <c r="C363" s="3234">
        <v>2390</v>
      </c>
      <c r="D363" s="3234">
        <v>2360</v>
      </c>
      <c r="E363" s="3234">
        <v>2320</v>
      </c>
      <c r="F363" s="3234">
        <v>600</v>
      </c>
      <c r="G363" s="3247">
        <v>1420</v>
      </c>
    </row>
    <row r="364" spans="1:7" s="3227" customFormat="1">
      <c r="A364" s="3234" t="s">
        <v>3172</v>
      </c>
      <c r="B364" s="3234" t="s">
        <v>3177</v>
      </c>
      <c r="C364" s="3234">
        <v>2050</v>
      </c>
      <c r="D364" s="3234">
        <v>2030</v>
      </c>
      <c r="E364" s="3234">
        <v>1990</v>
      </c>
      <c r="F364" s="3234">
        <v>550</v>
      </c>
      <c r="G364" s="3247">
        <v>1220</v>
      </c>
    </row>
    <row r="365" spans="1:7" s="3227" customFormat="1">
      <c r="A365" s="3234" t="s">
        <v>3172</v>
      </c>
      <c r="B365" s="3234" t="s">
        <v>200</v>
      </c>
      <c r="C365" s="3234">
        <v>2140</v>
      </c>
      <c r="D365" s="3234">
        <v>2100</v>
      </c>
      <c r="E365" s="3234">
        <v>2060</v>
      </c>
      <c r="F365" s="3234">
        <v>540</v>
      </c>
      <c r="G365" s="3247">
        <v>1270</v>
      </c>
    </row>
    <row r="366" spans="1:7" s="3227" customFormat="1">
      <c r="A366" s="3234" t="s">
        <v>3172</v>
      </c>
      <c r="B366" s="3234" t="s">
        <v>2904</v>
      </c>
      <c r="C366" s="3234">
        <v>2410</v>
      </c>
      <c r="D366" s="3234">
        <v>2370</v>
      </c>
      <c r="E366" s="3234">
        <v>2330</v>
      </c>
      <c r="F366" s="3234">
        <v>570</v>
      </c>
      <c r="G366" s="3247">
        <v>1440</v>
      </c>
    </row>
    <row r="367" spans="1:7" s="3227" customFormat="1">
      <c r="A367" s="3234" t="s">
        <v>3172</v>
      </c>
      <c r="B367" s="3234" t="s">
        <v>3178</v>
      </c>
      <c r="C367" s="3234">
        <v>2300</v>
      </c>
      <c r="D367" s="3234">
        <v>2260</v>
      </c>
      <c r="E367" s="3234">
        <v>2220</v>
      </c>
      <c r="F367" s="3234">
        <v>560</v>
      </c>
      <c r="G367" s="3247">
        <v>1370</v>
      </c>
    </row>
    <row r="368" spans="1:7" s="3227" customFormat="1">
      <c r="A368" s="3234" t="s">
        <v>3172</v>
      </c>
      <c r="B368" s="3234" t="s">
        <v>3179</v>
      </c>
      <c r="C368" s="3234">
        <v>2430</v>
      </c>
      <c r="D368" s="3234">
        <v>2390</v>
      </c>
      <c r="E368" s="3234">
        <v>2350</v>
      </c>
      <c r="F368" s="3234">
        <v>570</v>
      </c>
      <c r="G368" s="3247">
        <v>1450</v>
      </c>
    </row>
    <row r="369" spans="1:7" s="3227" customFormat="1">
      <c r="A369" s="3234" t="s">
        <v>3172</v>
      </c>
      <c r="B369" s="3234" t="s">
        <v>214</v>
      </c>
      <c r="C369" s="3234">
        <v>2320</v>
      </c>
      <c r="D369" s="3234">
        <v>2290</v>
      </c>
      <c r="E369" s="3234">
        <v>2250</v>
      </c>
      <c r="F369" s="3234">
        <v>550</v>
      </c>
      <c r="G369" s="3247">
        <v>1380</v>
      </c>
    </row>
    <row r="370" spans="1:7" s="3227" customFormat="1">
      <c r="A370" s="3234" t="s">
        <v>3172</v>
      </c>
      <c r="B370" s="3234" t="s">
        <v>221</v>
      </c>
      <c r="C370" s="3234">
        <v>2190</v>
      </c>
      <c r="D370" s="3234">
        <v>2170</v>
      </c>
      <c r="E370" s="3234">
        <v>2130</v>
      </c>
      <c r="F370" s="3234">
        <v>530</v>
      </c>
      <c r="G370" s="3247">
        <v>1310</v>
      </c>
    </row>
    <row r="371" spans="1:7" s="3227" customFormat="1">
      <c r="A371" s="3234" t="s">
        <v>3172</v>
      </c>
      <c r="B371" s="3234" t="s">
        <v>229</v>
      </c>
      <c r="C371" s="3234">
        <v>2460</v>
      </c>
      <c r="D371" s="3234">
        <v>2420</v>
      </c>
      <c r="E371" s="3234">
        <v>2370</v>
      </c>
      <c r="F371" s="3234">
        <v>560</v>
      </c>
      <c r="G371" s="3247">
        <v>1470</v>
      </c>
    </row>
    <row r="372" spans="1:7" s="3227" customFormat="1">
      <c r="A372" s="3234" t="s">
        <v>3172</v>
      </c>
      <c r="B372" s="3234" t="s">
        <v>3180</v>
      </c>
      <c r="C372" s="3234">
        <v>2250</v>
      </c>
      <c r="D372" s="3234">
        <v>2210</v>
      </c>
      <c r="E372" s="3234">
        <v>2180</v>
      </c>
      <c r="F372" s="3234">
        <v>550</v>
      </c>
      <c r="G372" s="3247">
        <v>1340</v>
      </c>
    </row>
    <row r="373" spans="1:7" s="3227" customFormat="1">
      <c r="A373" s="3234" t="s">
        <v>3172</v>
      </c>
      <c r="B373" s="3234" t="s">
        <v>258</v>
      </c>
      <c r="C373" s="3234">
        <v>2210</v>
      </c>
      <c r="D373" s="3234">
        <v>2190</v>
      </c>
      <c r="E373" s="3234">
        <v>2150</v>
      </c>
      <c r="F373" s="3234">
        <v>530</v>
      </c>
      <c r="G373" s="3247">
        <v>1320</v>
      </c>
    </row>
    <row r="374" spans="1:7" s="3227" customFormat="1">
      <c r="A374" s="3234" t="s">
        <v>3172</v>
      </c>
      <c r="B374" s="3234" t="s">
        <v>266</v>
      </c>
      <c r="C374" s="3234">
        <v>2320</v>
      </c>
      <c r="D374" s="3234">
        <v>2280</v>
      </c>
      <c r="E374" s="3234">
        <v>2230</v>
      </c>
      <c r="F374" s="3234">
        <v>580</v>
      </c>
      <c r="G374" s="3247">
        <v>1380</v>
      </c>
    </row>
    <row r="375" spans="1:7" s="3227" customFormat="1">
      <c r="A375" s="3234" t="s">
        <v>3172</v>
      </c>
      <c r="B375" s="3234" t="s">
        <v>3181</v>
      </c>
      <c r="C375" s="3234">
        <v>2090</v>
      </c>
      <c r="D375" s="3234">
        <v>2050</v>
      </c>
      <c r="E375" s="3234">
        <v>2020</v>
      </c>
      <c r="F375" s="3234">
        <v>520</v>
      </c>
      <c r="G375" s="3247">
        <v>1240</v>
      </c>
    </row>
    <row r="376" spans="1:7" s="3227" customFormat="1">
      <c r="A376" s="3234" t="s">
        <v>3172</v>
      </c>
      <c r="B376" s="3234" t="s">
        <v>277</v>
      </c>
      <c r="C376" s="3234">
        <v>2010</v>
      </c>
      <c r="D376" s="3234">
        <v>1980</v>
      </c>
      <c r="E376" s="3234">
        <v>1940</v>
      </c>
      <c r="F376" s="3234">
        <v>540</v>
      </c>
      <c r="G376" s="3247">
        <v>1190</v>
      </c>
    </row>
    <row r="377" spans="1:7" s="3227" customFormat="1" ht="12" thickBot="1">
      <c r="A377" s="3242" t="s">
        <v>3172</v>
      </c>
      <c r="B377" s="3245" t="s">
        <v>2934</v>
      </c>
      <c r="C377" s="3245">
        <v>1930</v>
      </c>
      <c r="D377" s="3245">
        <v>1890</v>
      </c>
      <c r="E377" s="3245">
        <v>1860</v>
      </c>
      <c r="F377" s="3245">
        <v>530</v>
      </c>
      <c r="G377" s="3250">
        <v>1150</v>
      </c>
    </row>
    <row r="378" spans="1:7" s="3227" customFormat="1">
      <c r="A378" s="3251" t="s">
        <v>3182</v>
      </c>
      <c r="B378" s="3230" t="s">
        <v>3183</v>
      </c>
      <c r="C378" s="3230">
        <v>1520</v>
      </c>
      <c r="D378" s="3230">
        <v>1490</v>
      </c>
      <c r="E378" s="3230">
        <v>1460</v>
      </c>
      <c r="F378" s="3230">
        <v>460</v>
      </c>
      <c r="G378" s="3246">
        <v>940</v>
      </c>
    </row>
    <row r="379" spans="1:7" s="3227" customFormat="1">
      <c r="A379" s="3252" t="s">
        <v>3182</v>
      </c>
      <c r="B379" s="3234" t="s">
        <v>3184</v>
      </c>
      <c r="C379" s="3234">
        <v>1500</v>
      </c>
      <c r="D379" s="3234">
        <v>1470</v>
      </c>
      <c r="E379" s="3234">
        <v>1430</v>
      </c>
      <c r="F379" s="3234">
        <v>460</v>
      </c>
      <c r="G379" s="3247">
        <v>920</v>
      </c>
    </row>
    <row r="380" spans="1:7" s="3227" customFormat="1">
      <c r="A380" s="3252" t="s">
        <v>3182</v>
      </c>
      <c r="B380" s="3234" t="s">
        <v>3185</v>
      </c>
      <c r="C380" s="3234">
        <v>1620</v>
      </c>
      <c r="D380" s="3234">
        <v>1590</v>
      </c>
      <c r="E380" s="3234">
        <v>1560</v>
      </c>
      <c r="F380" s="3234">
        <v>480</v>
      </c>
      <c r="G380" s="3247">
        <v>1000</v>
      </c>
    </row>
    <row r="381" spans="1:7" s="3227" customFormat="1">
      <c r="A381" s="3252" t="s">
        <v>3182</v>
      </c>
      <c r="B381" s="3234" t="s">
        <v>3186</v>
      </c>
      <c r="C381" s="3234">
        <v>1460</v>
      </c>
      <c r="D381" s="3234">
        <v>1430</v>
      </c>
      <c r="E381" s="3234">
        <v>1390</v>
      </c>
      <c r="F381" s="3234">
        <v>450</v>
      </c>
      <c r="G381" s="3247">
        <v>900</v>
      </c>
    </row>
    <row r="382" spans="1:7" s="3227" customFormat="1">
      <c r="A382" s="3252" t="s">
        <v>3182</v>
      </c>
      <c r="B382" s="3234" t="s">
        <v>3187</v>
      </c>
      <c r="C382" s="3234">
        <v>1310</v>
      </c>
      <c r="D382" s="3234">
        <v>1280</v>
      </c>
      <c r="E382" s="3234">
        <v>1250</v>
      </c>
      <c r="F382" s="3234">
        <v>440</v>
      </c>
      <c r="G382" s="3247">
        <v>800</v>
      </c>
    </row>
    <row r="383" spans="1:7" s="3227" customFormat="1">
      <c r="A383" s="3252" t="s">
        <v>3182</v>
      </c>
      <c r="B383" s="3234" t="s">
        <v>3188</v>
      </c>
      <c r="C383" s="3234">
        <v>1260</v>
      </c>
      <c r="D383" s="3234">
        <v>1230</v>
      </c>
      <c r="E383" s="3234">
        <v>1200</v>
      </c>
      <c r="F383" s="3234">
        <v>420</v>
      </c>
      <c r="G383" s="3247">
        <v>770</v>
      </c>
    </row>
    <row r="384" spans="1:7" s="3227" customFormat="1" ht="12" thickBot="1">
      <c r="A384" s="3253" t="s">
        <v>3182</v>
      </c>
      <c r="B384" s="3241" t="s">
        <v>3189</v>
      </c>
      <c r="C384" s="3241">
        <v>1170</v>
      </c>
      <c r="D384" s="3241">
        <v>1140</v>
      </c>
      <c r="E384" s="3241">
        <v>1120</v>
      </c>
      <c r="F384" s="3241">
        <v>400</v>
      </c>
      <c r="G384" s="3249">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90" customWidth="1"/>
    <col min="2" max="2" width="20" style="3290" customWidth="1"/>
    <col min="3" max="7" width="8.875" style="3254"/>
    <col min="8" max="16384" width="8.875" style="3255"/>
  </cols>
  <sheetData>
    <row r="1" spans="1:7">
      <c r="A1" s="3801" t="s">
        <v>3190</v>
      </c>
      <c r="B1" s="3801"/>
    </row>
    <row r="2" spans="1:7" ht="14.25" thickBot="1">
      <c r="A2" s="3256"/>
      <c r="B2" s="3256"/>
    </row>
    <row r="3" spans="1:7" ht="14.25" thickBot="1">
      <c r="A3" s="3256"/>
      <c r="B3" s="3256"/>
      <c r="C3" s="3257" t="s">
        <v>2814</v>
      </c>
      <c r="D3" s="3257" t="s">
        <v>2876</v>
      </c>
      <c r="E3" s="3257" t="s">
        <v>2816</v>
      </c>
      <c r="F3" s="3257" t="s">
        <v>2877</v>
      </c>
      <c r="G3" s="3257" t="s">
        <v>2634</v>
      </c>
    </row>
    <row r="4" spans="1:7" ht="14.25" thickBot="1">
      <c r="A4" s="3258" t="s">
        <v>2875</v>
      </c>
      <c r="B4" s="3259" t="s">
        <v>2881</v>
      </c>
      <c r="C4" s="3257"/>
      <c r="D4" s="3257"/>
      <c r="E4" s="3257"/>
      <c r="F4" s="3257"/>
      <c r="G4" s="3257"/>
    </row>
    <row r="5" spans="1:7">
      <c r="A5" s="3260" t="s">
        <v>2849</v>
      </c>
      <c r="B5" s="3261" t="s">
        <v>2863</v>
      </c>
      <c r="C5" s="3262">
        <v>9.8000000000000004E-2</v>
      </c>
      <c r="D5" s="3262">
        <v>8.6999999999999994E-2</v>
      </c>
      <c r="E5" s="3262">
        <v>8.6999999999999994E-2</v>
      </c>
      <c r="F5" s="3262">
        <v>9.8000000000000004E-2</v>
      </c>
      <c r="G5" s="3263">
        <v>9.5000000000000001E-2</v>
      </c>
    </row>
    <row r="6" spans="1:7">
      <c r="A6" s="3264" t="s">
        <v>144</v>
      </c>
      <c r="B6" s="3265" t="s">
        <v>2878</v>
      </c>
      <c r="C6" s="3266">
        <v>9.8000000000000004E-2</v>
      </c>
      <c r="D6" s="3266">
        <v>9.8000000000000004E-2</v>
      </c>
      <c r="E6" s="3266">
        <v>9.8000000000000004E-2</v>
      </c>
      <c r="F6" s="3266">
        <v>0.1</v>
      </c>
      <c r="G6" s="3267">
        <v>9.9000000000000005E-2</v>
      </c>
    </row>
    <row r="7" spans="1:7">
      <c r="A7" s="3264" t="s">
        <v>144</v>
      </c>
      <c r="B7" s="3265" t="s">
        <v>137</v>
      </c>
      <c r="C7" s="3266">
        <v>9.7000000000000003E-2</v>
      </c>
      <c r="D7" s="3266">
        <v>9.7000000000000003E-2</v>
      </c>
      <c r="E7" s="3266">
        <v>9.6000000000000002E-2</v>
      </c>
      <c r="F7" s="3266">
        <v>0.1</v>
      </c>
      <c r="G7" s="3267">
        <v>9.8000000000000004E-2</v>
      </c>
    </row>
    <row r="8" spans="1:7">
      <c r="A8" s="3264" t="s">
        <v>144</v>
      </c>
      <c r="B8" s="3265" t="s">
        <v>145</v>
      </c>
      <c r="C8" s="3266">
        <v>8.1000000000000003E-2</v>
      </c>
      <c r="D8" s="3266">
        <v>8.2000000000000003E-2</v>
      </c>
      <c r="E8" s="3266">
        <v>7.0000000000000007E-2</v>
      </c>
      <c r="F8" s="3266">
        <v>9.6000000000000002E-2</v>
      </c>
      <c r="G8" s="3267">
        <v>8.8999999999999996E-2</v>
      </c>
    </row>
    <row r="9" spans="1:7" ht="14.25" thickBot="1">
      <c r="A9" s="3268" t="s">
        <v>144</v>
      </c>
      <c r="B9" s="3269" t="s">
        <v>154</v>
      </c>
      <c r="C9" s="3270">
        <v>0.1</v>
      </c>
      <c r="D9" s="3270">
        <v>0.1</v>
      </c>
      <c r="E9" s="3270">
        <v>0.1</v>
      </c>
      <c r="F9" s="3271"/>
      <c r="G9" s="3272">
        <v>0.1</v>
      </c>
    </row>
    <row r="10" spans="1:7">
      <c r="A10" s="3260" t="s">
        <v>184</v>
      </c>
      <c r="B10" s="3261" t="s">
        <v>2864</v>
      </c>
      <c r="C10" s="3262">
        <v>6.7000000000000004E-2</v>
      </c>
      <c r="D10" s="3262">
        <v>7.9000000000000001E-2</v>
      </c>
      <c r="E10" s="3262">
        <v>7.9000000000000001E-2</v>
      </c>
      <c r="F10" s="3262">
        <v>0.1</v>
      </c>
      <c r="G10" s="3263">
        <v>9.0999999999999998E-2</v>
      </c>
    </row>
    <row r="11" spans="1:7">
      <c r="A11" s="3264" t="s">
        <v>184</v>
      </c>
      <c r="B11" s="3265" t="s">
        <v>128</v>
      </c>
      <c r="C11" s="3266">
        <v>0.05</v>
      </c>
      <c r="D11" s="3266">
        <v>5.2999999999999999E-2</v>
      </c>
      <c r="E11" s="3266">
        <v>6.3E-2</v>
      </c>
      <c r="F11" s="3266">
        <v>0.1</v>
      </c>
      <c r="G11" s="3267">
        <v>7.1999999999999995E-2</v>
      </c>
    </row>
    <row r="12" spans="1:7">
      <c r="A12" s="3264" t="s">
        <v>184</v>
      </c>
      <c r="B12" s="3265" t="s">
        <v>111</v>
      </c>
      <c r="C12" s="3266">
        <v>5.2999999999999999E-2</v>
      </c>
      <c r="D12" s="3266">
        <v>0.09</v>
      </c>
      <c r="E12" s="3266">
        <v>7.1999999999999995E-2</v>
      </c>
      <c r="F12" s="3266">
        <v>0.1</v>
      </c>
      <c r="G12" s="3267">
        <v>9.7000000000000003E-2</v>
      </c>
    </row>
    <row r="13" spans="1:7">
      <c r="A13" s="3264" t="s">
        <v>184</v>
      </c>
      <c r="B13" s="3265" t="s">
        <v>146</v>
      </c>
      <c r="C13" s="3266">
        <v>9.7000000000000003E-2</v>
      </c>
      <c r="D13" s="3266">
        <v>9.1999999999999998E-2</v>
      </c>
      <c r="E13" s="3266">
        <v>9.5000000000000001E-2</v>
      </c>
      <c r="F13" s="3266">
        <v>0.1</v>
      </c>
      <c r="G13" s="3267">
        <v>9.7000000000000003E-2</v>
      </c>
    </row>
    <row r="14" spans="1:7">
      <c r="A14" s="3264" t="s">
        <v>184</v>
      </c>
      <c r="B14" s="3265" t="s">
        <v>155</v>
      </c>
      <c r="C14" s="3266">
        <v>9.7000000000000003E-2</v>
      </c>
      <c r="D14" s="3266">
        <v>9.7000000000000003E-2</v>
      </c>
      <c r="E14" s="3266">
        <v>9.7000000000000003E-2</v>
      </c>
      <c r="F14" s="3266">
        <v>0.1</v>
      </c>
      <c r="G14" s="3267">
        <v>9.8000000000000004E-2</v>
      </c>
    </row>
    <row r="15" spans="1:7">
      <c r="A15" s="3264" t="s">
        <v>184</v>
      </c>
      <c r="B15" s="3265" t="s">
        <v>162</v>
      </c>
      <c r="C15" s="3266">
        <v>9.8000000000000004E-2</v>
      </c>
      <c r="D15" s="3266">
        <v>9.0999999999999998E-2</v>
      </c>
      <c r="E15" s="3266">
        <v>0.06</v>
      </c>
      <c r="F15" s="3266">
        <v>0.1</v>
      </c>
      <c r="G15" s="3267">
        <v>9.7000000000000003E-2</v>
      </c>
    </row>
    <row r="16" spans="1:7">
      <c r="A16" s="3264" t="s">
        <v>184</v>
      </c>
      <c r="B16" s="3265" t="s">
        <v>168</v>
      </c>
      <c r="C16" s="3266">
        <v>9.8000000000000004E-2</v>
      </c>
      <c r="D16" s="3266">
        <v>9.7000000000000003E-2</v>
      </c>
      <c r="E16" s="3266">
        <v>9.5000000000000001E-2</v>
      </c>
      <c r="F16" s="3266">
        <v>0.1</v>
      </c>
      <c r="G16" s="3267">
        <v>9.9000000000000005E-2</v>
      </c>
    </row>
    <row r="17" spans="1:7">
      <c r="A17" s="3264" t="s">
        <v>184</v>
      </c>
      <c r="B17" s="3265" t="s">
        <v>175</v>
      </c>
      <c r="C17" s="3266">
        <v>8.8999999999999996E-2</v>
      </c>
      <c r="D17" s="3266">
        <v>9.1999999999999998E-2</v>
      </c>
      <c r="E17" s="3266">
        <v>6.0999999999999999E-2</v>
      </c>
      <c r="F17" s="3266">
        <v>0.1</v>
      </c>
      <c r="G17" s="3267">
        <v>9.7000000000000003E-2</v>
      </c>
    </row>
    <row r="18" spans="1:7">
      <c r="A18" s="3264" t="s">
        <v>184</v>
      </c>
      <c r="B18" s="3265" t="s">
        <v>185</v>
      </c>
      <c r="C18" s="3266">
        <v>9.8000000000000004E-2</v>
      </c>
      <c r="D18" s="3266">
        <v>9.8000000000000004E-2</v>
      </c>
      <c r="E18" s="3266">
        <v>9.8000000000000004E-2</v>
      </c>
      <c r="F18" s="3273"/>
      <c r="G18" s="3267">
        <v>9.9000000000000005E-2</v>
      </c>
    </row>
    <row r="19" spans="1:7">
      <c r="A19" s="3264" t="s">
        <v>184</v>
      </c>
      <c r="B19" s="3265" t="s">
        <v>194</v>
      </c>
      <c r="C19" s="3266">
        <v>9.9000000000000005E-2</v>
      </c>
      <c r="D19" s="3266">
        <v>7.3999999999999996E-2</v>
      </c>
      <c r="E19" s="3266">
        <v>8.1000000000000003E-2</v>
      </c>
      <c r="F19" s="3273"/>
      <c r="G19" s="3267">
        <v>9.2999999999999999E-2</v>
      </c>
    </row>
    <row r="20" spans="1:7">
      <c r="A20" s="3264" t="s">
        <v>184</v>
      </c>
      <c r="B20" s="3265" t="s">
        <v>201</v>
      </c>
      <c r="C20" s="3266">
        <v>0.1</v>
      </c>
      <c r="D20" s="3266">
        <v>8.8999999999999996E-2</v>
      </c>
      <c r="E20" s="3266">
        <v>8.8999999999999996E-2</v>
      </c>
      <c r="F20" s="3273"/>
      <c r="G20" s="3267">
        <v>9.5000000000000001E-2</v>
      </c>
    </row>
    <row r="21" spans="1:7">
      <c r="A21" s="3264" t="s">
        <v>184</v>
      </c>
      <c r="B21" s="3265" t="s">
        <v>208</v>
      </c>
      <c r="C21" s="3266">
        <v>0.1</v>
      </c>
      <c r="D21" s="3266">
        <v>9.0999999999999998E-2</v>
      </c>
      <c r="E21" s="3266">
        <v>8.2000000000000003E-2</v>
      </c>
      <c r="F21" s="3273"/>
      <c r="G21" s="3267">
        <v>9.7000000000000003E-2</v>
      </c>
    </row>
    <row r="22" spans="1:7">
      <c r="A22" s="3264" t="s">
        <v>184</v>
      </c>
      <c r="B22" s="3265" t="s">
        <v>2914</v>
      </c>
      <c r="C22" s="3266">
        <v>9.5000000000000001E-2</v>
      </c>
      <c r="D22" s="3266">
        <v>9.9000000000000005E-2</v>
      </c>
      <c r="E22" s="3266">
        <v>9.8000000000000004E-2</v>
      </c>
      <c r="F22" s="3273"/>
      <c r="G22" s="3267">
        <v>0.1</v>
      </c>
    </row>
    <row r="23" spans="1:7">
      <c r="A23" s="3264" t="s">
        <v>184</v>
      </c>
      <c r="B23" s="3265" t="s">
        <v>222</v>
      </c>
      <c r="C23" s="3266">
        <v>9.9000000000000005E-2</v>
      </c>
      <c r="D23" s="3266">
        <v>0.1</v>
      </c>
      <c r="E23" s="3266">
        <v>0.1</v>
      </c>
      <c r="F23" s="3273"/>
      <c r="G23" s="3267">
        <v>0.1</v>
      </c>
    </row>
    <row r="24" spans="1:7">
      <c r="A24" s="3264" t="s">
        <v>184</v>
      </c>
      <c r="B24" s="3265" t="s">
        <v>230</v>
      </c>
      <c r="C24" s="3266">
        <v>9.5000000000000001E-2</v>
      </c>
      <c r="D24" s="3266">
        <v>0.1</v>
      </c>
      <c r="E24" s="3266">
        <v>9.8000000000000004E-2</v>
      </c>
      <c r="F24" s="3273"/>
      <c r="G24" s="3267">
        <v>0.1</v>
      </c>
    </row>
    <row r="25" spans="1:7">
      <c r="A25" s="3264" t="s">
        <v>184</v>
      </c>
      <c r="B25" s="3265" t="s">
        <v>235</v>
      </c>
      <c r="C25" s="3266">
        <v>0.05</v>
      </c>
      <c r="D25" s="3266">
        <v>9.6000000000000002E-2</v>
      </c>
      <c r="E25" s="3266">
        <v>9.6000000000000002E-2</v>
      </c>
      <c r="F25" s="3273"/>
      <c r="G25" s="3267">
        <v>9.6000000000000002E-2</v>
      </c>
    </row>
    <row r="26" spans="1:7">
      <c r="A26" s="3264" t="s">
        <v>184</v>
      </c>
      <c r="B26" s="3265" t="s">
        <v>244</v>
      </c>
      <c r="C26" s="3266">
        <v>6.3E-2</v>
      </c>
      <c r="D26" s="3266">
        <v>9.9000000000000005E-2</v>
      </c>
      <c r="E26" s="3266">
        <v>9.8000000000000004E-2</v>
      </c>
      <c r="F26" s="3273"/>
      <c r="G26" s="3267">
        <v>0.1</v>
      </c>
    </row>
    <row r="27" spans="1:7">
      <c r="A27" s="3264" t="s">
        <v>184</v>
      </c>
      <c r="B27" s="3265" t="s">
        <v>251</v>
      </c>
      <c r="C27" s="3266">
        <v>5.1999999999999998E-2</v>
      </c>
      <c r="D27" s="3266">
        <v>9.5000000000000001E-2</v>
      </c>
      <c r="E27" s="3266">
        <v>6.4000000000000001E-2</v>
      </c>
      <c r="F27" s="3273"/>
      <c r="G27" s="3267">
        <v>9.7000000000000003E-2</v>
      </c>
    </row>
    <row r="28" spans="1:7">
      <c r="A28" s="3264" t="s">
        <v>184</v>
      </c>
      <c r="B28" s="3265" t="s">
        <v>259</v>
      </c>
      <c r="C28" s="3273"/>
      <c r="D28" s="3266">
        <v>6.3E-2</v>
      </c>
      <c r="E28" s="3266">
        <v>5.1999999999999998E-2</v>
      </c>
      <c r="F28" s="3273"/>
      <c r="G28" s="3267">
        <v>6.3E-2</v>
      </c>
    </row>
    <row r="29" spans="1:7" ht="14.25" thickBot="1">
      <c r="A29" s="3268" t="s">
        <v>184</v>
      </c>
      <c r="B29" s="3269" t="s">
        <v>2932</v>
      </c>
      <c r="C29" s="3274"/>
      <c r="D29" s="3270">
        <v>5.1999999999999998E-2</v>
      </c>
      <c r="E29" s="3270">
        <v>7.0000000000000007E-2</v>
      </c>
      <c r="F29" s="3274"/>
      <c r="G29" s="3272">
        <v>7.0999999999999994E-2</v>
      </c>
    </row>
    <row r="30" spans="1:7">
      <c r="A30" s="3275" t="s">
        <v>296</v>
      </c>
      <c r="B30" s="3261" t="s">
        <v>2865</v>
      </c>
      <c r="C30" s="3262">
        <v>6.6000000000000003E-2</v>
      </c>
      <c r="D30" s="3262">
        <v>6.6000000000000003E-2</v>
      </c>
      <c r="E30" s="3262">
        <v>5.7000000000000002E-2</v>
      </c>
      <c r="F30" s="3262">
        <v>0.1</v>
      </c>
      <c r="G30" s="3263">
        <v>6.8000000000000005E-2</v>
      </c>
    </row>
    <row r="31" spans="1:7">
      <c r="A31" s="3276" t="s">
        <v>296</v>
      </c>
      <c r="B31" s="3265" t="s">
        <v>129</v>
      </c>
      <c r="C31" s="3266">
        <v>5.5E-2</v>
      </c>
      <c r="D31" s="3266">
        <v>8.2000000000000003E-2</v>
      </c>
      <c r="E31" s="3266">
        <v>6.4000000000000001E-2</v>
      </c>
      <c r="F31" s="3266">
        <v>0.1</v>
      </c>
      <c r="G31" s="3267">
        <v>9.5000000000000001E-2</v>
      </c>
    </row>
    <row r="32" spans="1:7">
      <c r="A32" s="3276" t="s">
        <v>296</v>
      </c>
      <c r="B32" s="3265" t="s">
        <v>138</v>
      </c>
      <c r="C32" s="3266">
        <v>8.2000000000000003E-2</v>
      </c>
      <c r="D32" s="3266">
        <v>8.6999999999999994E-2</v>
      </c>
      <c r="E32" s="3266">
        <v>9.5000000000000001E-2</v>
      </c>
      <c r="F32" s="3266">
        <v>0.1</v>
      </c>
      <c r="G32" s="3267">
        <v>9.6000000000000002E-2</v>
      </c>
    </row>
    <row r="33" spans="1:7">
      <c r="A33" s="3276" t="s">
        <v>296</v>
      </c>
      <c r="B33" s="3265" t="s">
        <v>147</v>
      </c>
      <c r="C33" s="3266">
        <v>9.9000000000000005E-2</v>
      </c>
      <c r="D33" s="3266">
        <v>9.1999999999999998E-2</v>
      </c>
      <c r="E33" s="3266">
        <v>8.6999999999999994E-2</v>
      </c>
      <c r="F33" s="3266">
        <v>0.1</v>
      </c>
      <c r="G33" s="3267">
        <v>9.7000000000000003E-2</v>
      </c>
    </row>
    <row r="34" spans="1:7">
      <c r="A34" s="3276" t="s">
        <v>296</v>
      </c>
      <c r="B34" s="3265" t="s">
        <v>156</v>
      </c>
      <c r="C34" s="3266">
        <v>8.4000000000000005E-2</v>
      </c>
      <c r="D34" s="3266">
        <v>9.7000000000000003E-2</v>
      </c>
      <c r="E34" s="3266">
        <v>7.0999999999999994E-2</v>
      </c>
      <c r="F34" s="3266">
        <v>0.1</v>
      </c>
      <c r="G34" s="3267">
        <v>9.8000000000000004E-2</v>
      </c>
    </row>
    <row r="35" spans="1:7">
      <c r="A35" s="3276" t="s">
        <v>296</v>
      </c>
      <c r="B35" s="3265" t="s">
        <v>163</v>
      </c>
      <c r="C35" s="3266">
        <v>8.3000000000000004E-2</v>
      </c>
      <c r="D35" s="3266">
        <v>9.7000000000000003E-2</v>
      </c>
      <c r="E35" s="3266">
        <v>6.0999999999999999E-2</v>
      </c>
      <c r="F35" s="3266">
        <v>0.1</v>
      </c>
      <c r="G35" s="3267">
        <v>9.9000000000000005E-2</v>
      </c>
    </row>
    <row r="36" spans="1:7">
      <c r="A36" s="3276" t="s">
        <v>296</v>
      </c>
      <c r="B36" s="3265" t="s">
        <v>169</v>
      </c>
      <c r="C36" s="3266">
        <v>9.7000000000000003E-2</v>
      </c>
      <c r="D36" s="3266">
        <v>9.7000000000000003E-2</v>
      </c>
      <c r="E36" s="3266">
        <v>7.8E-2</v>
      </c>
      <c r="F36" s="3266">
        <v>0.1</v>
      </c>
      <c r="G36" s="3267">
        <v>9.9000000000000005E-2</v>
      </c>
    </row>
    <row r="37" spans="1:7">
      <c r="A37" s="3276" t="s">
        <v>296</v>
      </c>
      <c r="B37" s="3265" t="s">
        <v>176</v>
      </c>
      <c r="C37" s="3266">
        <v>9.7000000000000003E-2</v>
      </c>
      <c r="D37" s="3266">
        <v>9.5000000000000001E-2</v>
      </c>
      <c r="E37" s="3266">
        <v>7.8E-2</v>
      </c>
      <c r="F37" s="3266">
        <v>0.1</v>
      </c>
      <c r="G37" s="3267">
        <v>9.7000000000000003E-2</v>
      </c>
    </row>
    <row r="38" spans="1:7">
      <c r="A38" s="3276" t="s">
        <v>296</v>
      </c>
      <c r="B38" s="3265" t="s">
        <v>186</v>
      </c>
      <c r="C38" s="3266">
        <v>9.7000000000000003E-2</v>
      </c>
      <c r="D38" s="3266">
        <v>7.6999999999999999E-2</v>
      </c>
      <c r="E38" s="3266">
        <v>7.0000000000000007E-2</v>
      </c>
      <c r="F38" s="3266">
        <v>0.1</v>
      </c>
      <c r="G38" s="3267">
        <v>7.6999999999999999E-2</v>
      </c>
    </row>
    <row r="39" spans="1:7">
      <c r="A39" s="3276" t="s">
        <v>296</v>
      </c>
      <c r="B39" s="3265" t="s">
        <v>195</v>
      </c>
      <c r="C39" s="3266">
        <v>9.5000000000000001E-2</v>
      </c>
      <c r="D39" s="3266">
        <v>7.6999999999999999E-2</v>
      </c>
      <c r="E39" s="3266">
        <v>6.6000000000000003E-2</v>
      </c>
      <c r="F39" s="3266">
        <v>0.1</v>
      </c>
      <c r="G39" s="3267">
        <v>8.5999999999999993E-2</v>
      </c>
    </row>
    <row r="40" spans="1:7">
      <c r="A40" s="3276" t="s">
        <v>296</v>
      </c>
      <c r="B40" s="3265" t="s">
        <v>202</v>
      </c>
      <c r="C40" s="3266">
        <v>7.6999999999999999E-2</v>
      </c>
      <c r="D40" s="3266">
        <v>7.8E-2</v>
      </c>
      <c r="E40" s="3266">
        <v>8.2000000000000003E-2</v>
      </c>
      <c r="F40" s="3277"/>
      <c r="G40" s="3267">
        <v>7.8E-2</v>
      </c>
    </row>
    <row r="41" spans="1:7">
      <c r="A41" s="3276" t="s">
        <v>296</v>
      </c>
      <c r="B41" s="3265" t="s">
        <v>209</v>
      </c>
      <c r="C41" s="3266">
        <v>7.8E-2</v>
      </c>
      <c r="D41" s="3266">
        <v>7.8E-2</v>
      </c>
      <c r="E41" s="3266">
        <v>8.2000000000000003E-2</v>
      </c>
      <c r="F41" s="3277"/>
      <c r="G41" s="3267">
        <v>8.5999999999999993E-2</v>
      </c>
    </row>
    <row r="42" spans="1:7">
      <c r="A42" s="3276" t="s">
        <v>296</v>
      </c>
      <c r="B42" s="3265" t="s">
        <v>215</v>
      </c>
      <c r="C42" s="3266">
        <v>7.8E-2</v>
      </c>
      <c r="D42" s="3266">
        <v>9.6000000000000002E-2</v>
      </c>
      <c r="E42" s="3266">
        <v>7.1999999999999995E-2</v>
      </c>
      <c r="F42" s="3277"/>
      <c r="G42" s="3267">
        <v>9.8000000000000004E-2</v>
      </c>
    </row>
    <row r="43" spans="1:7">
      <c r="A43" s="3276" t="s">
        <v>2851</v>
      </c>
      <c r="B43" s="3265" t="s">
        <v>223</v>
      </c>
      <c r="C43" s="3266">
        <v>7.8E-2</v>
      </c>
      <c r="D43" s="3266">
        <v>9.9000000000000005E-2</v>
      </c>
      <c r="E43" s="3266">
        <v>9.6000000000000002E-2</v>
      </c>
      <c r="F43" s="3277"/>
      <c r="G43" s="3267">
        <v>0.1</v>
      </c>
    </row>
    <row r="44" spans="1:7">
      <c r="A44" s="3276" t="s">
        <v>296</v>
      </c>
      <c r="B44" s="3265" t="s">
        <v>231</v>
      </c>
      <c r="C44" s="3266">
        <v>9.6000000000000002E-2</v>
      </c>
      <c r="D44" s="3266">
        <v>0.1</v>
      </c>
      <c r="E44" s="3266">
        <v>9.8000000000000004E-2</v>
      </c>
      <c r="F44" s="3277"/>
      <c r="G44" s="3267">
        <v>0.1</v>
      </c>
    </row>
    <row r="45" spans="1:7">
      <c r="A45" s="3276" t="s">
        <v>296</v>
      </c>
      <c r="B45" s="3265" t="s">
        <v>236</v>
      </c>
      <c r="C45" s="3266">
        <v>9.9000000000000005E-2</v>
      </c>
      <c r="D45" s="3266">
        <v>9.8000000000000004E-2</v>
      </c>
      <c r="E45" s="3266">
        <v>9.5000000000000001E-2</v>
      </c>
      <c r="F45" s="3277"/>
      <c r="G45" s="3267">
        <v>9.8000000000000004E-2</v>
      </c>
    </row>
    <row r="46" spans="1:7">
      <c r="A46" s="3276" t="s">
        <v>296</v>
      </c>
      <c r="B46" s="3265" t="s">
        <v>245</v>
      </c>
      <c r="C46" s="3266">
        <v>0.1</v>
      </c>
      <c r="D46" s="3266">
        <v>9.9000000000000005E-2</v>
      </c>
      <c r="E46" s="3266">
        <v>9.6000000000000002E-2</v>
      </c>
      <c r="F46" s="3277"/>
      <c r="G46" s="3267">
        <v>0.1</v>
      </c>
    </row>
    <row r="47" spans="1:7">
      <c r="A47" s="3276" t="s">
        <v>296</v>
      </c>
      <c r="B47" s="3265" t="s">
        <v>252</v>
      </c>
      <c r="C47" s="3266">
        <v>9.8000000000000004E-2</v>
      </c>
      <c r="D47" s="3266">
        <v>8.6999999999999994E-2</v>
      </c>
      <c r="E47" s="3266">
        <v>5.8999999999999997E-2</v>
      </c>
      <c r="F47" s="3277"/>
      <c r="G47" s="3267">
        <v>9.6000000000000002E-2</v>
      </c>
    </row>
    <row r="48" spans="1:7">
      <c r="A48" s="3276" t="s">
        <v>296</v>
      </c>
      <c r="B48" s="3265" t="s">
        <v>260</v>
      </c>
      <c r="C48" s="3266">
        <v>9.9000000000000005E-2</v>
      </c>
      <c r="D48" s="3266">
        <v>9.8000000000000004E-2</v>
      </c>
      <c r="E48" s="3266">
        <v>9.5000000000000001E-2</v>
      </c>
      <c r="F48" s="3277"/>
      <c r="G48" s="3267">
        <v>9.8000000000000004E-2</v>
      </c>
    </row>
    <row r="49" spans="1:7">
      <c r="A49" s="3276" t="s">
        <v>296</v>
      </c>
      <c r="B49" s="3265" t="s">
        <v>267</v>
      </c>
      <c r="C49" s="3266">
        <v>8.7999999999999995E-2</v>
      </c>
      <c r="D49" s="3266">
        <v>9.9000000000000005E-2</v>
      </c>
      <c r="E49" s="3266">
        <v>7.0000000000000007E-2</v>
      </c>
      <c r="F49" s="3277"/>
      <c r="G49" s="3267">
        <v>0.1</v>
      </c>
    </row>
    <row r="50" spans="1:7">
      <c r="A50" s="3276" t="s">
        <v>296</v>
      </c>
      <c r="B50" s="3265" t="s">
        <v>2935</v>
      </c>
      <c r="C50" s="3266">
        <v>9.8000000000000004E-2</v>
      </c>
      <c r="D50" s="3266">
        <v>7.2999999999999995E-2</v>
      </c>
      <c r="E50" s="3266">
        <v>7.0999999999999994E-2</v>
      </c>
      <c r="F50" s="3277"/>
      <c r="G50" s="3267">
        <v>7.2999999999999995E-2</v>
      </c>
    </row>
    <row r="51" spans="1:7">
      <c r="A51" s="3276" t="s">
        <v>296</v>
      </c>
      <c r="B51" s="3265" t="s">
        <v>2937</v>
      </c>
      <c r="C51" s="3266">
        <v>9.9000000000000005E-2</v>
      </c>
      <c r="D51" s="3266">
        <v>8.5000000000000006E-2</v>
      </c>
      <c r="E51" s="3266">
        <v>6.3E-2</v>
      </c>
      <c r="F51" s="3277"/>
      <c r="G51" s="3267">
        <v>9.6000000000000002E-2</v>
      </c>
    </row>
    <row r="52" spans="1:7">
      <c r="A52" s="3276" t="s">
        <v>296</v>
      </c>
      <c r="B52" s="3265" t="s">
        <v>2941</v>
      </c>
      <c r="C52" s="3266">
        <v>7.3999999999999996E-2</v>
      </c>
      <c r="D52" s="3266">
        <v>9.6000000000000002E-2</v>
      </c>
      <c r="E52" s="3266">
        <v>0.05</v>
      </c>
      <c r="F52" s="3277"/>
      <c r="G52" s="3267">
        <v>9.8000000000000004E-2</v>
      </c>
    </row>
    <row r="53" spans="1:7">
      <c r="A53" s="3276" t="s">
        <v>296</v>
      </c>
      <c r="B53" s="3265" t="s">
        <v>2946</v>
      </c>
      <c r="C53" s="3266">
        <v>8.5999999999999993E-2</v>
      </c>
      <c r="D53" s="3277"/>
      <c r="E53" s="3266">
        <v>9.1999999999999998E-2</v>
      </c>
      <c r="F53" s="3277"/>
      <c r="G53" s="3278"/>
    </row>
    <row r="54" spans="1:7" ht="14.25" thickBot="1">
      <c r="A54" s="3279" t="s">
        <v>296</v>
      </c>
      <c r="B54" s="3269" t="s">
        <v>2949</v>
      </c>
      <c r="C54" s="3270">
        <v>9.6000000000000002E-2</v>
      </c>
      <c r="D54" s="3271"/>
      <c r="E54" s="3280"/>
      <c r="F54" s="3271"/>
      <c r="G54" s="3281"/>
    </row>
    <row r="55" spans="1:7">
      <c r="A55" s="3275" t="s">
        <v>110</v>
      </c>
      <c r="B55" s="3261" t="s">
        <v>2866</v>
      </c>
      <c r="C55" s="3262">
        <v>9.6000000000000002E-2</v>
      </c>
      <c r="D55" s="3262">
        <v>8.4000000000000005E-2</v>
      </c>
      <c r="E55" s="3262">
        <v>9.1999999999999998E-2</v>
      </c>
      <c r="F55" s="3262">
        <v>0.1</v>
      </c>
      <c r="G55" s="3263">
        <v>9.5000000000000001E-2</v>
      </c>
    </row>
    <row r="56" spans="1:7">
      <c r="A56" s="3276" t="s">
        <v>110</v>
      </c>
      <c r="B56" s="3265" t="s">
        <v>130</v>
      </c>
      <c r="C56" s="3266">
        <v>8.4000000000000005E-2</v>
      </c>
      <c r="D56" s="3266">
        <v>9.1999999999999998E-2</v>
      </c>
      <c r="E56" s="3266">
        <v>9.5000000000000001E-2</v>
      </c>
      <c r="F56" s="3266">
        <v>9.1999999999999998E-2</v>
      </c>
      <c r="G56" s="3267">
        <v>9.6000000000000002E-2</v>
      </c>
    </row>
    <row r="57" spans="1:7">
      <c r="A57" s="3276" t="s">
        <v>110</v>
      </c>
      <c r="B57" s="3265" t="s">
        <v>139</v>
      </c>
      <c r="C57" s="3266">
        <v>9.9000000000000005E-2</v>
      </c>
      <c r="D57" s="3266">
        <v>9.6000000000000002E-2</v>
      </c>
      <c r="E57" s="3266">
        <v>9.1999999999999998E-2</v>
      </c>
      <c r="F57" s="3266">
        <v>0.1</v>
      </c>
      <c r="G57" s="3267">
        <v>9.8000000000000004E-2</v>
      </c>
    </row>
    <row r="58" spans="1:7">
      <c r="A58" s="3276" t="s">
        <v>110</v>
      </c>
      <c r="B58" s="3265" t="s">
        <v>148</v>
      </c>
      <c r="C58" s="3266">
        <v>9.8000000000000004E-2</v>
      </c>
      <c r="D58" s="3266">
        <v>9.5000000000000001E-2</v>
      </c>
      <c r="E58" s="3266">
        <v>5.7000000000000002E-2</v>
      </c>
      <c r="F58" s="3266">
        <v>0.1</v>
      </c>
      <c r="G58" s="3267">
        <v>9.6000000000000002E-2</v>
      </c>
    </row>
    <row r="59" spans="1:7">
      <c r="A59" s="3276" t="s">
        <v>110</v>
      </c>
      <c r="B59" s="3265" t="s">
        <v>157</v>
      </c>
      <c r="C59" s="3266">
        <v>9.5000000000000001E-2</v>
      </c>
      <c r="D59" s="3266">
        <v>0.1</v>
      </c>
      <c r="E59" s="3266">
        <v>7.4999999999999997E-2</v>
      </c>
      <c r="F59" s="3266">
        <v>0.1</v>
      </c>
      <c r="G59" s="3267">
        <v>0.1</v>
      </c>
    </row>
    <row r="60" spans="1:7">
      <c r="A60" s="3276" t="s">
        <v>110</v>
      </c>
      <c r="B60" s="3265" t="s">
        <v>164</v>
      </c>
      <c r="C60" s="3266">
        <v>0.1</v>
      </c>
      <c r="D60" s="3266">
        <v>9.7000000000000003E-2</v>
      </c>
      <c r="E60" s="3266">
        <v>0.1</v>
      </c>
      <c r="F60" s="3266">
        <v>0.1</v>
      </c>
      <c r="G60" s="3267">
        <v>9.7000000000000003E-2</v>
      </c>
    </row>
    <row r="61" spans="1:7">
      <c r="A61" s="3276" t="s">
        <v>110</v>
      </c>
      <c r="B61" s="3265" t="s">
        <v>170</v>
      </c>
      <c r="C61" s="3266">
        <v>9.7000000000000003E-2</v>
      </c>
      <c r="D61" s="3266">
        <v>0.1</v>
      </c>
      <c r="E61" s="3266">
        <v>9.2999999999999999E-2</v>
      </c>
      <c r="F61" s="3266">
        <v>0.1</v>
      </c>
      <c r="G61" s="3267">
        <v>0.1</v>
      </c>
    </row>
    <row r="62" spans="1:7">
      <c r="A62" s="3276" t="s">
        <v>110</v>
      </c>
      <c r="B62" s="3265" t="s">
        <v>177</v>
      </c>
      <c r="C62" s="3266">
        <v>0.1</v>
      </c>
      <c r="D62" s="3266">
        <v>9.7000000000000003E-2</v>
      </c>
      <c r="E62" s="3266">
        <v>8.8999999999999996E-2</v>
      </c>
      <c r="F62" s="3266">
        <v>0.1</v>
      </c>
      <c r="G62" s="3267">
        <v>9.8000000000000004E-2</v>
      </c>
    </row>
    <row r="63" spans="1:7">
      <c r="A63" s="3276" t="s">
        <v>110</v>
      </c>
      <c r="B63" s="3265" t="s">
        <v>187</v>
      </c>
      <c r="C63" s="3266">
        <v>9.7000000000000003E-2</v>
      </c>
      <c r="D63" s="3266">
        <v>9.7000000000000003E-2</v>
      </c>
      <c r="E63" s="3266">
        <v>9.9000000000000005E-2</v>
      </c>
      <c r="F63" s="3266">
        <v>0.1</v>
      </c>
      <c r="G63" s="3267">
        <v>9.7000000000000003E-2</v>
      </c>
    </row>
    <row r="64" spans="1:7">
      <c r="A64" s="3276" t="s">
        <v>110</v>
      </c>
      <c r="B64" s="3265" t="s">
        <v>196</v>
      </c>
      <c r="C64" s="3266">
        <v>9.7000000000000003E-2</v>
      </c>
      <c r="D64" s="3266">
        <v>7.3999999999999996E-2</v>
      </c>
      <c r="E64" s="3266">
        <v>7.8E-2</v>
      </c>
      <c r="F64" s="3266">
        <v>0.1</v>
      </c>
      <c r="G64" s="3267">
        <v>8.8999999999999996E-2</v>
      </c>
    </row>
    <row r="65" spans="1:7">
      <c r="A65" s="3276" t="s">
        <v>110</v>
      </c>
      <c r="B65" s="3265" t="s">
        <v>203</v>
      </c>
      <c r="C65" s="3266">
        <v>7.2999999999999995E-2</v>
      </c>
      <c r="D65" s="3266">
        <v>9.8000000000000004E-2</v>
      </c>
      <c r="E65" s="3266">
        <v>9.5000000000000001E-2</v>
      </c>
      <c r="F65" s="3266">
        <v>0.1</v>
      </c>
      <c r="G65" s="3267">
        <v>9.9000000000000005E-2</v>
      </c>
    </row>
    <row r="66" spans="1:7">
      <c r="A66" s="3276" t="s">
        <v>110</v>
      </c>
      <c r="B66" s="3265" t="s">
        <v>210</v>
      </c>
      <c r="C66" s="3266">
        <v>9.8000000000000004E-2</v>
      </c>
      <c r="D66" s="3266">
        <v>9.5000000000000001E-2</v>
      </c>
      <c r="E66" s="3266">
        <v>0.05</v>
      </c>
      <c r="F66" s="3266">
        <v>0.1</v>
      </c>
      <c r="G66" s="3267">
        <v>9.7000000000000003E-2</v>
      </c>
    </row>
    <row r="67" spans="1:7">
      <c r="A67" s="3276" t="s">
        <v>110</v>
      </c>
      <c r="B67" s="3265" t="s">
        <v>216</v>
      </c>
      <c r="C67" s="3266">
        <v>9.5000000000000001E-2</v>
      </c>
      <c r="D67" s="3266">
        <v>9.7000000000000003E-2</v>
      </c>
      <c r="E67" s="3266">
        <v>9.7000000000000003E-2</v>
      </c>
      <c r="F67" s="3266">
        <v>0.1</v>
      </c>
      <c r="G67" s="3267">
        <v>9.9000000000000005E-2</v>
      </c>
    </row>
    <row r="68" spans="1:7">
      <c r="A68" s="3276" t="s">
        <v>110</v>
      </c>
      <c r="B68" s="3265" t="s">
        <v>224</v>
      </c>
      <c r="C68" s="3266">
        <v>9.7000000000000003E-2</v>
      </c>
      <c r="D68" s="3266">
        <v>6.8000000000000005E-2</v>
      </c>
      <c r="E68" s="3266">
        <v>6.6000000000000003E-2</v>
      </c>
      <c r="F68" s="3266">
        <v>0.1</v>
      </c>
      <c r="G68" s="3267">
        <v>8.4000000000000005E-2</v>
      </c>
    </row>
    <row r="69" spans="1:7">
      <c r="A69" s="3276" t="s">
        <v>110</v>
      </c>
      <c r="B69" s="3265" t="s">
        <v>232</v>
      </c>
      <c r="C69" s="3266">
        <v>6.8000000000000005E-2</v>
      </c>
      <c r="D69" s="3266">
        <v>9.8000000000000004E-2</v>
      </c>
      <c r="E69" s="3266">
        <v>9.5000000000000001E-2</v>
      </c>
      <c r="F69" s="3266">
        <v>0.1</v>
      </c>
      <c r="G69" s="3267">
        <v>0.1</v>
      </c>
    </row>
    <row r="70" spans="1:7">
      <c r="A70" s="3276" t="s">
        <v>110</v>
      </c>
      <c r="B70" s="3265" t="s">
        <v>237</v>
      </c>
      <c r="C70" s="3266">
        <v>9.8000000000000004E-2</v>
      </c>
      <c r="D70" s="3266">
        <v>8.8999999999999996E-2</v>
      </c>
      <c r="E70" s="3266">
        <v>5.8999999999999997E-2</v>
      </c>
      <c r="F70" s="3266">
        <v>0.1</v>
      </c>
      <c r="G70" s="3267">
        <v>9.6000000000000002E-2</v>
      </c>
    </row>
    <row r="71" spans="1:7">
      <c r="A71" s="3276" t="s">
        <v>110</v>
      </c>
      <c r="B71" s="3265" t="s">
        <v>246</v>
      </c>
      <c r="C71" s="3266">
        <v>8.8999999999999996E-2</v>
      </c>
      <c r="D71" s="3266">
        <v>9.9000000000000005E-2</v>
      </c>
      <c r="E71" s="3266">
        <v>9.6000000000000002E-2</v>
      </c>
      <c r="F71" s="3266">
        <v>0.1</v>
      </c>
      <c r="G71" s="3267">
        <v>0.1</v>
      </c>
    </row>
    <row r="72" spans="1:7">
      <c r="A72" s="3276" t="s">
        <v>110</v>
      </c>
      <c r="B72" s="3265" t="s">
        <v>253</v>
      </c>
      <c r="C72" s="3266">
        <v>9.9000000000000005E-2</v>
      </c>
      <c r="D72" s="3266">
        <v>0.1</v>
      </c>
      <c r="E72" s="3266">
        <v>7.0000000000000007E-2</v>
      </c>
      <c r="F72" s="3277"/>
      <c r="G72" s="3267">
        <v>0.1</v>
      </c>
    </row>
    <row r="73" spans="1:7">
      <c r="A73" s="3276" t="s">
        <v>110</v>
      </c>
      <c r="B73" s="3265" t="s">
        <v>261</v>
      </c>
      <c r="C73" s="3266">
        <v>0.1</v>
      </c>
      <c r="D73" s="3266">
        <v>0.1</v>
      </c>
      <c r="E73" s="3266">
        <v>9.6000000000000002E-2</v>
      </c>
      <c r="F73" s="3277"/>
      <c r="G73" s="3267">
        <v>0.1</v>
      </c>
    </row>
    <row r="74" spans="1:7">
      <c r="A74" s="3276" t="s">
        <v>110</v>
      </c>
      <c r="B74" s="3265" t="s">
        <v>268</v>
      </c>
      <c r="C74" s="3266">
        <v>0.1</v>
      </c>
      <c r="D74" s="3266">
        <v>0.1</v>
      </c>
      <c r="E74" s="3266">
        <v>9.8000000000000004E-2</v>
      </c>
      <c r="F74" s="3277"/>
      <c r="G74" s="3267">
        <v>0.1</v>
      </c>
    </row>
    <row r="75" spans="1:7">
      <c r="A75" s="3276" t="s">
        <v>110</v>
      </c>
      <c r="B75" s="3265" t="s">
        <v>272</v>
      </c>
      <c r="C75" s="3266">
        <v>0.1</v>
      </c>
      <c r="D75" s="3266">
        <v>9.9000000000000005E-2</v>
      </c>
      <c r="E75" s="3266">
        <v>9.8000000000000004E-2</v>
      </c>
      <c r="F75" s="3277"/>
      <c r="G75" s="3267">
        <v>0.1</v>
      </c>
    </row>
    <row r="76" spans="1:7">
      <c r="A76" s="3276" t="s">
        <v>110</v>
      </c>
      <c r="B76" s="3265" t="s">
        <v>278</v>
      </c>
      <c r="C76" s="3266">
        <v>9.9000000000000005E-2</v>
      </c>
      <c r="D76" s="3266">
        <v>0.1</v>
      </c>
      <c r="E76" s="3266">
        <v>9.7000000000000003E-2</v>
      </c>
      <c r="F76" s="3277"/>
      <c r="G76" s="3267">
        <v>0.1</v>
      </c>
    </row>
    <row r="77" spans="1:7">
      <c r="A77" s="3276" t="s">
        <v>110</v>
      </c>
      <c r="B77" s="3265" t="s">
        <v>281</v>
      </c>
      <c r="C77" s="3266">
        <v>0.1</v>
      </c>
      <c r="D77" s="3266">
        <v>0.1</v>
      </c>
      <c r="E77" s="3266">
        <v>9.6000000000000002E-2</v>
      </c>
      <c r="F77" s="3277"/>
      <c r="G77" s="3267">
        <v>0.1</v>
      </c>
    </row>
    <row r="78" spans="1:7">
      <c r="A78" s="3276" t="s">
        <v>110</v>
      </c>
      <c r="B78" s="3265" t="s">
        <v>2947</v>
      </c>
      <c r="C78" s="3266">
        <v>0.1</v>
      </c>
      <c r="D78" s="3266">
        <v>8.5000000000000006E-2</v>
      </c>
      <c r="E78" s="3266">
        <v>9.6000000000000002E-2</v>
      </c>
      <c r="F78" s="3277"/>
      <c r="G78" s="3267">
        <v>9.6000000000000002E-2</v>
      </c>
    </row>
    <row r="79" spans="1:7">
      <c r="A79" s="3276" t="s">
        <v>110</v>
      </c>
      <c r="B79" s="3265" t="s">
        <v>2950</v>
      </c>
      <c r="C79" s="3266">
        <v>0.05</v>
      </c>
      <c r="D79" s="3266">
        <v>9.6000000000000002E-2</v>
      </c>
      <c r="E79" s="3266">
        <v>9.5000000000000001E-2</v>
      </c>
      <c r="F79" s="3277"/>
      <c r="G79" s="3267">
        <v>9.8000000000000004E-2</v>
      </c>
    </row>
    <row r="80" spans="1:7">
      <c r="A80" s="3276" t="s">
        <v>110</v>
      </c>
      <c r="B80" s="3265" t="s">
        <v>2954</v>
      </c>
      <c r="C80" s="3266">
        <v>8.5999999999999993E-2</v>
      </c>
      <c r="D80" s="3282"/>
      <c r="E80" s="3266">
        <v>0.1</v>
      </c>
      <c r="F80" s="3277"/>
      <c r="G80" s="3278"/>
    </row>
    <row r="81" spans="1:7">
      <c r="A81" s="3276" t="s">
        <v>110</v>
      </c>
      <c r="B81" s="3265" t="s">
        <v>2959</v>
      </c>
      <c r="C81" s="3266">
        <v>9.6000000000000002E-2</v>
      </c>
      <c r="D81" s="3277"/>
      <c r="E81" s="3266">
        <v>9.8000000000000004E-2</v>
      </c>
      <c r="F81" s="3277"/>
      <c r="G81" s="3278"/>
    </row>
    <row r="82" spans="1:7">
      <c r="A82" s="3276" t="s">
        <v>110</v>
      </c>
      <c r="B82" s="3265" t="s">
        <v>2966</v>
      </c>
      <c r="C82" s="3282"/>
      <c r="D82" s="3277"/>
      <c r="E82" s="3266">
        <v>7.6999999999999999E-2</v>
      </c>
      <c r="F82" s="3277"/>
      <c r="G82" s="3278"/>
    </row>
    <row r="83" spans="1:7">
      <c r="A83" s="3276" t="s">
        <v>110</v>
      </c>
      <c r="B83" s="3265" t="s">
        <v>2972</v>
      </c>
      <c r="C83" s="3277"/>
      <c r="D83" s="3277"/>
      <c r="E83" s="3277"/>
      <c r="F83" s="3266">
        <v>0.1</v>
      </c>
      <c r="G83" s="3283"/>
    </row>
    <row r="84" spans="1:7">
      <c r="A84" s="3276" t="s">
        <v>110</v>
      </c>
      <c r="B84" s="3265" t="s">
        <v>2979</v>
      </c>
      <c r="C84" s="3277"/>
      <c r="D84" s="3277"/>
      <c r="E84" s="3277"/>
      <c r="F84" s="3266">
        <v>0.1</v>
      </c>
      <c r="G84" s="3283"/>
    </row>
    <row r="85" spans="1:7">
      <c r="A85" s="3276" t="s">
        <v>110</v>
      </c>
      <c r="B85" s="3265" t="s">
        <v>2986</v>
      </c>
      <c r="C85" s="3277"/>
      <c r="D85" s="3277"/>
      <c r="E85" s="3277"/>
      <c r="F85" s="3266">
        <v>0.1</v>
      </c>
      <c r="G85" s="3283"/>
    </row>
    <row r="86" spans="1:7" ht="14.25" thickBot="1">
      <c r="A86" s="3279" t="s">
        <v>110</v>
      </c>
      <c r="B86" s="3269" t="s">
        <v>2991</v>
      </c>
      <c r="C86" s="3270">
        <v>9.8000000000000004E-2</v>
      </c>
      <c r="D86" s="3270">
        <v>9.8000000000000004E-2</v>
      </c>
      <c r="E86" s="3270">
        <v>9.6000000000000002E-2</v>
      </c>
      <c r="F86" s="3280"/>
      <c r="G86" s="3272">
        <v>0.1</v>
      </c>
    </row>
    <row r="87" spans="1:7">
      <c r="A87" s="3275" t="s">
        <v>303</v>
      </c>
      <c r="B87" s="3261" t="s">
        <v>2867</v>
      </c>
      <c r="C87" s="3262">
        <v>0.1</v>
      </c>
      <c r="D87" s="3262">
        <v>0.1</v>
      </c>
      <c r="E87" s="3262">
        <v>9.8000000000000004E-2</v>
      </c>
      <c r="F87" s="3262">
        <v>0.1</v>
      </c>
      <c r="G87" s="3263">
        <v>0.1</v>
      </c>
    </row>
    <row r="88" spans="1:7">
      <c r="A88" s="3276" t="s">
        <v>303</v>
      </c>
      <c r="B88" s="3265" t="s">
        <v>131</v>
      </c>
      <c r="C88" s="3266">
        <v>9.0999999999999998E-2</v>
      </c>
      <c r="D88" s="3266">
        <v>9.1999999999999998E-2</v>
      </c>
      <c r="E88" s="3266">
        <v>0.1</v>
      </c>
      <c r="F88" s="3266">
        <v>0.1</v>
      </c>
      <c r="G88" s="3267">
        <v>9.6000000000000002E-2</v>
      </c>
    </row>
    <row r="89" spans="1:7">
      <c r="A89" s="3276" t="s">
        <v>303</v>
      </c>
      <c r="B89" s="3265" t="s">
        <v>140</v>
      </c>
      <c r="C89" s="3266">
        <v>0.1</v>
      </c>
      <c r="D89" s="3266">
        <v>0.1</v>
      </c>
      <c r="E89" s="3266">
        <v>6.7000000000000004E-2</v>
      </c>
      <c r="F89" s="3266">
        <v>9.2999999999999999E-2</v>
      </c>
      <c r="G89" s="3267">
        <v>0.1</v>
      </c>
    </row>
    <row r="90" spans="1:7">
      <c r="A90" s="3276" t="s">
        <v>303</v>
      </c>
      <c r="B90" s="3265" t="s">
        <v>149</v>
      </c>
      <c r="C90" s="3266">
        <v>9.6000000000000002E-2</v>
      </c>
      <c r="D90" s="3266">
        <v>9.6000000000000002E-2</v>
      </c>
      <c r="E90" s="3266">
        <v>0.1</v>
      </c>
      <c r="F90" s="3266">
        <v>0.1</v>
      </c>
      <c r="G90" s="3267">
        <v>9.8000000000000004E-2</v>
      </c>
    </row>
    <row r="91" spans="1:7">
      <c r="A91" s="3276" t="s">
        <v>303</v>
      </c>
      <c r="B91" s="3265" t="s">
        <v>158</v>
      </c>
      <c r="C91" s="3266">
        <v>7.6999999999999999E-2</v>
      </c>
      <c r="D91" s="3266">
        <v>7.6999999999999999E-2</v>
      </c>
      <c r="E91" s="3266">
        <v>9.6000000000000002E-2</v>
      </c>
      <c r="F91" s="3266">
        <v>0.1</v>
      </c>
      <c r="G91" s="3267">
        <v>7.6999999999999999E-2</v>
      </c>
    </row>
    <row r="92" spans="1:7">
      <c r="A92" s="3276" t="s">
        <v>303</v>
      </c>
      <c r="B92" s="3265" t="s">
        <v>165</v>
      </c>
      <c r="C92" s="3266">
        <v>0.1</v>
      </c>
      <c r="D92" s="3266">
        <v>0.1</v>
      </c>
      <c r="E92" s="3266">
        <v>9.1999999999999998E-2</v>
      </c>
      <c r="F92" s="3266">
        <v>0.1</v>
      </c>
      <c r="G92" s="3267">
        <v>0.1</v>
      </c>
    </row>
    <row r="93" spans="1:7">
      <c r="A93" s="3276" t="s">
        <v>303</v>
      </c>
      <c r="B93" s="3265" t="s">
        <v>171</v>
      </c>
      <c r="C93" s="3266">
        <v>9.8000000000000004E-2</v>
      </c>
      <c r="D93" s="3266">
        <v>9.8000000000000004E-2</v>
      </c>
      <c r="E93" s="3266">
        <v>9.6000000000000002E-2</v>
      </c>
      <c r="F93" s="3266">
        <v>0.1</v>
      </c>
      <c r="G93" s="3267">
        <v>9.9000000000000005E-2</v>
      </c>
    </row>
    <row r="94" spans="1:7">
      <c r="A94" s="3276" t="s">
        <v>303</v>
      </c>
      <c r="B94" s="3265" t="s">
        <v>178</v>
      </c>
      <c r="C94" s="3266">
        <v>8.7999999999999995E-2</v>
      </c>
      <c r="D94" s="3266">
        <v>8.7999999999999995E-2</v>
      </c>
      <c r="E94" s="3266">
        <v>9.6000000000000002E-2</v>
      </c>
      <c r="F94" s="3266">
        <v>0.1</v>
      </c>
      <c r="G94" s="3267">
        <v>8.7999999999999995E-2</v>
      </c>
    </row>
    <row r="95" spans="1:7">
      <c r="A95" s="3276" t="s">
        <v>303</v>
      </c>
      <c r="B95" s="3265" t="s">
        <v>188</v>
      </c>
      <c r="C95" s="3266">
        <v>9.6000000000000002E-2</v>
      </c>
      <c r="D95" s="3266">
        <v>9.6000000000000002E-2</v>
      </c>
      <c r="E95" s="3266">
        <v>0.1</v>
      </c>
      <c r="F95" s="3266">
        <v>0.1</v>
      </c>
      <c r="G95" s="3267">
        <v>9.8000000000000004E-2</v>
      </c>
    </row>
    <row r="96" spans="1:7">
      <c r="A96" s="3276" t="s">
        <v>303</v>
      </c>
      <c r="B96" s="3265" t="s">
        <v>197</v>
      </c>
      <c r="C96" s="3266">
        <v>9.7000000000000003E-2</v>
      </c>
      <c r="D96" s="3266">
        <v>9.7000000000000003E-2</v>
      </c>
      <c r="E96" s="3266">
        <v>0.1</v>
      </c>
      <c r="F96" s="3266">
        <v>0.1</v>
      </c>
      <c r="G96" s="3267">
        <v>9.8000000000000004E-2</v>
      </c>
    </row>
    <row r="97" spans="1:7">
      <c r="A97" s="3276" t="s">
        <v>303</v>
      </c>
      <c r="B97" s="3265" t="s">
        <v>204</v>
      </c>
      <c r="C97" s="3266">
        <v>9.6000000000000002E-2</v>
      </c>
      <c r="D97" s="3266">
        <v>9.6000000000000002E-2</v>
      </c>
      <c r="E97" s="3266">
        <v>9.9000000000000005E-2</v>
      </c>
      <c r="F97" s="3266">
        <v>0.1</v>
      </c>
      <c r="G97" s="3267">
        <v>9.8000000000000004E-2</v>
      </c>
    </row>
    <row r="98" spans="1:7">
      <c r="A98" s="3276" t="s">
        <v>303</v>
      </c>
      <c r="B98" s="3265" t="s">
        <v>211</v>
      </c>
      <c r="C98" s="3266">
        <v>9.8000000000000004E-2</v>
      </c>
      <c r="D98" s="3266">
        <v>9.8000000000000004E-2</v>
      </c>
      <c r="E98" s="3266">
        <v>0.1</v>
      </c>
      <c r="F98" s="3266">
        <v>0.1</v>
      </c>
      <c r="G98" s="3267">
        <v>9.9000000000000005E-2</v>
      </c>
    </row>
    <row r="99" spans="1:7">
      <c r="A99" s="3276" t="s">
        <v>303</v>
      </c>
      <c r="B99" s="3265" t="s">
        <v>217</v>
      </c>
      <c r="C99" s="3266">
        <v>9.6000000000000002E-2</v>
      </c>
      <c r="D99" s="3266">
        <v>9.6000000000000002E-2</v>
      </c>
      <c r="E99" s="3266">
        <v>0.1</v>
      </c>
      <c r="F99" s="3266">
        <v>0.1</v>
      </c>
      <c r="G99" s="3267">
        <v>9.7000000000000003E-2</v>
      </c>
    </row>
    <row r="100" spans="1:7">
      <c r="A100" s="3276" t="s">
        <v>303</v>
      </c>
      <c r="B100" s="3265" t="s">
        <v>225</v>
      </c>
      <c r="C100" s="3266">
        <v>0.1</v>
      </c>
      <c r="D100" s="3266">
        <v>0.1</v>
      </c>
      <c r="E100" s="3266">
        <v>9.7000000000000003E-2</v>
      </c>
      <c r="F100" s="3266">
        <v>9.8000000000000004E-2</v>
      </c>
      <c r="G100" s="3267">
        <v>0.1</v>
      </c>
    </row>
    <row r="101" spans="1:7">
      <c r="A101" s="3276" t="s">
        <v>303</v>
      </c>
      <c r="B101" s="3265" t="s">
        <v>233</v>
      </c>
      <c r="C101" s="3266">
        <v>0.1</v>
      </c>
      <c r="D101" s="3266">
        <v>0.1</v>
      </c>
      <c r="E101" s="3266">
        <v>9.5000000000000001E-2</v>
      </c>
      <c r="F101" s="3266">
        <v>0.1</v>
      </c>
      <c r="G101" s="3267">
        <v>0.1</v>
      </c>
    </row>
    <row r="102" spans="1:7">
      <c r="A102" s="3276" t="s">
        <v>303</v>
      </c>
      <c r="B102" s="3265" t="s">
        <v>238</v>
      </c>
      <c r="C102" s="3266">
        <v>0.1</v>
      </c>
      <c r="D102" s="3266">
        <v>0.1</v>
      </c>
      <c r="E102" s="3266">
        <v>9.9000000000000005E-2</v>
      </c>
      <c r="F102" s="3266">
        <v>9.7000000000000003E-2</v>
      </c>
      <c r="G102" s="3267">
        <v>0.1</v>
      </c>
    </row>
    <row r="103" spans="1:7">
      <c r="A103" s="3276" t="s">
        <v>303</v>
      </c>
      <c r="B103" s="3265" t="s">
        <v>247</v>
      </c>
      <c r="C103" s="3266">
        <v>0.1</v>
      </c>
      <c r="D103" s="3266">
        <v>0.1</v>
      </c>
      <c r="E103" s="3266">
        <v>9.8000000000000004E-2</v>
      </c>
      <c r="F103" s="3266">
        <v>0.1</v>
      </c>
      <c r="G103" s="3267">
        <v>0.1</v>
      </c>
    </row>
    <row r="104" spans="1:7">
      <c r="A104" s="3276" t="s">
        <v>303</v>
      </c>
      <c r="B104" s="3265" t="s">
        <v>254</v>
      </c>
      <c r="C104" s="3266">
        <v>0.1</v>
      </c>
      <c r="D104" s="3266">
        <v>0.1</v>
      </c>
      <c r="E104" s="3266">
        <v>9.8000000000000004E-2</v>
      </c>
      <c r="F104" s="3266">
        <v>0.1</v>
      </c>
      <c r="G104" s="3267">
        <v>0.1</v>
      </c>
    </row>
    <row r="105" spans="1:7">
      <c r="A105" s="3276" t="s">
        <v>303</v>
      </c>
      <c r="B105" s="3265" t="s">
        <v>262</v>
      </c>
      <c r="C105" s="3266">
        <v>9.8000000000000004E-2</v>
      </c>
      <c r="D105" s="3266">
        <v>9.8000000000000004E-2</v>
      </c>
      <c r="E105" s="3266">
        <v>9.8000000000000004E-2</v>
      </c>
      <c r="F105" s="3266">
        <v>0.1</v>
      </c>
      <c r="G105" s="3267">
        <v>9.9000000000000005E-2</v>
      </c>
    </row>
    <row r="106" spans="1:7">
      <c r="A106" s="3276" t="s">
        <v>303</v>
      </c>
      <c r="B106" s="3265" t="s">
        <v>269</v>
      </c>
      <c r="C106" s="3266">
        <v>9.7000000000000003E-2</v>
      </c>
      <c r="D106" s="3266">
        <v>9.7000000000000003E-2</v>
      </c>
      <c r="E106" s="3266">
        <v>9.7000000000000003E-2</v>
      </c>
      <c r="F106" s="3266">
        <v>0.1</v>
      </c>
      <c r="G106" s="3267">
        <v>9.9000000000000005E-2</v>
      </c>
    </row>
    <row r="107" spans="1:7">
      <c r="A107" s="3276" t="s">
        <v>303</v>
      </c>
      <c r="B107" s="3265" t="s">
        <v>273</v>
      </c>
      <c r="C107" s="3266">
        <v>0.1</v>
      </c>
      <c r="D107" s="3266">
        <v>0.1</v>
      </c>
      <c r="E107" s="3266">
        <v>8.5999999999999993E-2</v>
      </c>
      <c r="F107" s="3266">
        <v>0.09</v>
      </c>
      <c r="G107" s="3267">
        <v>0.1</v>
      </c>
    </row>
    <row r="108" spans="1:7">
      <c r="A108" s="3276" t="s">
        <v>303</v>
      </c>
      <c r="B108" s="3265" t="s">
        <v>279</v>
      </c>
      <c r="C108" s="3266">
        <v>0.1</v>
      </c>
      <c r="D108" s="3266">
        <v>0.1</v>
      </c>
      <c r="E108" s="3266">
        <v>9.6000000000000002E-2</v>
      </c>
      <c r="F108" s="3277"/>
      <c r="G108" s="3267">
        <v>0.1</v>
      </c>
    </row>
    <row r="109" spans="1:7">
      <c r="A109" s="3276" t="s">
        <v>303</v>
      </c>
      <c r="B109" s="3265" t="s">
        <v>282</v>
      </c>
      <c r="C109" s="3266">
        <v>0.1</v>
      </c>
      <c r="D109" s="3266">
        <v>0.1</v>
      </c>
      <c r="E109" s="3266">
        <v>0.1</v>
      </c>
      <c r="F109" s="3277"/>
      <c r="G109" s="3267">
        <v>0.1</v>
      </c>
    </row>
    <row r="110" spans="1:7">
      <c r="A110" s="3276" t="s">
        <v>303</v>
      </c>
      <c r="B110" s="3265" t="s">
        <v>284</v>
      </c>
      <c r="C110" s="3266">
        <v>0.1</v>
      </c>
      <c r="D110" s="3266">
        <v>0.1</v>
      </c>
      <c r="E110" s="3266">
        <v>0.1</v>
      </c>
      <c r="F110" s="3277"/>
      <c r="G110" s="3267">
        <v>0.1</v>
      </c>
    </row>
    <row r="111" spans="1:7">
      <c r="A111" s="3276" t="s">
        <v>303</v>
      </c>
      <c r="B111" s="3265" t="s">
        <v>287</v>
      </c>
      <c r="C111" s="3266">
        <v>0.1</v>
      </c>
      <c r="D111" s="3266">
        <v>0.1</v>
      </c>
      <c r="E111" s="3266">
        <v>9.5000000000000001E-2</v>
      </c>
      <c r="F111" s="3277"/>
      <c r="G111" s="3267">
        <v>0.1</v>
      </c>
    </row>
    <row r="112" spans="1:7">
      <c r="A112" s="3276" t="s">
        <v>303</v>
      </c>
      <c r="B112" s="3265" t="s">
        <v>291</v>
      </c>
      <c r="C112" s="3266">
        <v>9.7000000000000003E-2</v>
      </c>
      <c r="D112" s="3266">
        <v>9.7000000000000003E-2</v>
      </c>
      <c r="E112" s="3266">
        <v>0.05</v>
      </c>
      <c r="F112" s="3277"/>
      <c r="G112" s="3267">
        <v>9.8000000000000004E-2</v>
      </c>
    </row>
    <row r="113" spans="1:7">
      <c r="A113" s="3276" t="s">
        <v>303</v>
      </c>
      <c r="B113" s="3265" t="s">
        <v>2960</v>
      </c>
      <c r="C113" s="3266">
        <v>0.1</v>
      </c>
      <c r="D113" s="3266">
        <v>0.1</v>
      </c>
      <c r="E113" s="3277"/>
      <c r="F113" s="3277"/>
      <c r="G113" s="3267">
        <v>0.1</v>
      </c>
    </row>
    <row r="114" spans="1:7">
      <c r="A114" s="3276" t="s">
        <v>303</v>
      </c>
      <c r="B114" s="3265" t="s">
        <v>2967</v>
      </c>
      <c r="C114" s="3266">
        <v>9.7000000000000003E-2</v>
      </c>
      <c r="D114" s="3266">
        <v>9.7000000000000003E-2</v>
      </c>
      <c r="E114" s="3277"/>
      <c r="F114" s="3277"/>
      <c r="G114" s="3267">
        <v>9.9000000000000005E-2</v>
      </c>
    </row>
    <row r="115" spans="1:7">
      <c r="A115" s="3276" t="s">
        <v>303</v>
      </c>
      <c r="B115" s="3265" t="s">
        <v>2973</v>
      </c>
      <c r="C115" s="3266">
        <v>0.1</v>
      </c>
      <c r="D115" s="3266">
        <v>0.1</v>
      </c>
      <c r="E115" s="3277"/>
      <c r="F115" s="3277"/>
      <c r="G115" s="3267">
        <v>0.1</v>
      </c>
    </row>
    <row r="116" spans="1:7">
      <c r="A116" s="3276" t="s">
        <v>303</v>
      </c>
      <c r="B116" s="3265" t="s">
        <v>2980</v>
      </c>
      <c r="C116" s="3266">
        <v>0.1</v>
      </c>
      <c r="D116" s="3266">
        <v>0.1</v>
      </c>
      <c r="E116" s="3277"/>
      <c r="F116" s="3277"/>
      <c r="G116" s="3267">
        <v>0.1</v>
      </c>
    </row>
    <row r="117" spans="1:7">
      <c r="A117" s="3276" t="s">
        <v>303</v>
      </c>
      <c r="B117" s="3265" t="s">
        <v>2987</v>
      </c>
      <c r="C117" s="3266">
        <v>9.7000000000000003E-2</v>
      </c>
      <c r="D117" s="3266">
        <v>9.7000000000000003E-2</v>
      </c>
      <c r="E117" s="3277"/>
      <c r="F117" s="3277"/>
      <c r="G117" s="3267">
        <v>9.7000000000000003E-2</v>
      </c>
    </row>
    <row r="118" spans="1:7">
      <c r="A118" s="3276" t="s">
        <v>303</v>
      </c>
      <c r="B118" s="3265" t="s">
        <v>2992</v>
      </c>
      <c r="C118" s="3266">
        <v>0.1</v>
      </c>
      <c r="D118" s="3266">
        <v>0.1</v>
      </c>
      <c r="E118" s="3277"/>
      <c r="F118" s="3277"/>
      <c r="G118" s="3267">
        <v>0.1</v>
      </c>
    </row>
    <row r="119" spans="1:7">
      <c r="A119" s="3276" t="s">
        <v>303</v>
      </c>
      <c r="B119" s="3265" t="s">
        <v>2996</v>
      </c>
      <c r="C119" s="3266">
        <v>5.0999999999999997E-2</v>
      </c>
      <c r="D119" s="3266">
        <v>5.1999999999999998E-2</v>
      </c>
      <c r="E119" s="3277"/>
      <c r="F119" s="3282"/>
      <c r="G119" s="3267">
        <v>0.06</v>
      </c>
    </row>
    <row r="120" spans="1:7">
      <c r="A120" s="3276" t="s">
        <v>303</v>
      </c>
      <c r="B120" s="3265" t="s">
        <v>3000</v>
      </c>
      <c r="C120" s="3277"/>
      <c r="D120" s="3277"/>
      <c r="E120" s="3277"/>
      <c r="F120" s="3266">
        <v>0.1</v>
      </c>
      <c r="G120" s="3283"/>
    </row>
    <row r="121" spans="1:7">
      <c r="A121" s="3276" t="s">
        <v>303</v>
      </c>
      <c r="B121" s="3265" t="s">
        <v>3005</v>
      </c>
      <c r="C121" s="3277"/>
      <c r="D121" s="3277"/>
      <c r="E121" s="3277"/>
      <c r="F121" s="3266">
        <v>0.1</v>
      </c>
      <c r="G121" s="3283"/>
    </row>
    <row r="122" spans="1:7">
      <c r="A122" s="3276" t="s">
        <v>303</v>
      </c>
      <c r="B122" s="3265" t="s">
        <v>3010</v>
      </c>
      <c r="C122" s="3266">
        <v>0.1</v>
      </c>
      <c r="D122" s="3266">
        <v>0.1</v>
      </c>
      <c r="E122" s="3266">
        <v>9.8000000000000004E-2</v>
      </c>
      <c r="F122" s="3266">
        <v>0.1</v>
      </c>
      <c r="G122" s="3267">
        <v>0.1</v>
      </c>
    </row>
    <row r="123" spans="1:7">
      <c r="A123" s="3276" t="s">
        <v>303</v>
      </c>
      <c r="B123" s="3265" t="s">
        <v>3015</v>
      </c>
      <c r="C123" s="3266">
        <v>0.1</v>
      </c>
      <c r="D123" s="3266">
        <v>0.1</v>
      </c>
      <c r="E123" s="3266">
        <v>9.8000000000000004E-2</v>
      </c>
      <c r="F123" s="3266">
        <v>0.1</v>
      </c>
      <c r="G123" s="3267">
        <v>0.1</v>
      </c>
    </row>
    <row r="124" spans="1:7">
      <c r="A124" s="3276" t="s">
        <v>303</v>
      </c>
      <c r="B124" s="3265" t="s">
        <v>3020</v>
      </c>
      <c r="C124" s="3266">
        <v>0.1</v>
      </c>
      <c r="D124" s="3266">
        <v>0.1</v>
      </c>
      <c r="E124" s="3266">
        <v>9.8000000000000004E-2</v>
      </c>
      <c r="F124" s="3282"/>
      <c r="G124" s="3267">
        <v>0.1</v>
      </c>
    </row>
    <row r="125" spans="1:7">
      <c r="A125" s="3276" t="s">
        <v>303</v>
      </c>
      <c r="B125" s="3265" t="s">
        <v>3025</v>
      </c>
      <c r="C125" s="3266">
        <v>9.8000000000000004E-2</v>
      </c>
      <c r="D125" s="3266">
        <v>9.8000000000000004E-2</v>
      </c>
      <c r="E125" s="3266">
        <v>9.6000000000000002E-2</v>
      </c>
      <c r="F125" s="3282"/>
      <c r="G125" s="3267">
        <v>0.1</v>
      </c>
    </row>
    <row r="126" spans="1:7" ht="14.25" thickBot="1">
      <c r="A126" s="3279" t="s">
        <v>303</v>
      </c>
      <c r="B126" s="3269" t="s">
        <v>3191</v>
      </c>
      <c r="C126" s="3270">
        <v>0.1</v>
      </c>
      <c r="D126" s="3270">
        <v>0.1</v>
      </c>
      <c r="E126" s="3270">
        <v>9.8000000000000004E-2</v>
      </c>
      <c r="F126" s="3270">
        <v>0.1</v>
      </c>
      <c r="G126" s="3272">
        <v>0.1</v>
      </c>
    </row>
    <row r="127" spans="1:7">
      <c r="A127" s="3275" t="s">
        <v>29</v>
      </c>
      <c r="B127" s="3261" t="s">
        <v>2868</v>
      </c>
      <c r="C127" s="3262">
        <v>0.121</v>
      </c>
      <c r="D127" s="3262">
        <v>0.121</v>
      </c>
      <c r="E127" s="3262">
        <v>0.107</v>
      </c>
      <c r="F127" s="3262">
        <v>0.13</v>
      </c>
      <c r="G127" s="3263">
        <v>0.122</v>
      </c>
    </row>
    <row r="128" spans="1:7">
      <c r="A128" s="3276" t="s">
        <v>29</v>
      </c>
      <c r="B128" s="3265" t="s">
        <v>132</v>
      </c>
      <c r="C128" s="3266">
        <v>0.11600000000000001</v>
      </c>
      <c r="D128" s="3266">
        <v>0.11700000000000001</v>
      </c>
      <c r="E128" s="3266">
        <v>0.104</v>
      </c>
      <c r="F128" s="3266">
        <v>0.13</v>
      </c>
      <c r="G128" s="3267">
        <v>0.11700000000000001</v>
      </c>
    </row>
    <row r="129" spans="1:7">
      <c r="A129" s="3276" t="s">
        <v>29</v>
      </c>
      <c r="B129" s="3265" t="s">
        <v>141</v>
      </c>
      <c r="C129" s="3266">
        <v>0.107</v>
      </c>
      <c r="D129" s="3266">
        <v>0.108</v>
      </c>
      <c r="E129" s="3266">
        <v>0.1</v>
      </c>
      <c r="F129" s="3266">
        <v>0.13</v>
      </c>
      <c r="G129" s="3267">
        <v>0.11700000000000001</v>
      </c>
    </row>
    <row r="130" spans="1:7">
      <c r="A130" s="3276" t="s">
        <v>29</v>
      </c>
      <c r="B130" s="3265" t="s">
        <v>150</v>
      </c>
      <c r="C130" s="3266">
        <v>0.13</v>
      </c>
      <c r="D130" s="3266">
        <v>0.13</v>
      </c>
      <c r="E130" s="3266">
        <v>0.126</v>
      </c>
      <c r="F130" s="3266">
        <v>0.13</v>
      </c>
      <c r="G130" s="3267">
        <v>0.13</v>
      </c>
    </row>
    <row r="131" spans="1:7">
      <c r="A131" s="3276" t="s">
        <v>29</v>
      </c>
      <c r="B131" s="3265" t="s">
        <v>159</v>
      </c>
      <c r="C131" s="3266">
        <v>0.13</v>
      </c>
      <c r="D131" s="3266">
        <v>0.13</v>
      </c>
      <c r="E131" s="3266">
        <v>0.13</v>
      </c>
      <c r="F131" s="3266">
        <v>0.13</v>
      </c>
      <c r="G131" s="3267">
        <v>0.13</v>
      </c>
    </row>
    <row r="132" spans="1:7">
      <c r="A132" s="3276" t="s">
        <v>29</v>
      </c>
      <c r="B132" s="3265" t="s">
        <v>166</v>
      </c>
      <c r="C132" s="3266">
        <v>0.13</v>
      </c>
      <c r="D132" s="3266">
        <v>0.13</v>
      </c>
      <c r="E132" s="3266">
        <v>0.126</v>
      </c>
      <c r="F132" s="3266">
        <v>0.13</v>
      </c>
      <c r="G132" s="3267">
        <v>0.13</v>
      </c>
    </row>
    <row r="133" spans="1:7">
      <c r="A133" s="3276" t="s">
        <v>29</v>
      </c>
      <c r="B133" s="3265" t="s">
        <v>172</v>
      </c>
      <c r="C133" s="3266">
        <v>0.111</v>
      </c>
      <c r="D133" s="3266">
        <v>0.111</v>
      </c>
      <c r="E133" s="3266">
        <v>0.10199999999999999</v>
      </c>
      <c r="F133" s="3266">
        <v>0.13</v>
      </c>
      <c r="G133" s="3267">
        <v>0.121</v>
      </c>
    </row>
    <row r="134" spans="1:7">
      <c r="A134" s="3276" t="s">
        <v>29</v>
      </c>
      <c r="B134" s="3265" t="s">
        <v>179</v>
      </c>
      <c r="C134" s="3266">
        <v>0.121</v>
      </c>
      <c r="D134" s="3266">
        <v>0.121</v>
      </c>
      <c r="E134" s="3266">
        <v>0.1</v>
      </c>
      <c r="F134" s="3266">
        <v>0.13</v>
      </c>
      <c r="G134" s="3267">
        <v>0.123</v>
      </c>
    </row>
    <row r="135" spans="1:7">
      <c r="A135" s="3276" t="s">
        <v>29</v>
      </c>
      <c r="B135" s="3265" t="s">
        <v>189</v>
      </c>
      <c r="C135" s="3266">
        <v>0.105</v>
      </c>
      <c r="D135" s="3266">
        <v>0.106</v>
      </c>
      <c r="E135" s="3266">
        <v>0.1</v>
      </c>
      <c r="F135" s="3266">
        <v>0.13</v>
      </c>
      <c r="G135" s="3267">
        <v>0.115</v>
      </c>
    </row>
    <row r="136" spans="1:7">
      <c r="A136" s="3276" t="s">
        <v>29</v>
      </c>
      <c r="B136" s="3265" t="s">
        <v>198</v>
      </c>
      <c r="C136" s="3266">
        <v>0.127</v>
      </c>
      <c r="D136" s="3266">
        <v>0.127</v>
      </c>
      <c r="E136" s="3266">
        <v>0.121</v>
      </c>
      <c r="F136" s="3266">
        <v>0.123</v>
      </c>
      <c r="G136" s="3267">
        <v>0.129</v>
      </c>
    </row>
    <row r="137" spans="1:7">
      <c r="A137" s="3276" t="s">
        <v>29</v>
      </c>
      <c r="B137" s="3265" t="s">
        <v>205</v>
      </c>
      <c r="C137" s="3266">
        <v>0.13</v>
      </c>
      <c r="D137" s="3266">
        <v>0.13</v>
      </c>
      <c r="E137" s="3266">
        <v>0.129</v>
      </c>
      <c r="F137" s="3266">
        <v>0.13</v>
      </c>
      <c r="G137" s="3267">
        <v>0.13</v>
      </c>
    </row>
    <row r="138" spans="1:7">
      <c r="A138" s="3276" t="s">
        <v>29</v>
      </c>
      <c r="B138" s="3265" t="s">
        <v>212</v>
      </c>
      <c r="C138" s="3266">
        <v>0.13</v>
      </c>
      <c r="D138" s="3266">
        <v>0.13</v>
      </c>
      <c r="E138" s="3266">
        <v>0.125</v>
      </c>
      <c r="F138" s="3266">
        <v>0.13</v>
      </c>
      <c r="G138" s="3267">
        <v>0.13</v>
      </c>
    </row>
    <row r="139" spans="1:7">
      <c r="A139" s="3276" t="s">
        <v>29</v>
      </c>
      <c r="B139" s="3265" t="s">
        <v>218</v>
      </c>
      <c r="C139" s="3266">
        <v>0.13</v>
      </c>
      <c r="D139" s="3266">
        <v>0.13</v>
      </c>
      <c r="E139" s="3266">
        <v>0.126</v>
      </c>
      <c r="F139" s="3266">
        <v>0.13</v>
      </c>
      <c r="G139" s="3267">
        <v>0.13</v>
      </c>
    </row>
    <row r="140" spans="1:7">
      <c r="A140" s="3276" t="s">
        <v>29</v>
      </c>
      <c r="B140" s="3265" t="s">
        <v>226</v>
      </c>
      <c r="C140" s="3266">
        <v>0.1</v>
      </c>
      <c r="D140" s="3266">
        <v>0.1</v>
      </c>
      <c r="E140" s="3266">
        <v>0.1</v>
      </c>
      <c r="F140" s="3266">
        <v>0.123</v>
      </c>
      <c r="G140" s="3267">
        <v>0.107</v>
      </c>
    </row>
    <row r="141" spans="1:7">
      <c r="A141" s="3276" t="s">
        <v>29</v>
      </c>
      <c r="B141" s="3265" t="s">
        <v>234</v>
      </c>
      <c r="C141" s="3266">
        <v>0.127</v>
      </c>
      <c r="D141" s="3266">
        <v>0.127</v>
      </c>
      <c r="E141" s="3266">
        <v>0.122</v>
      </c>
      <c r="F141" s="3266">
        <v>0.1</v>
      </c>
      <c r="G141" s="3267">
        <v>0.129</v>
      </c>
    </row>
    <row r="142" spans="1:7">
      <c r="A142" s="3276" t="s">
        <v>29</v>
      </c>
      <c r="B142" s="3265" t="s">
        <v>239</v>
      </c>
      <c r="C142" s="3266">
        <v>0.121</v>
      </c>
      <c r="D142" s="3266">
        <v>0.122</v>
      </c>
      <c r="E142" s="3266">
        <v>0.1</v>
      </c>
      <c r="F142" s="3266">
        <v>0.123</v>
      </c>
      <c r="G142" s="3267">
        <v>0.123</v>
      </c>
    </row>
    <row r="143" spans="1:7">
      <c r="A143" s="3276" t="s">
        <v>29</v>
      </c>
      <c r="B143" s="3265" t="s">
        <v>248</v>
      </c>
      <c r="C143" s="3266">
        <v>0.1</v>
      </c>
      <c r="D143" s="3266">
        <v>0.1</v>
      </c>
      <c r="E143" s="3266">
        <v>0.1</v>
      </c>
      <c r="F143" s="3266">
        <v>0.13</v>
      </c>
      <c r="G143" s="3267">
        <v>0.1</v>
      </c>
    </row>
    <row r="144" spans="1:7">
      <c r="A144" s="3276" t="s">
        <v>29</v>
      </c>
      <c r="B144" s="3265" t="s">
        <v>255</v>
      </c>
      <c r="C144" s="3266">
        <v>0.106</v>
      </c>
      <c r="D144" s="3266">
        <v>0.105</v>
      </c>
      <c r="E144" s="3266">
        <v>0.1</v>
      </c>
      <c r="F144" s="3266">
        <v>0.13</v>
      </c>
      <c r="G144" s="3267">
        <v>0.11799999999999999</v>
      </c>
    </row>
    <row r="145" spans="1:7">
      <c r="A145" s="3276" t="s">
        <v>29</v>
      </c>
      <c r="B145" s="3265" t="s">
        <v>263</v>
      </c>
      <c r="C145" s="3266">
        <v>0.123</v>
      </c>
      <c r="D145" s="3266">
        <v>0.123</v>
      </c>
      <c r="E145" s="3266">
        <v>0.11700000000000001</v>
      </c>
      <c r="F145" s="3266">
        <v>0.13</v>
      </c>
      <c r="G145" s="3267">
        <v>0.126</v>
      </c>
    </row>
    <row r="146" spans="1:7">
      <c r="A146" s="3276" t="s">
        <v>29</v>
      </c>
      <c r="B146" s="3265" t="s">
        <v>270</v>
      </c>
      <c r="C146" s="3266">
        <v>0.127</v>
      </c>
      <c r="D146" s="3266">
        <v>0.127</v>
      </c>
      <c r="E146" s="3266">
        <v>0.12</v>
      </c>
      <c r="F146" s="3277"/>
      <c r="G146" s="3267">
        <v>0.129</v>
      </c>
    </row>
    <row r="147" spans="1:7">
      <c r="A147" s="3276" t="s">
        <v>29</v>
      </c>
      <c r="B147" s="3265" t="s">
        <v>274</v>
      </c>
      <c r="C147" s="3266">
        <v>0.13</v>
      </c>
      <c r="D147" s="3266">
        <v>0.13</v>
      </c>
      <c r="E147" s="3266">
        <v>0.126</v>
      </c>
      <c r="F147" s="3277"/>
      <c r="G147" s="3267">
        <v>0.13</v>
      </c>
    </row>
    <row r="148" spans="1:7">
      <c r="A148" s="3276" t="s">
        <v>29</v>
      </c>
      <c r="B148" s="3265" t="s">
        <v>2938</v>
      </c>
      <c r="C148" s="3266">
        <v>0.13</v>
      </c>
      <c r="D148" s="3266">
        <v>0.13</v>
      </c>
      <c r="E148" s="3266">
        <v>0.13</v>
      </c>
      <c r="F148" s="3277"/>
      <c r="G148" s="3267">
        <v>0.13</v>
      </c>
    </row>
    <row r="149" spans="1:7">
      <c r="A149" s="3276" t="s">
        <v>29</v>
      </c>
      <c r="B149" s="3265" t="s">
        <v>2942</v>
      </c>
      <c r="C149" s="3266">
        <v>0.13</v>
      </c>
      <c r="D149" s="3266">
        <v>0.13</v>
      </c>
      <c r="E149" s="3266">
        <v>0.13</v>
      </c>
      <c r="F149" s="3266">
        <v>0.13</v>
      </c>
      <c r="G149" s="3267">
        <v>0.13</v>
      </c>
    </row>
    <row r="150" spans="1:7">
      <c r="A150" s="3276" t="s">
        <v>29</v>
      </c>
      <c r="B150" s="3265" t="s">
        <v>292</v>
      </c>
      <c r="C150" s="3266">
        <v>0.13</v>
      </c>
      <c r="D150" s="3266">
        <v>0.13</v>
      </c>
      <c r="E150" s="3266">
        <v>0.127</v>
      </c>
      <c r="F150" s="3266">
        <v>0.13</v>
      </c>
      <c r="G150" s="3267">
        <v>0.13</v>
      </c>
    </row>
    <row r="151" spans="1:7">
      <c r="A151" s="3276" t="s">
        <v>29</v>
      </c>
      <c r="B151" s="3265" t="s">
        <v>294</v>
      </c>
      <c r="C151" s="3266">
        <v>0.13</v>
      </c>
      <c r="D151" s="3266">
        <v>0.13</v>
      </c>
      <c r="E151" s="3266">
        <v>0.13</v>
      </c>
      <c r="F151" s="3266">
        <v>0.13</v>
      </c>
      <c r="G151" s="3267">
        <v>0.13</v>
      </c>
    </row>
    <row r="152" spans="1:7">
      <c r="A152" s="3276" t="s">
        <v>29</v>
      </c>
      <c r="B152" s="3265" t="s">
        <v>297</v>
      </c>
      <c r="C152" s="3266">
        <v>0.13</v>
      </c>
      <c r="D152" s="3266">
        <v>0.13</v>
      </c>
      <c r="E152" s="3266">
        <v>0.13</v>
      </c>
      <c r="F152" s="3266">
        <v>0.13</v>
      </c>
      <c r="G152" s="3267">
        <v>0.13</v>
      </c>
    </row>
    <row r="153" spans="1:7">
      <c r="A153" s="3276" t="s">
        <v>29</v>
      </c>
      <c r="B153" s="3265" t="s">
        <v>2961</v>
      </c>
      <c r="C153" s="3266">
        <v>0.13</v>
      </c>
      <c r="D153" s="3266">
        <v>0.13</v>
      </c>
      <c r="E153" s="3266">
        <v>0.13</v>
      </c>
      <c r="F153" s="3266">
        <v>0.13</v>
      </c>
      <c r="G153" s="3267">
        <v>0.13</v>
      </c>
    </row>
    <row r="154" spans="1:7">
      <c r="A154" s="3276" t="s">
        <v>29</v>
      </c>
      <c r="B154" s="3265" t="s">
        <v>2968</v>
      </c>
      <c r="C154" s="3266">
        <v>0.121</v>
      </c>
      <c r="D154" s="3266">
        <v>0.121</v>
      </c>
      <c r="E154" s="3266">
        <v>0.105</v>
      </c>
      <c r="F154" s="3266">
        <v>0.121</v>
      </c>
      <c r="G154" s="3267">
        <v>0.123</v>
      </c>
    </row>
    <row r="155" spans="1:7">
      <c r="A155" s="3276" t="s">
        <v>29</v>
      </c>
      <c r="B155" s="3265" t="s">
        <v>2974</v>
      </c>
      <c r="C155" s="3266">
        <v>0.1</v>
      </c>
      <c r="D155" s="3266">
        <v>0.1</v>
      </c>
      <c r="E155" s="3266">
        <v>0.1</v>
      </c>
      <c r="F155" s="3266">
        <v>0.1</v>
      </c>
      <c r="G155" s="3267">
        <v>0.1</v>
      </c>
    </row>
    <row r="156" spans="1:7">
      <c r="A156" s="3276" t="s">
        <v>29</v>
      </c>
      <c r="B156" s="3265" t="s">
        <v>2981</v>
      </c>
      <c r="C156" s="3266">
        <v>0.13</v>
      </c>
      <c r="D156" s="3266">
        <v>0.13</v>
      </c>
      <c r="E156" s="3266">
        <v>0.13</v>
      </c>
      <c r="F156" s="3266">
        <v>0.13</v>
      </c>
      <c r="G156" s="3267">
        <v>0.13</v>
      </c>
    </row>
    <row r="157" spans="1:7">
      <c r="A157" s="3276" t="s">
        <v>29</v>
      </c>
      <c r="B157" s="3265" t="s">
        <v>300</v>
      </c>
      <c r="C157" s="3266">
        <v>0.13</v>
      </c>
      <c r="D157" s="3266">
        <v>0.13</v>
      </c>
      <c r="E157" s="3266">
        <v>0.125</v>
      </c>
      <c r="F157" s="3266">
        <v>0.13</v>
      </c>
      <c r="G157" s="3267">
        <v>0.13</v>
      </c>
    </row>
    <row r="158" spans="1:7">
      <c r="A158" s="3276" t="s">
        <v>29</v>
      </c>
      <c r="B158" s="3265" t="s">
        <v>301</v>
      </c>
      <c r="C158" s="3266">
        <v>0.124</v>
      </c>
      <c r="D158" s="3266">
        <v>0.124</v>
      </c>
      <c r="E158" s="3266">
        <v>0.11700000000000001</v>
      </c>
      <c r="F158" s="3266">
        <v>0.121</v>
      </c>
      <c r="G158" s="3267">
        <v>0.124</v>
      </c>
    </row>
    <row r="159" spans="1:7">
      <c r="A159" s="3276" t="s">
        <v>29</v>
      </c>
      <c r="B159" s="3265" t="s">
        <v>302</v>
      </c>
      <c r="C159" s="3266">
        <v>0.127</v>
      </c>
      <c r="D159" s="3266">
        <v>0.127</v>
      </c>
      <c r="E159" s="3266">
        <v>0.122</v>
      </c>
      <c r="F159" s="3266">
        <v>0.13</v>
      </c>
      <c r="G159" s="3267">
        <v>0.129</v>
      </c>
    </row>
    <row r="160" spans="1:7">
      <c r="A160" s="3276" t="s">
        <v>29</v>
      </c>
      <c r="B160" s="3265" t="s">
        <v>3001</v>
      </c>
      <c r="C160" s="3266">
        <v>0.13</v>
      </c>
      <c r="D160" s="3266">
        <v>0.13</v>
      </c>
      <c r="E160" s="3266">
        <v>0.124</v>
      </c>
      <c r="F160" s="3266">
        <v>0.126</v>
      </c>
      <c r="G160" s="3267">
        <v>0.13</v>
      </c>
    </row>
    <row r="161" spans="1:7">
      <c r="A161" s="3276" t="s">
        <v>29</v>
      </c>
      <c r="B161" s="3265" t="s">
        <v>3006</v>
      </c>
      <c r="C161" s="3266">
        <v>0.13</v>
      </c>
      <c r="D161" s="3266">
        <v>0.13</v>
      </c>
      <c r="E161" s="3266">
        <v>0.124</v>
      </c>
      <c r="F161" s="3266">
        <v>0.127</v>
      </c>
      <c r="G161" s="3267">
        <v>0.13</v>
      </c>
    </row>
    <row r="162" spans="1:7">
      <c r="A162" s="3276" t="s">
        <v>29</v>
      </c>
      <c r="B162" s="3265" t="s">
        <v>3011</v>
      </c>
      <c r="C162" s="3266">
        <v>0.1</v>
      </c>
      <c r="D162" s="3266">
        <v>0.1</v>
      </c>
      <c r="E162" s="3266">
        <v>0.1</v>
      </c>
      <c r="F162" s="3266">
        <v>0.121</v>
      </c>
      <c r="G162" s="3267">
        <v>0.105</v>
      </c>
    </row>
    <row r="163" spans="1:7">
      <c r="A163" s="3276" t="s">
        <v>29</v>
      </c>
      <c r="B163" s="3265" t="s">
        <v>3016</v>
      </c>
      <c r="C163" s="3266">
        <v>0.1</v>
      </c>
      <c r="D163" s="3266">
        <v>0.1</v>
      </c>
      <c r="E163" s="3266">
        <v>0.1</v>
      </c>
      <c r="F163" s="3266">
        <v>0.1</v>
      </c>
      <c r="G163" s="3267">
        <v>0.1</v>
      </c>
    </row>
    <row r="164" spans="1:7">
      <c r="A164" s="3276" t="s">
        <v>29</v>
      </c>
      <c r="B164" s="3265" t="s">
        <v>3021</v>
      </c>
      <c r="C164" s="3282"/>
      <c r="D164" s="3282"/>
      <c r="E164" s="3282"/>
      <c r="F164" s="3266">
        <v>0.1</v>
      </c>
      <c r="G164" s="3278"/>
    </row>
    <row r="165" spans="1:7">
      <c r="A165" s="3276" t="s">
        <v>29</v>
      </c>
      <c r="B165" s="3265" t="s">
        <v>3192</v>
      </c>
      <c r="C165" s="3266">
        <v>0.126</v>
      </c>
      <c r="D165" s="3266">
        <v>0.126</v>
      </c>
      <c r="E165" s="3266">
        <v>0.11899999999999999</v>
      </c>
      <c r="F165" s="3266">
        <v>0.13</v>
      </c>
      <c r="G165" s="3267">
        <v>0.128</v>
      </c>
    </row>
    <row r="166" spans="1:7">
      <c r="A166" s="3276" t="s">
        <v>29</v>
      </c>
      <c r="B166" s="3265" t="s">
        <v>3031</v>
      </c>
      <c r="C166" s="3266">
        <v>0.129</v>
      </c>
      <c r="D166" s="3266">
        <v>0.129</v>
      </c>
      <c r="E166" s="3266">
        <v>0.123</v>
      </c>
      <c r="F166" s="3266">
        <v>0.128</v>
      </c>
      <c r="G166" s="3267">
        <v>0.13</v>
      </c>
    </row>
    <row r="167" spans="1:7">
      <c r="A167" s="3276" t="s">
        <v>29</v>
      </c>
      <c r="B167" s="3265" t="s">
        <v>3035</v>
      </c>
      <c r="C167" s="3266">
        <v>0.125</v>
      </c>
      <c r="D167" s="3266">
        <v>0.125</v>
      </c>
      <c r="E167" s="3266">
        <v>0.11700000000000001</v>
      </c>
      <c r="F167" s="3266">
        <v>0.13</v>
      </c>
      <c r="G167" s="3267">
        <v>0.126</v>
      </c>
    </row>
    <row r="168" spans="1:7">
      <c r="A168" s="3276" t="s">
        <v>29</v>
      </c>
      <c r="B168" s="3265" t="s">
        <v>3040</v>
      </c>
      <c r="C168" s="3266">
        <v>0.128</v>
      </c>
      <c r="D168" s="3266">
        <v>0.128</v>
      </c>
      <c r="E168" s="3266">
        <v>0.123</v>
      </c>
      <c r="F168" s="3277"/>
      <c r="G168" s="3267">
        <v>0.13</v>
      </c>
    </row>
    <row r="169" spans="1:7">
      <c r="A169" s="3276" t="s">
        <v>29</v>
      </c>
      <c r="B169" s="3265" t="s">
        <v>3193</v>
      </c>
      <c r="C169" s="3282"/>
      <c r="D169" s="3282"/>
      <c r="E169" s="3282"/>
      <c r="F169" s="3266">
        <v>0.05</v>
      </c>
      <c r="G169" s="3278"/>
    </row>
    <row r="170" spans="1:7">
      <c r="A170" s="3276" t="s">
        <v>29</v>
      </c>
      <c r="B170" s="3265" t="s">
        <v>3194</v>
      </c>
      <c r="C170" s="3282"/>
      <c r="D170" s="3282"/>
      <c r="E170" s="3282"/>
      <c r="F170" s="3266">
        <v>0.05</v>
      </c>
      <c r="G170" s="3278"/>
    </row>
    <row r="171" spans="1:7">
      <c r="A171" s="3276" t="s">
        <v>29</v>
      </c>
      <c r="B171" s="3265" t="s">
        <v>3195</v>
      </c>
      <c r="C171" s="3282"/>
      <c r="D171" s="3282"/>
      <c r="E171" s="3282"/>
      <c r="F171" s="3266">
        <v>0.05</v>
      </c>
      <c r="G171" s="3283"/>
    </row>
    <row r="172" spans="1:7">
      <c r="A172" s="3276" t="s">
        <v>29</v>
      </c>
      <c r="B172" s="3265" t="s">
        <v>3196</v>
      </c>
      <c r="C172" s="3282"/>
      <c r="D172" s="3282"/>
      <c r="E172" s="3282"/>
      <c r="F172" s="3266">
        <v>0.05</v>
      </c>
      <c r="G172" s="3283"/>
    </row>
    <row r="173" spans="1:7">
      <c r="A173" s="3276" t="s">
        <v>29</v>
      </c>
      <c r="B173" s="3265" t="s">
        <v>3197</v>
      </c>
      <c r="C173" s="3282"/>
      <c r="D173" s="3282"/>
      <c r="E173" s="3282"/>
      <c r="F173" s="3266">
        <v>0.05</v>
      </c>
      <c r="G173" s="3278"/>
    </row>
    <row r="174" spans="1:7">
      <c r="A174" s="3276" t="s">
        <v>29</v>
      </c>
      <c r="B174" s="3265" t="s">
        <v>3198</v>
      </c>
      <c r="C174" s="3282"/>
      <c r="D174" s="3282"/>
      <c r="E174" s="3282"/>
      <c r="F174" s="3266">
        <v>0.05</v>
      </c>
      <c r="G174" s="3278"/>
    </row>
    <row r="175" spans="1:7">
      <c r="A175" s="3276" t="s">
        <v>29</v>
      </c>
      <c r="B175" s="3265" t="s">
        <v>3199</v>
      </c>
      <c r="C175" s="3282"/>
      <c r="D175" s="3282"/>
      <c r="E175" s="3282"/>
      <c r="F175" s="3266">
        <v>0.05</v>
      </c>
      <c r="G175" s="3278"/>
    </row>
    <row r="176" spans="1:7">
      <c r="A176" s="3276" t="s">
        <v>29</v>
      </c>
      <c r="B176" s="3265" t="s">
        <v>3200</v>
      </c>
      <c r="C176" s="3282"/>
      <c r="D176" s="3282"/>
      <c r="E176" s="3282"/>
      <c r="F176" s="3266">
        <v>0.05</v>
      </c>
      <c r="G176" s="3278"/>
    </row>
    <row r="177" spans="1:7">
      <c r="A177" s="3276" t="s">
        <v>29</v>
      </c>
      <c r="B177" s="3265" t="s">
        <v>3201</v>
      </c>
      <c r="C177" s="3277"/>
      <c r="D177" s="3277"/>
      <c r="E177" s="3277"/>
      <c r="F177" s="3266">
        <v>0.05</v>
      </c>
      <c r="G177" s="3283"/>
    </row>
    <row r="178" spans="1:7">
      <c r="A178" s="3276" t="s">
        <v>29</v>
      </c>
      <c r="B178" s="3265" t="s">
        <v>3202</v>
      </c>
      <c r="C178" s="3277"/>
      <c r="D178" s="3277"/>
      <c r="E178" s="3277"/>
      <c r="F178" s="3266">
        <v>0.05</v>
      </c>
      <c r="G178" s="3283"/>
    </row>
    <row r="179" spans="1:7">
      <c r="A179" s="3276" t="s">
        <v>29</v>
      </c>
      <c r="B179" s="3265" t="s">
        <v>3203</v>
      </c>
      <c r="C179" s="3277"/>
      <c r="D179" s="3277"/>
      <c r="E179" s="3277"/>
      <c r="F179" s="3266">
        <v>0.05</v>
      </c>
      <c r="G179" s="3283"/>
    </row>
    <row r="180" spans="1:7">
      <c r="A180" s="3276" t="s">
        <v>29</v>
      </c>
      <c r="B180" s="3265" t="s">
        <v>3204</v>
      </c>
      <c r="C180" s="3277"/>
      <c r="D180" s="3277"/>
      <c r="E180" s="3277"/>
      <c r="F180" s="3266">
        <v>0.05</v>
      </c>
      <c r="G180" s="3283"/>
    </row>
    <row r="181" spans="1:7">
      <c r="A181" s="3276" t="s">
        <v>29</v>
      </c>
      <c r="B181" s="3265" t="s">
        <v>3205</v>
      </c>
      <c r="C181" s="3277"/>
      <c r="D181" s="3277"/>
      <c r="E181" s="3277"/>
      <c r="F181" s="3266">
        <v>0.05</v>
      </c>
      <c r="G181" s="3283"/>
    </row>
    <row r="182" spans="1:7">
      <c r="A182" s="3276" t="s">
        <v>29</v>
      </c>
      <c r="B182" s="3265" t="s">
        <v>3206</v>
      </c>
      <c r="C182" s="3277"/>
      <c r="D182" s="3277"/>
      <c r="E182" s="3277"/>
      <c r="F182" s="3266">
        <v>0.05</v>
      </c>
      <c r="G182" s="3283"/>
    </row>
    <row r="183" spans="1:7">
      <c r="A183" s="3276" t="s">
        <v>29</v>
      </c>
      <c r="B183" s="3265" t="s">
        <v>3207</v>
      </c>
      <c r="C183" s="3277"/>
      <c r="D183" s="3277"/>
      <c r="E183" s="3277"/>
      <c r="F183" s="3266">
        <v>0.05</v>
      </c>
      <c r="G183" s="3283"/>
    </row>
    <row r="184" spans="1:7">
      <c r="A184" s="3276" t="s">
        <v>29</v>
      </c>
      <c r="B184" s="3265" t="s">
        <v>3208</v>
      </c>
      <c r="C184" s="3277"/>
      <c r="D184" s="3277"/>
      <c r="E184" s="3277"/>
      <c r="F184" s="3266">
        <v>0.05</v>
      </c>
      <c r="G184" s="3283"/>
    </row>
    <row r="185" spans="1:7">
      <c r="A185" s="3276" t="s">
        <v>29</v>
      </c>
      <c r="B185" s="3265" t="s">
        <v>3209</v>
      </c>
      <c r="C185" s="3277"/>
      <c r="D185" s="3277"/>
      <c r="E185" s="3277"/>
      <c r="F185" s="3266">
        <v>0.05</v>
      </c>
      <c r="G185" s="3283"/>
    </row>
    <row r="186" spans="1:7">
      <c r="A186" s="3276" t="s">
        <v>29</v>
      </c>
      <c r="B186" s="3265" t="s">
        <v>3210</v>
      </c>
      <c r="C186" s="3277"/>
      <c r="D186" s="3277"/>
      <c r="E186" s="3277"/>
      <c r="F186" s="3266">
        <v>0.05</v>
      </c>
      <c r="G186" s="3283"/>
    </row>
    <row r="187" spans="1:7">
      <c r="A187" s="3276" t="s">
        <v>29</v>
      </c>
      <c r="B187" s="3265" t="s">
        <v>3211</v>
      </c>
      <c r="C187" s="3277"/>
      <c r="D187" s="3277"/>
      <c r="E187" s="3277"/>
      <c r="F187" s="3266">
        <v>0.05</v>
      </c>
      <c r="G187" s="3283"/>
    </row>
    <row r="188" spans="1:7">
      <c r="A188" s="3276" t="s">
        <v>29</v>
      </c>
      <c r="B188" s="3265" t="s">
        <v>3212</v>
      </c>
      <c r="C188" s="3277"/>
      <c r="D188" s="3277"/>
      <c r="E188" s="3277"/>
      <c r="F188" s="3266">
        <v>0.05</v>
      </c>
      <c r="G188" s="3283"/>
    </row>
    <row r="189" spans="1:7" ht="14.25" thickBot="1">
      <c r="A189" s="3279" t="s">
        <v>29</v>
      </c>
      <c r="B189" s="3269" t="s">
        <v>3213</v>
      </c>
      <c r="C189" s="3271"/>
      <c r="D189" s="3271"/>
      <c r="E189" s="3271"/>
      <c r="F189" s="3270">
        <v>0.05</v>
      </c>
      <c r="G189" s="3284"/>
    </row>
    <row r="190" spans="1:7">
      <c r="A190" s="3275" t="s">
        <v>304</v>
      </c>
      <c r="B190" s="3261" t="s">
        <v>2869</v>
      </c>
      <c r="C190" s="3262">
        <v>0.124</v>
      </c>
      <c r="D190" s="3262">
        <v>0.124</v>
      </c>
      <c r="E190" s="3262">
        <v>0.129</v>
      </c>
      <c r="F190" s="3262">
        <v>0.13</v>
      </c>
      <c r="G190" s="3263">
        <v>0.127</v>
      </c>
    </row>
    <row r="191" spans="1:7">
      <c r="A191" s="3276" t="s">
        <v>304</v>
      </c>
      <c r="B191" s="3265" t="s">
        <v>133</v>
      </c>
      <c r="C191" s="3266">
        <v>0.13</v>
      </c>
      <c r="D191" s="3266">
        <v>0.13</v>
      </c>
      <c r="E191" s="3266">
        <v>0.13</v>
      </c>
      <c r="F191" s="3266">
        <v>0.13</v>
      </c>
      <c r="G191" s="3267">
        <v>0.13</v>
      </c>
    </row>
    <row r="192" spans="1:7">
      <c r="A192" s="3276" t="s">
        <v>304</v>
      </c>
      <c r="B192" s="3265" t="s">
        <v>142</v>
      </c>
      <c r="C192" s="3266">
        <v>0.13</v>
      </c>
      <c r="D192" s="3266">
        <v>0.13</v>
      </c>
      <c r="E192" s="3266">
        <v>0.13</v>
      </c>
      <c r="F192" s="3266">
        <v>0.13</v>
      </c>
      <c r="G192" s="3267">
        <v>0.13</v>
      </c>
    </row>
    <row r="193" spans="1:7">
      <c r="A193" s="3276" t="s">
        <v>304</v>
      </c>
      <c r="B193" s="3265" t="s">
        <v>151</v>
      </c>
      <c r="C193" s="3266">
        <v>0.13</v>
      </c>
      <c r="D193" s="3266">
        <v>0.13</v>
      </c>
      <c r="E193" s="3266">
        <v>0.13</v>
      </c>
      <c r="F193" s="3266">
        <v>0.13</v>
      </c>
      <c r="G193" s="3267">
        <v>0.13</v>
      </c>
    </row>
    <row r="194" spans="1:7">
      <c r="A194" s="3276" t="s">
        <v>304</v>
      </c>
      <c r="B194" s="3265" t="s">
        <v>160</v>
      </c>
      <c r="C194" s="3266">
        <v>0.123</v>
      </c>
      <c r="D194" s="3266">
        <v>0.123</v>
      </c>
      <c r="E194" s="3266">
        <v>0.128</v>
      </c>
      <c r="F194" s="3266">
        <v>0.13</v>
      </c>
      <c r="G194" s="3267">
        <v>0.126</v>
      </c>
    </row>
    <row r="195" spans="1:7">
      <c r="A195" s="3276" t="s">
        <v>304</v>
      </c>
      <c r="B195" s="3265" t="s">
        <v>167</v>
      </c>
      <c r="C195" s="3266">
        <v>0.127</v>
      </c>
      <c r="D195" s="3266">
        <v>0.127</v>
      </c>
      <c r="E195" s="3266">
        <v>0.121</v>
      </c>
      <c r="F195" s="3266">
        <v>0.129</v>
      </c>
      <c r="G195" s="3267">
        <v>0.129</v>
      </c>
    </row>
    <row r="196" spans="1:7">
      <c r="A196" s="3276" t="s">
        <v>304</v>
      </c>
      <c r="B196" s="3265" t="s">
        <v>173</v>
      </c>
      <c r="C196" s="3266">
        <v>0.127</v>
      </c>
      <c r="D196" s="3266">
        <v>0.128</v>
      </c>
      <c r="E196" s="3266">
        <v>0.122</v>
      </c>
      <c r="F196" s="3266">
        <v>0.13</v>
      </c>
      <c r="G196" s="3267">
        <v>0.129</v>
      </c>
    </row>
    <row r="197" spans="1:7">
      <c r="A197" s="3276" t="s">
        <v>304</v>
      </c>
      <c r="B197" s="3265" t="s">
        <v>180</v>
      </c>
      <c r="C197" s="3266">
        <v>0.126</v>
      </c>
      <c r="D197" s="3266">
        <v>0.126</v>
      </c>
      <c r="E197" s="3266">
        <v>0.11899999999999999</v>
      </c>
      <c r="F197" s="3266">
        <v>0.13</v>
      </c>
      <c r="G197" s="3267">
        <v>0.128</v>
      </c>
    </row>
    <row r="198" spans="1:7">
      <c r="A198" s="3276" t="s">
        <v>304</v>
      </c>
      <c r="B198" s="3265" t="s">
        <v>190</v>
      </c>
      <c r="C198" s="3266">
        <v>0.13</v>
      </c>
      <c r="D198" s="3266">
        <v>0.13</v>
      </c>
      <c r="E198" s="3266">
        <v>0.126</v>
      </c>
      <c r="F198" s="3282"/>
      <c r="G198" s="3267">
        <v>0.13</v>
      </c>
    </row>
    <row r="199" spans="1:7">
      <c r="A199" s="3276" t="s">
        <v>304</v>
      </c>
      <c r="B199" s="3265" t="s">
        <v>2905</v>
      </c>
      <c r="C199" s="3266">
        <v>0.13</v>
      </c>
      <c r="D199" s="3266">
        <v>0.13</v>
      </c>
      <c r="E199" s="3266">
        <v>0.13</v>
      </c>
      <c r="F199" s="3266">
        <v>0.13</v>
      </c>
      <c r="G199" s="3267">
        <v>0.13</v>
      </c>
    </row>
    <row r="200" spans="1:7">
      <c r="A200" s="3276" t="s">
        <v>304</v>
      </c>
      <c r="B200" s="3265" t="s">
        <v>2908</v>
      </c>
      <c r="C200" s="3282"/>
      <c r="D200" s="3282"/>
      <c r="E200" s="3282"/>
      <c r="F200" s="3266">
        <v>0.13</v>
      </c>
      <c r="G200" s="3278"/>
    </row>
    <row r="201" spans="1:7">
      <c r="A201" s="3276" t="s">
        <v>304</v>
      </c>
      <c r="B201" s="3265" t="s">
        <v>2913</v>
      </c>
      <c r="C201" s="3266">
        <v>0.13</v>
      </c>
      <c r="D201" s="3266">
        <v>0.13</v>
      </c>
      <c r="E201" s="3266">
        <v>0.13</v>
      </c>
      <c r="F201" s="3266">
        <v>0.129</v>
      </c>
      <c r="G201" s="3267">
        <v>0.13</v>
      </c>
    </row>
    <row r="202" spans="1:7">
      <c r="A202" s="3276" t="s">
        <v>304</v>
      </c>
      <c r="B202" s="3265" t="s">
        <v>240</v>
      </c>
      <c r="C202" s="3266">
        <v>0.13</v>
      </c>
      <c r="D202" s="3266">
        <v>0.13</v>
      </c>
      <c r="E202" s="3266">
        <v>0.13</v>
      </c>
      <c r="F202" s="3266">
        <v>0.13</v>
      </c>
      <c r="G202" s="3267">
        <v>0.13</v>
      </c>
    </row>
    <row r="203" spans="1:7">
      <c r="A203" s="3276" t="s">
        <v>304</v>
      </c>
      <c r="B203" s="3265" t="s">
        <v>2916</v>
      </c>
      <c r="C203" s="3266">
        <v>0.129</v>
      </c>
      <c r="D203" s="3266">
        <v>0.129</v>
      </c>
      <c r="E203" s="3266">
        <v>0.13</v>
      </c>
      <c r="F203" s="3266">
        <v>0.13</v>
      </c>
      <c r="G203" s="3267">
        <v>0.13</v>
      </c>
    </row>
    <row r="204" spans="1:7">
      <c r="A204" s="3276" t="s">
        <v>304</v>
      </c>
      <c r="B204" s="3265" t="s">
        <v>2919</v>
      </c>
      <c r="C204" s="3266">
        <v>0.129</v>
      </c>
      <c r="D204" s="3266">
        <v>0.129</v>
      </c>
      <c r="E204" s="3266">
        <v>0.123</v>
      </c>
      <c r="F204" s="3266">
        <v>0.13</v>
      </c>
      <c r="G204" s="3267">
        <v>0.13</v>
      </c>
    </row>
    <row r="205" spans="1:7">
      <c r="A205" s="3276" t="s">
        <v>304</v>
      </c>
      <c r="B205" s="3265" t="s">
        <v>2921</v>
      </c>
      <c r="C205" s="3266">
        <v>0.13</v>
      </c>
      <c r="D205" s="3266">
        <v>0.13</v>
      </c>
      <c r="E205" s="3266">
        <v>0.13</v>
      </c>
      <c r="F205" s="3266">
        <v>0.13</v>
      </c>
      <c r="G205" s="3267">
        <v>0.13</v>
      </c>
    </row>
    <row r="206" spans="1:7">
      <c r="A206" s="3276" t="s">
        <v>304</v>
      </c>
      <c r="B206" s="3265" t="s">
        <v>2924</v>
      </c>
      <c r="C206" s="3266">
        <v>0.13</v>
      </c>
      <c r="D206" s="3266">
        <v>0.13</v>
      </c>
      <c r="E206" s="3266">
        <v>0.13</v>
      </c>
      <c r="F206" s="3266">
        <v>0.128</v>
      </c>
      <c r="G206" s="3267">
        <v>0.13</v>
      </c>
    </row>
    <row r="207" spans="1:7">
      <c r="A207" s="3276" t="s">
        <v>304</v>
      </c>
      <c r="B207" s="3265" t="s">
        <v>2926</v>
      </c>
      <c r="C207" s="3266">
        <v>0.13</v>
      </c>
      <c r="D207" s="3266">
        <v>0.13</v>
      </c>
      <c r="E207" s="3266">
        <v>0.13</v>
      </c>
      <c r="F207" s="3266">
        <v>0.13</v>
      </c>
      <c r="G207" s="3267">
        <v>0.13</v>
      </c>
    </row>
    <row r="208" spans="1:7">
      <c r="A208" s="3276" t="s">
        <v>304</v>
      </c>
      <c r="B208" s="3265" t="s">
        <v>2929</v>
      </c>
      <c r="C208" s="3266">
        <v>0.13</v>
      </c>
      <c r="D208" s="3266">
        <v>0.13</v>
      </c>
      <c r="E208" s="3266">
        <v>0.13</v>
      </c>
      <c r="F208" s="3266">
        <v>0.13</v>
      </c>
      <c r="G208" s="3267">
        <v>0.13</v>
      </c>
    </row>
    <row r="209" spans="1:7">
      <c r="A209" s="3276" t="s">
        <v>304</v>
      </c>
      <c r="B209" s="3265" t="s">
        <v>264</v>
      </c>
      <c r="C209" s="3266">
        <v>0.13</v>
      </c>
      <c r="D209" s="3266">
        <v>0.13</v>
      </c>
      <c r="E209" s="3266">
        <v>0.13</v>
      </c>
      <c r="F209" s="3266">
        <v>0.13</v>
      </c>
      <c r="G209" s="3267">
        <v>0.13</v>
      </c>
    </row>
    <row r="210" spans="1:7">
      <c r="A210" s="3276" t="s">
        <v>304</v>
      </c>
      <c r="B210" s="3265" t="s">
        <v>2936</v>
      </c>
      <c r="C210" s="3266">
        <v>0.121</v>
      </c>
      <c r="D210" s="3266">
        <v>0.121</v>
      </c>
      <c r="E210" s="3266">
        <v>0.125</v>
      </c>
      <c r="F210" s="3266">
        <v>0.13</v>
      </c>
      <c r="G210" s="3267">
        <v>0.123</v>
      </c>
    </row>
    <row r="211" spans="1:7">
      <c r="A211" s="3276" t="s">
        <v>304</v>
      </c>
      <c r="B211" s="3265" t="s">
        <v>2939</v>
      </c>
      <c r="C211" s="3266">
        <v>0.123</v>
      </c>
      <c r="D211" s="3266">
        <v>0.123</v>
      </c>
      <c r="E211" s="3266">
        <v>0.127</v>
      </c>
      <c r="F211" s="3266">
        <v>0.115</v>
      </c>
      <c r="G211" s="3267">
        <v>0.126</v>
      </c>
    </row>
    <row r="212" spans="1:7">
      <c r="A212" s="3276" t="s">
        <v>304</v>
      </c>
      <c r="B212" s="3265" t="s">
        <v>285</v>
      </c>
      <c r="C212" s="3266">
        <v>0.126</v>
      </c>
      <c r="D212" s="3266">
        <v>0.126</v>
      </c>
      <c r="E212" s="3266">
        <v>0.13</v>
      </c>
      <c r="F212" s="3266">
        <v>0.13</v>
      </c>
      <c r="G212" s="3267">
        <v>0.129</v>
      </c>
    </row>
    <row r="213" spans="1:7">
      <c r="A213" s="3276" t="s">
        <v>304</v>
      </c>
      <c r="B213" s="3265" t="s">
        <v>288</v>
      </c>
      <c r="C213" s="3266">
        <v>0.129</v>
      </c>
      <c r="D213" s="3266">
        <v>0.13</v>
      </c>
      <c r="E213" s="3266">
        <v>0.127</v>
      </c>
      <c r="F213" s="3266">
        <v>0.13</v>
      </c>
      <c r="G213" s="3267">
        <v>0.13</v>
      </c>
    </row>
    <row r="214" spans="1:7">
      <c r="A214" s="3276" t="s">
        <v>304</v>
      </c>
      <c r="B214" s="3265" t="s">
        <v>2951</v>
      </c>
      <c r="C214" s="3266">
        <v>0.128</v>
      </c>
      <c r="D214" s="3266">
        <v>0.128</v>
      </c>
      <c r="E214" s="3266">
        <v>0.13</v>
      </c>
      <c r="F214" s="3266">
        <v>0.13</v>
      </c>
      <c r="G214" s="3267">
        <v>0.13</v>
      </c>
    </row>
    <row r="215" spans="1:7">
      <c r="A215" s="3276" t="s">
        <v>304</v>
      </c>
      <c r="B215" s="3265" t="s">
        <v>2955</v>
      </c>
      <c r="C215" s="3266">
        <v>0.13</v>
      </c>
      <c r="D215" s="3266">
        <v>0.13</v>
      </c>
      <c r="E215" s="3266">
        <v>0.13</v>
      </c>
      <c r="F215" s="3266">
        <v>0.129</v>
      </c>
      <c r="G215" s="3267">
        <v>0.13</v>
      </c>
    </row>
    <row r="216" spans="1:7">
      <c r="A216" s="3276" t="s">
        <v>304</v>
      </c>
      <c r="B216" s="3265" t="s">
        <v>2962</v>
      </c>
      <c r="C216" s="3266">
        <v>0.13</v>
      </c>
      <c r="D216" s="3266">
        <v>0.13</v>
      </c>
      <c r="E216" s="3266">
        <v>0.13</v>
      </c>
      <c r="F216" s="3266">
        <v>0.13</v>
      </c>
      <c r="G216" s="3267">
        <v>0.13</v>
      </c>
    </row>
    <row r="217" spans="1:7">
      <c r="A217" s="3276" t="s">
        <v>304</v>
      </c>
      <c r="B217" s="3265" t="s">
        <v>2969</v>
      </c>
      <c r="C217" s="3266">
        <v>0.129</v>
      </c>
      <c r="D217" s="3266">
        <v>0.129</v>
      </c>
      <c r="E217" s="3266">
        <v>0.13</v>
      </c>
      <c r="F217" s="3266">
        <v>0.13</v>
      </c>
      <c r="G217" s="3267">
        <v>0.13</v>
      </c>
    </row>
    <row r="218" spans="1:7">
      <c r="A218" s="3276" t="s">
        <v>304</v>
      </c>
      <c r="B218" s="3265" t="s">
        <v>2975</v>
      </c>
      <c r="C218" s="3277"/>
      <c r="D218" s="3277"/>
      <c r="E218" s="3277"/>
      <c r="F218" s="3266">
        <v>0.05</v>
      </c>
      <c r="G218" s="3283"/>
    </row>
    <row r="219" spans="1:7">
      <c r="A219" s="3276" t="s">
        <v>304</v>
      </c>
      <c r="B219" s="3265" t="s">
        <v>2982</v>
      </c>
      <c r="C219" s="3277"/>
      <c r="D219" s="3277"/>
      <c r="E219" s="3277"/>
      <c r="F219" s="3266">
        <v>0.05</v>
      </c>
      <c r="G219" s="3283"/>
    </row>
    <row r="220" spans="1:7">
      <c r="A220" s="3276" t="s">
        <v>304</v>
      </c>
      <c r="B220" s="3265" t="s">
        <v>2988</v>
      </c>
      <c r="C220" s="3277"/>
      <c r="D220" s="3277"/>
      <c r="E220" s="3277"/>
      <c r="F220" s="3266">
        <v>0.05</v>
      </c>
      <c r="G220" s="3283"/>
    </row>
    <row r="221" spans="1:7">
      <c r="A221" s="3276" t="s">
        <v>304</v>
      </c>
      <c r="B221" s="3265" t="s">
        <v>2993</v>
      </c>
      <c r="C221" s="3277"/>
      <c r="D221" s="3277"/>
      <c r="E221" s="3277"/>
      <c r="F221" s="3266">
        <v>0.05</v>
      </c>
      <c r="G221" s="3283"/>
    </row>
    <row r="222" spans="1:7">
      <c r="A222" s="3276" t="s">
        <v>304</v>
      </c>
      <c r="B222" s="3265" t="s">
        <v>2997</v>
      </c>
      <c r="C222" s="3277"/>
      <c r="D222" s="3277"/>
      <c r="E222" s="3277"/>
      <c r="F222" s="3266">
        <v>0.05</v>
      </c>
      <c r="G222" s="3283"/>
    </row>
    <row r="223" spans="1:7">
      <c r="A223" s="3276" t="s">
        <v>304</v>
      </c>
      <c r="B223" s="3265" t="s">
        <v>3002</v>
      </c>
      <c r="C223" s="3277"/>
      <c r="D223" s="3277"/>
      <c r="E223" s="3277"/>
      <c r="F223" s="3266">
        <v>0.05</v>
      </c>
      <c r="G223" s="3283"/>
    </row>
    <row r="224" spans="1:7">
      <c r="A224" s="3276" t="s">
        <v>304</v>
      </c>
      <c r="B224" s="3265" t="s">
        <v>3007</v>
      </c>
      <c r="C224" s="3277"/>
      <c r="D224" s="3277"/>
      <c r="E224" s="3277"/>
      <c r="F224" s="3266">
        <v>0.05</v>
      </c>
      <c r="G224" s="3283"/>
    </row>
    <row r="225" spans="1:7">
      <c r="A225" s="3276" t="s">
        <v>304</v>
      </c>
      <c r="B225" s="3265" t="s">
        <v>3012</v>
      </c>
      <c r="C225" s="3277"/>
      <c r="D225" s="3277"/>
      <c r="E225" s="3277"/>
      <c r="F225" s="3266">
        <v>0.05</v>
      </c>
      <c r="G225" s="3283"/>
    </row>
    <row r="226" spans="1:7">
      <c r="A226" s="3276" t="s">
        <v>304</v>
      </c>
      <c r="B226" s="3265" t="s">
        <v>3214</v>
      </c>
      <c r="C226" s="3277"/>
      <c r="D226" s="3277"/>
      <c r="E226" s="3277"/>
      <c r="F226" s="3266">
        <v>0.05</v>
      </c>
      <c r="G226" s="3283"/>
    </row>
    <row r="227" spans="1:7">
      <c r="A227" s="3276" t="s">
        <v>304</v>
      </c>
      <c r="B227" s="3265" t="s">
        <v>3215</v>
      </c>
      <c r="C227" s="3277"/>
      <c r="D227" s="3277"/>
      <c r="E227" s="3277"/>
      <c r="F227" s="3266">
        <v>0.05</v>
      </c>
      <c r="G227" s="3283"/>
    </row>
    <row r="228" spans="1:7">
      <c r="A228" s="3276" t="s">
        <v>304</v>
      </c>
      <c r="B228" s="3265" t="s">
        <v>3216</v>
      </c>
      <c r="C228" s="3277"/>
      <c r="D228" s="3277"/>
      <c r="E228" s="3277"/>
      <c r="F228" s="3266">
        <v>0.05</v>
      </c>
      <c r="G228" s="3283"/>
    </row>
    <row r="229" spans="1:7">
      <c r="A229" s="3276" t="s">
        <v>304</v>
      </c>
      <c r="B229" s="3265" t="s">
        <v>3217</v>
      </c>
      <c r="C229" s="3277"/>
      <c r="D229" s="3277"/>
      <c r="E229" s="3277"/>
      <c r="F229" s="3266">
        <v>0.05</v>
      </c>
      <c r="G229" s="3283"/>
    </row>
    <row r="230" spans="1:7">
      <c r="A230" s="3276" t="s">
        <v>304</v>
      </c>
      <c r="B230" s="3265" t="s">
        <v>3218</v>
      </c>
      <c r="C230" s="3277"/>
      <c r="D230" s="3277"/>
      <c r="E230" s="3277"/>
      <c r="F230" s="3266">
        <v>0.05</v>
      </c>
      <c r="G230" s="3283"/>
    </row>
    <row r="231" spans="1:7">
      <c r="A231" s="3276" t="s">
        <v>304</v>
      </c>
      <c r="B231" s="3265" t="s">
        <v>3219</v>
      </c>
      <c r="C231" s="3277"/>
      <c r="D231" s="3277"/>
      <c r="E231" s="3277"/>
      <c r="F231" s="3266">
        <v>0.05</v>
      </c>
      <c r="G231" s="3283"/>
    </row>
    <row r="232" spans="1:7">
      <c r="A232" s="3276" t="s">
        <v>304</v>
      </c>
      <c r="B232" s="3265" t="s">
        <v>3220</v>
      </c>
      <c r="C232" s="3277"/>
      <c r="D232" s="3277"/>
      <c r="E232" s="3277"/>
      <c r="F232" s="3266">
        <v>0.05</v>
      </c>
      <c r="G232" s="3283"/>
    </row>
    <row r="233" spans="1:7" ht="14.25" thickBot="1">
      <c r="A233" s="3279" t="s">
        <v>304</v>
      </c>
      <c r="B233" s="3269" t="s">
        <v>3221</v>
      </c>
      <c r="C233" s="3271"/>
      <c r="D233" s="3271"/>
      <c r="E233" s="3271"/>
      <c r="F233" s="3270">
        <v>0.05</v>
      </c>
      <c r="G233" s="3284"/>
    </row>
    <row r="234" spans="1:7">
      <c r="A234" s="3275" t="s">
        <v>305</v>
      </c>
      <c r="B234" s="3261" t="s">
        <v>2870</v>
      </c>
      <c r="C234" s="3262">
        <v>0.13</v>
      </c>
      <c r="D234" s="3262">
        <v>0.128</v>
      </c>
      <c r="E234" s="3262">
        <v>0.14199999999999999</v>
      </c>
      <c r="F234" s="3262">
        <v>0.14699999999999999</v>
      </c>
      <c r="G234" s="3263">
        <v>0.14000000000000001</v>
      </c>
    </row>
    <row r="235" spans="1:7">
      <c r="A235" s="3276" t="s">
        <v>305</v>
      </c>
      <c r="B235" s="3265" t="s">
        <v>134</v>
      </c>
      <c r="C235" s="3266">
        <v>0.13600000000000001</v>
      </c>
      <c r="D235" s="3266">
        <v>0.13800000000000001</v>
      </c>
      <c r="E235" s="3266">
        <v>0.14499999999999999</v>
      </c>
      <c r="F235" s="3266">
        <v>0.14299999999999999</v>
      </c>
      <c r="G235" s="3267">
        <v>0.14099999999999999</v>
      </c>
    </row>
    <row r="236" spans="1:7">
      <c r="A236" s="3276" t="s">
        <v>305</v>
      </c>
      <c r="B236" s="3265" t="s">
        <v>143</v>
      </c>
      <c r="C236" s="3266">
        <v>0.15</v>
      </c>
      <c r="D236" s="3266">
        <v>0.15</v>
      </c>
      <c r="E236" s="3266">
        <v>0.15</v>
      </c>
      <c r="F236" s="3266">
        <v>0.15</v>
      </c>
      <c r="G236" s="3267">
        <v>0.15</v>
      </c>
    </row>
    <row r="237" spans="1:7">
      <c r="A237" s="3276" t="s">
        <v>305</v>
      </c>
      <c r="B237" s="3265" t="s">
        <v>152</v>
      </c>
      <c r="C237" s="3266">
        <v>0.15</v>
      </c>
      <c r="D237" s="3266">
        <v>0.15</v>
      </c>
      <c r="E237" s="3266">
        <v>0.15</v>
      </c>
      <c r="F237" s="3266">
        <v>0.15</v>
      </c>
      <c r="G237" s="3267">
        <v>0.15</v>
      </c>
    </row>
    <row r="238" spans="1:7">
      <c r="A238" s="3276" t="s">
        <v>305</v>
      </c>
      <c r="B238" s="3265" t="s">
        <v>2890</v>
      </c>
      <c r="C238" s="3266">
        <v>0.14899999999999999</v>
      </c>
      <c r="D238" s="3266">
        <v>0.14899999999999999</v>
      </c>
      <c r="E238" s="3266">
        <v>0.15</v>
      </c>
      <c r="F238" s="3266">
        <v>0.15</v>
      </c>
      <c r="G238" s="3267">
        <v>0.15</v>
      </c>
    </row>
    <row r="239" spans="1:7">
      <c r="A239" s="3276" t="s">
        <v>305</v>
      </c>
      <c r="B239" s="3265" t="s">
        <v>2894</v>
      </c>
      <c r="C239" s="3266">
        <v>0.15</v>
      </c>
      <c r="D239" s="3266">
        <v>0.15</v>
      </c>
      <c r="E239" s="3266">
        <v>0.15</v>
      </c>
      <c r="F239" s="3266">
        <v>0.15</v>
      </c>
      <c r="G239" s="3267">
        <v>0.15</v>
      </c>
    </row>
    <row r="240" spans="1:7">
      <c r="A240" s="3276" t="s">
        <v>305</v>
      </c>
      <c r="B240" s="3265" t="s">
        <v>2899</v>
      </c>
      <c r="C240" s="3266">
        <v>0.15</v>
      </c>
      <c r="D240" s="3266">
        <v>0.15</v>
      </c>
      <c r="E240" s="3266">
        <v>0.15</v>
      </c>
      <c r="F240" s="3266">
        <v>0.15</v>
      </c>
      <c r="G240" s="3267">
        <v>0.15</v>
      </c>
    </row>
    <row r="241" spans="1:7">
      <c r="A241" s="3276" t="s">
        <v>305</v>
      </c>
      <c r="B241" s="3265" t="s">
        <v>2903</v>
      </c>
      <c r="C241" s="3266">
        <v>0.14099999999999999</v>
      </c>
      <c r="D241" s="3266">
        <v>0.14199999999999999</v>
      </c>
      <c r="E241" s="3266">
        <v>0.14899999999999999</v>
      </c>
      <c r="F241" s="3266">
        <v>0.15</v>
      </c>
      <c r="G241" s="3267">
        <v>0.14399999999999999</v>
      </c>
    </row>
    <row r="242" spans="1:7">
      <c r="A242" s="3276" t="s">
        <v>305</v>
      </c>
      <c r="B242" s="3265" t="s">
        <v>181</v>
      </c>
      <c r="C242" s="3266">
        <v>0.14099999999999999</v>
      </c>
      <c r="D242" s="3266">
        <v>0.14199999999999999</v>
      </c>
      <c r="E242" s="3266">
        <v>0.14799999999999999</v>
      </c>
      <c r="F242" s="3266">
        <v>0.127</v>
      </c>
      <c r="G242" s="3267">
        <v>0.14399999999999999</v>
      </c>
    </row>
    <row r="243" spans="1:7">
      <c r="A243" s="3276" t="s">
        <v>305</v>
      </c>
      <c r="B243" s="3265" t="s">
        <v>191</v>
      </c>
      <c r="C243" s="3266">
        <v>0.14699999999999999</v>
      </c>
      <c r="D243" s="3266">
        <v>0.14699999999999999</v>
      </c>
      <c r="E243" s="3266">
        <v>0.15</v>
      </c>
      <c r="F243" s="3266">
        <v>0.15</v>
      </c>
      <c r="G243" s="3267">
        <v>0.14899999999999999</v>
      </c>
    </row>
    <row r="244" spans="1:7">
      <c r="A244" s="3276" t="s">
        <v>305</v>
      </c>
      <c r="B244" s="3265" t="s">
        <v>2909</v>
      </c>
      <c r="C244" s="3266">
        <v>0.15</v>
      </c>
      <c r="D244" s="3266">
        <v>0.15</v>
      </c>
      <c r="E244" s="3266">
        <v>0.15</v>
      </c>
      <c r="F244" s="3266">
        <v>0.15</v>
      </c>
      <c r="G244" s="3267">
        <v>0.15</v>
      </c>
    </row>
    <row r="245" spans="1:7">
      <c r="A245" s="3276" t="s">
        <v>305</v>
      </c>
      <c r="B245" s="3265" t="s">
        <v>206</v>
      </c>
      <c r="C245" s="3266">
        <v>0.14199999999999999</v>
      </c>
      <c r="D245" s="3266">
        <v>0.14199999999999999</v>
      </c>
      <c r="E245" s="3266">
        <v>0.15</v>
      </c>
      <c r="F245" s="3266">
        <v>0.15</v>
      </c>
      <c r="G245" s="3267">
        <v>0.14499999999999999</v>
      </c>
    </row>
    <row r="246" spans="1:7">
      <c r="A246" s="3276" t="s">
        <v>305</v>
      </c>
      <c r="B246" s="3265" t="s">
        <v>213</v>
      </c>
      <c r="C246" s="3266">
        <v>0.14199999999999999</v>
      </c>
      <c r="D246" s="3266">
        <v>0.14299999999999999</v>
      </c>
      <c r="E246" s="3266">
        <v>0.15</v>
      </c>
      <c r="F246" s="3266">
        <v>0.14199999999999999</v>
      </c>
      <c r="G246" s="3267">
        <v>0.14399999999999999</v>
      </c>
    </row>
    <row r="247" spans="1:7">
      <c r="A247" s="3276" t="s">
        <v>305</v>
      </c>
      <c r="B247" s="3265" t="s">
        <v>2917</v>
      </c>
      <c r="C247" s="3266">
        <v>0.14899999999999999</v>
      </c>
      <c r="D247" s="3266">
        <v>0.14899999999999999</v>
      </c>
      <c r="E247" s="3266">
        <v>0.15</v>
      </c>
      <c r="F247" s="3266">
        <v>0.15</v>
      </c>
      <c r="G247" s="3267">
        <v>0.15</v>
      </c>
    </row>
    <row r="248" spans="1:7">
      <c r="A248" s="3276" t="s">
        <v>305</v>
      </c>
      <c r="B248" s="3265" t="s">
        <v>227</v>
      </c>
      <c r="C248" s="3266">
        <v>0.14399999999999999</v>
      </c>
      <c r="D248" s="3266">
        <v>0.14399999999999999</v>
      </c>
      <c r="E248" s="3266">
        <v>0.14899999999999999</v>
      </c>
      <c r="F248" s="3266">
        <v>0.14799999999999999</v>
      </c>
      <c r="G248" s="3267">
        <v>0.14599999999999999</v>
      </c>
    </row>
    <row r="249" spans="1:7">
      <c r="A249" s="3276" t="s">
        <v>305</v>
      </c>
      <c r="B249" s="3265" t="s">
        <v>2922</v>
      </c>
      <c r="C249" s="3266">
        <v>0.14000000000000001</v>
      </c>
      <c r="D249" s="3266">
        <v>0.14000000000000001</v>
      </c>
      <c r="E249" s="3266">
        <v>0.14699999999999999</v>
      </c>
      <c r="F249" s="3266">
        <v>0.14899999999999999</v>
      </c>
      <c r="G249" s="3267">
        <v>0.14199999999999999</v>
      </c>
    </row>
    <row r="250" spans="1:7">
      <c r="A250" s="3276" t="s">
        <v>305</v>
      </c>
      <c r="B250" s="3265" t="s">
        <v>241</v>
      </c>
      <c r="C250" s="3266">
        <v>0.14399999999999999</v>
      </c>
      <c r="D250" s="3266">
        <v>0.14299999999999999</v>
      </c>
      <c r="E250" s="3266">
        <v>0.14899999999999999</v>
      </c>
      <c r="F250" s="3266">
        <v>0.15</v>
      </c>
      <c r="G250" s="3267">
        <v>0.14599999999999999</v>
      </c>
    </row>
    <row r="251" spans="1:7">
      <c r="A251" s="3276" t="s">
        <v>305</v>
      </c>
      <c r="B251" s="3265" t="s">
        <v>249</v>
      </c>
      <c r="C251" s="3282"/>
      <c r="D251" s="3277"/>
      <c r="E251" s="3277"/>
      <c r="F251" s="3266">
        <v>0.1</v>
      </c>
      <c r="G251" s="3283"/>
    </row>
    <row r="252" spans="1:7">
      <c r="A252" s="3276" t="s">
        <v>305</v>
      </c>
      <c r="B252" s="3265" t="s">
        <v>2930</v>
      </c>
      <c r="C252" s="3266">
        <v>0.14399999999999999</v>
      </c>
      <c r="D252" s="3266">
        <v>0.14399999999999999</v>
      </c>
      <c r="E252" s="3266">
        <v>0.15</v>
      </c>
      <c r="F252" s="3266">
        <v>0.14899999999999999</v>
      </c>
      <c r="G252" s="3267">
        <v>0.14599999999999999</v>
      </c>
    </row>
    <row r="253" spans="1:7">
      <c r="A253" s="3276" t="s">
        <v>305</v>
      </c>
      <c r="B253" s="3265" t="s">
        <v>283</v>
      </c>
      <c r="C253" s="3266">
        <v>0.14199999999999999</v>
      </c>
      <c r="D253" s="3266">
        <v>0.14199999999999999</v>
      </c>
      <c r="E253" s="3266">
        <v>0.14599999999999999</v>
      </c>
      <c r="F253" s="3266">
        <v>0.14799999999999999</v>
      </c>
      <c r="G253" s="3267">
        <v>0.14499999999999999</v>
      </c>
    </row>
    <row r="254" spans="1:7">
      <c r="A254" s="3276" t="s">
        <v>305</v>
      </c>
      <c r="B254" s="3265" t="s">
        <v>286</v>
      </c>
      <c r="C254" s="3266">
        <v>0.15</v>
      </c>
      <c r="D254" s="3266">
        <v>0.15</v>
      </c>
      <c r="E254" s="3266">
        <v>0.15</v>
      </c>
      <c r="F254" s="3266">
        <v>0.15</v>
      </c>
      <c r="G254" s="3267">
        <v>0.15</v>
      </c>
    </row>
    <row r="255" spans="1:7">
      <c r="A255" s="3276" t="s">
        <v>305</v>
      </c>
      <c r="B255" s="3265" t="s">
        <v>289</v>
      </c>
      <c r="C255" s="3266">
        <v>0.14299999999999999</v>
      </c>
      <c r="D255" s="3266">
        <v>0.14299999999999999</v>
      </c>
      <c r="E255" s="3266">
        <v>0.15</v>
      </c>
      <c r="F255" s="3266">
        <v>0.15</v>
      </c>
      <c r="G255" s="3267">
        <v>0.14499999999999999</v>
      </c>
    </row>
    <row r="256" spans="1:7">
      <c r="A256" s="3276" t="s">
        <v>305</v>
      </c>
      <c r="B256" s="3265" t="s">
        <v>2943</v>
      </c>
      <c r="C256" s="3266">
        <v>0.15</v>
      </c>
      <c r="D256" s="3266">
        <v>0.15</v>
      </c>
      <c r="E256" s="3266">
        <v>0.15</v>
      </c>
      <c r="F256" s="3266">
        <v>0.14599999999999999</v>
      </c>
      <c r="G256" s="3267">
        <v>0.15</v>
      </c>
    </row>
    <row r="257" spans="1:7">
      <c r="A257" s="3276" t="s">
        <v>305</v>
      </c>
      <c r="B257" s="3265" t="s">
        <v>275</v>
      </c>
      <c r="C257" s="3266">
        <v>0.14199999999999999</v>
      </c>
      <c r="D257" s="3266">
        <v>0.14299999999999999</v>
      </c>
      <c r="E257" s="3266">
        <v>0.14799999999999999</v>
      </c>
      <c r="F257" s="3266">
        <v>0.15</v>
      </c>
      <c r="G257" s="3267">
        <v>0.14499999999999999</v>
      </c>
    </row>
    <row r="258" spans="1:7">
      <c r="A258" s="3276" t="s">
        <v>305</v>
      </c>
      <c r="B258" s="3265" t="s">
        <v>2952</v>
      </c>
      <c r="C258" s="3266">
        <v>0.14299999999999999</v>
      </c>
      <c r="D258" s="3266">
        <v>0.14299999999999999</v>
      </c>
      <c r="E258" s="3266">
        <v>0.15</v>
      </c>
      <c r="F258" s="3266">
        <v>0.14799999999999999</v>
      </c>
      <c r="G258" s="3267">
        <v>0.14599999999999999</v>
      </c>
    </row>
    <row r="259" spans="1:7">
      <c r="A259" s="3276" t="s">
        <v>305</v>
      </c>
      <c r="B259" s="3265" t="s">
        <v>2956</v>
      </c>
      <c r="C259" s="3266">
        <v>0.14399999999999999</v>
      </c>
      <c r="D259" s="3266">
        <v>0.14399999999999999</v>
      </c>
      <c r="E259" s="3266">
        <v>0.14899999999999999</v>
      </c>
      <c r="F259" s="3266">
        <v>0.14699999999999999</v>
      </c>
      <c r="G259" s="3267">
        <v>0.14599999999999999</v>
      </c>
    </row>
    <row r="260" spans="1:7">
      <c r="A260" s="3276" t="s">
        <v>305</v>
      </c>
      <c r="B260" s="3265" t="s">
        <v>2963</v>
      </c>
      <c r="C260" s="3266">
        <v>0.109</v>
      </c>
      <c r="D260" s="3266">
        <v>0.111</v>
      </c>
      <c r="E260" s="3266">
        <v>0.13100000000000001</v>
      </c>
      <c r="F260" s="3266">
        <v>0.126</v>
      </c>
      <c r="G260" s="3267">
        <v>0.11899999999999999</v>
      </c>
    </row>
    <row r="261" spans="1:7">
      <c r="A261" s="3276" t="s">
        <v>305</v>
      </c>
      <c r="B261" s="3265" t="s">
        <v>2970</v>
      </c>
      <c r="C261" s="3266">
        <v>0.1</v>
      </c>
      <c r="D261" s="3266">
        <v>0.1</v>
      </c>
      <c r="E261" s="3266">
        <v>0.11799999999999999</v>
      </c>
      <c r="F261" s="3266">
        <v>0.108</v>
      </c>
      <c r="G261" s="3267">
        <v>0.107</v>
      </c>
    </row>
    <row r="262" spans="1:7">
      <c r="A262" s="3276" t="s">
        <v>305</v>
      </c>
      <c r="B262" s="3265" t="s">
        <v>2976</v>
      </c>
      <c r="C262" s="3266">
        <v>0.1</v>
      </c>
      <c r="D262" s="3266">
        <v>0.1</v>
      </c>
      <c r="E262" s="3266">
        <v>0.1</v>
      </c>
      <c r="F262" s="3266">
        <v>0.14099999999999999</v>
      </c>
      <c r="G262" s="3267">
        <v>0.1</v>
      </c>
    </row>
    <row r="263" spans="1:7">
      <c r="A263" s="3276" t="s">
        <v>305</v>
      </c>
      <c r="B263" s="3265" t="s">
        <v>2983</v>
      </c>
      <c r="C263" s="3266">
        <v>0.14799999999999999</v>
      </c>
      <c r="D263" s="3266">
        <v>0.14799999999999999</v>
      </c>
      <c r="E263" s="3266">
        <v>0.15</v>
      </c>
      <c r="F263" s="3266">
        <v>0.14699999999999999</v>
      </c>
      <c r="G263" s="3267">
        <v>0.15</v>
      </c>
    </row>
    <row r="264" spans="1:7">
      <c r="A264" s="3276" t="s">
        <v>305</v>
      </c>
      <c r="B264" s="3265" t="s">
        <v>299</v>
      </c>
      <c r="C264" s="3266">
        <v>0.14299999999999999</v>
      </c>
      <c r="D264" s="3266">
        <v>0.14299999999999999</v>
      </c>
      <c r="E264" s="3266">
        <v>0.15</v>
      </c>
      <c r="F264" s="3266">
        <v>0.14899999999999999</v>
      </c>
      <c r="G264" s="3267">
        <v>0.14599999999999999</v>
      </c>
    </row>
    <row r="265" spans="1:7">
      <c r="A265" s="3276" t="s">
        <v>305</v>
      </c>
      <c r="B265" s="3265" t="s">
        <v>2994</v>
      </c>
      <c r="C265" s="3277"/>
      <c r="D265" s="3277"/>
      <c r="E265" s="3277"/>
      <c r="F265" s="3266">
        <v>0.05</v>
      </c>
      <c r="G265" s="3283"/>
    </row>
    <row r="266" spans="1:7">
      <c r="A266" s="3276" t="s">
        <v>305</v>
      </c>
      <c r="B266" s="3265" t="s">
        <v>2998</v>
      </c>
      <c r="C266" s="3277"/>
      <c r="D266" s="3277"/>
      <c r="E266" s="3277"/>
      <c r="F266" s="3266">
        <v>0.05</v>
      </c>
      <c r="G266" s="3283"/>
    </row>
    <row r="267" spans="1:7">
      <c r="A267" s="3276" t="s">
        <v>305</v>
      </c>
      <c r="B267" s="3265" t="s">
        <v>3003</v>
      </c>
      <c r="C267" s="3277"/>
      <c r="D267" s="3277"/>
      <c r="E267" s="3277"/>
      <c r="F267" s="3266">
        <v>0.05</v>
      </c>
      <c r="G267" s="3283"/>
    </row>
    <row r="268" spans="1:7">
      <c r="A268" s="3276" t="s">
        <v>305</v>
      </c>
      <c r="B268" s="3265" t="s">
        <v>3008</v>
      </c>
      <c r="C268" s="3277"/>
      <c r="D268" s="3277"/>
      <c r="E268" s="3277"/>
      <c r="F268" s="3266">
        <v>0.05</v>
      </c>
      <c r="G268" s="3283"/>
    </row>
    <row r="269" spans="1:7">
      <c r="A269" s="3276" t="s">
        <v>305</v>
      </c>
      <c r="B269" s="3265" t="s">
        <v>3013</v>
      </c>
      <c r="C269" s="3277"/>
      <c r="D269" s="3277"/>
      <c r="E269" s="3277"/>
      <c r="F269" s="3266">
        <v>0.05</v>
      </c>
      <c r="G269" s="3283"/>
    </row>
    <row r="270" spans="1:7">
      <c r="A270" s="3276" t="s">
        <v>305</v>
      </c>
      <c r="B270" s="3265" t="s">
        <v>3018</v>
      </c>
      <c r="C270" s="3277"/>
      <c r="D270" s="3277"/>
      <c r="E270" s="3277"/>
      <c r="F270" s="3266">
        <v>0.05</v>
      </c>
      <c r="G270" s="3283"/>
    </row>
    <row r="271" spans="1:7">
      <c r="A271" s="3276" t="s">
        <v>305</v>
      </c>
      <c r="B271" s="3265" t="s">
        <v>3222</v>
      </c>
      <c r="C271" s="3277"/>
      <c r="D271" s="3277"/>
      <c r="E271" s="3277"/>
      <c r="F271" s="3266">
        <v>0.05</v>
      </c>
      <c r="G271" s="3283"/>
    </row>
    <row r="272" spans="1:7">
      <c r="A272" s="3276" t="s">
        <v>305</v>
      </c>
      <c r="B272" s="3265" t="s">
        <v>3223</v>
      </c>
      <c r="C272" s="3277"/>
      <c r="D272" s="3277"/>
      <c r="E272" s="3277"/>
      <c r="F272" s="3266">
        <v>0.05</v>
      </c>
      <c r="G272" s="3283"/>
    </row>
    <row r="273" spans="1:7">
      <c r="A273" s="3276" t="s">
        <v>305</v>
      </c>
      <c r="B273" s="3265" t="s">
        <v>3224</v>
      </c>
      <c r="C273" s="3277"/>
      <c r="D273" s="3277"/>
      <c r="E273" s="3277"/>
      <c r="F273" s="3266">
        <v>0.05</v>
      </c>
      <c r="G273" s="3283"/>
    </row>
    <row r="274" spans="1:7">
      <c r="A274" s="3276" t="s">
        <v>305</v>
      </c>
      <c r="B274" s="3265" t="s">
        <v>3225</v>
      </c>
      <c r="C274" s="3277"/>
      <c r="D274" s="3277"/>
      <c r="E274" s="3277"/>
      <c r="F274" s="3266">
        <v>0.05</v>
      </c>
      <c r="G274" s="3283"/>
    </row>
    <row r="275" spans="1:7">
      <c r="A275" s="3276" t="s">
        <v>305</v>
      </c>
      <c r="B275" s="3265" t="s">
        <v>3226</v>
      </c>
      <c r="C275" s="3277"/>
      <c r="D275" s="3277"/>
      <c r="E275" s="3277"/>
      <c r="F275" s="3266">
        <v>0.05</v>
      </c>
      <c r="G275" s="3283"/>
    </row>
    <row r="276" spans="1:7" ht="14.25" thickBot="1">
      <c r="A276" s="3279" t="s">
        <v>305</v>
      </c>
      <c r="B276" s="3269" t="s">
        <v>3227</v>
      </c>
      <c r="C276" s="3271"/>
      <c r="D276" s="3271"/>
      <c r="E276" s="3271"/>
      <c r="F276" s="3270">
        <v>0.05</v>
      </c>
      <c r="G276" s="3284"/>
    </row>
    <row r="277" spans="1:7">
      <c r="A277" s="3275" t="s">
        <v>306</v>
      </c>
      <c r="B277" s="3261" t="s">
        <v>2871</v>
      </c>
      <c r="C277" s="3262">
        <v>0.15</v>
      </c>
      <c r="D277" s="3262">
        <v>0.15</v>
      </c>
      <c r="E277" s="3262">
        <v>0.15</v>
      </c>
      <c r="F277" s="3262">
        <v>0.15</v>
      </c>
      <c r="G277" s="3263">
        <v>0.15</v>
      </c>
    </row>
    <row r="278" spans="1:7">
      <c r="A278" s="3276" t="s">
        <v>306</v>
      </c>
      <c r="B278" s="3265" t="s">
        <v>135</v>
      </c>
      <c r="C278" s="3266">
        <v>0.15</v>
      </c>
      <c r="D278" s="3266">
        <v>0.15</v>
      </c>
      <c r="E278" s="3266">
        <v>0.15</v>
      </c>
      <c r="F278" s="3266">
        <v>0.15</v>
      </c>
      <c r="G278" s="3267">
        <v>0.15</v>
      </c>
    </row>
    <row r="279" spans="1:7">
      <c r="A279" s="3276" t="s">
        <v>306</v>
      </c>
      <c r="B279" s="3265" t="s">
        <v>2883</v>
      </c>
      <c r="C279" s="3266">
        <v>0.15</v>
      </c>
      <c r="D279" s="3266">
        <v>0.15</v>
      </c>
      <c r="E279" s="3266">
        <v>0.15</v>
      </c>
      <c r="F279" s="3266">
        <v>0.15</v>
      </c>
      <c r="G279" s="3267">
        <v>0.15</v>
      </c>
    </row>
    <row r="280" spans="1:7">
      <c r="A280" s="3276" t="s">
        <v>306</v>
      </c>
      <c r="B280" s="3265" t="s">
        <v>2887</v>
      </c>
      <c r="C280" s="3266">
        <v>0.15</v>
      </c>
      <c r="D280" s="3266">
        <v>0.15</v>
      </c>
      <c r="E280" s="3266">
        <v>0.15</v>
      </c>
      <c r="F280" s="3266">
        <v>0.15</v>
      </c>
      <c r="G280" s="3267">
        <v>0.15</v>
      </c>
    </row>
    <row r="281" spans="1:7">
      <c r="A281" s="3276" t="s">
        <v>306</v>
      </c>
      <c r="B281" s="3265" t="s">
        <v>2891</v>
      </c>
      <c r="C281" s="3266">
        <v>0.15</v>
      </c>
      <c r="D281" s="3266">
        <v>0.15</v>
      </c>
      <c r="E281" s="3266">
        <v>0.15</v>
      </c>
      <c r="F281" s="3266">
        <v>0.15</v>
      </c>
      <c r="G281" s="3267">
        <v>0.15</v>
      </c>
    </row>
    <row r="282" spans="1:7">
      <c r="A282" s="3276" t="s">
        <v>306</v>
      </c>
      <c r="B282" s="3265" t="s">
        <v>2895</v>
      </c>
      <c r="C282" s="3266">
        <v>0.15</v>
      </c>
      <c r="D282" s="3266">
        <v>0.15</v>
      </c>
      <c r="E282" s="3266">
        <v>0.15</v>
      </c>
      <c r="F282" s="3266">
        <v>0.14499999999999999</v>
      </c>
      <c r="G282" s="3267">
        <v>0.15</v>
      </c>
    </row>
    <row r="283" spans="1:7">
      <c r="A283" s="3276" t="s">
        <v>306</v>
      </c>
      <c r="B283" s="3265" t="s">
        <v>174</v>
      </c>
      <c r="C283" s="3266">
        <v>0.15</v>
      </c>
      <c r="D283" s="3266">
        <v>0.15</v>
      </c>
      <c r="E283" s="3266">
        <v>0.15</v>
      </c>
      <c r="F283" s="3266">
        <v>0.14199999999999999</v>
      </c>
      <c r="G283" s="3267">
        <v>0.15</v>
      </c>
    </row>
    <row r="284" spans="1:7">
      <c r="A284" s="3276" t="s">
        <v>306</v>
      </c>
      <c r="B284" s="3265" t="s">
        <v>182</v>
      </c>
      <c r="C284" s="3266">
        <v>0.15</v>
      </c>
      <c r="D284" s="3266">
        <v>0.15</v>
      </c>
      <c r="E284" s="3266">
        <v>0.15</v>
      </c>
      <c r="F284" s="3266">
        <v>0.15</v>
      </c>
      <c r="G284" s="3267">
        <v>0.15</v>
      </c>
    </row>
    <row r="285" spans="1:7">
      <c r="A285" s="3276" t="s">
        <v>306</v>
      </c>
      <c r="B285" s="3265" t="s">
        <v>192</v>
      </c>
      <c r="C285" s="3266">
        <v>0.15</v>
      </c>
      <c r="D285" s="3266">
        <v>0.15</v>
      </c>
      <c r="E285" s="3266">
        <v>0.15</v>
      </c>
      <c r="F285" s="3266">
        <v>0.15</v>
      </c>
      <c r="G285" s="3267">
        <v>0.15</v>
      </c>
    </row>
    <row r="286" spans="1:7">
      <c r="A286" s="3276" t="s">
        <v>306</v>
      </c>
      <c r="B286" s="3265" t="s">
        <v>199</v>
      </c>
      <c r="C286" s="3266">
        <v>0.14499999999999999</v>
      </c>
      <c r="D286" s="3266">
        <v>0.14499999999999999</v>
      </c>
      <c r="E286" s="3266">
        <v>0.15</v>
      </c>
      <c r="F286" s="3266">
        <v>0.14099999999999999</v>
      </c>
      <c r="G286" s="3267">
        <v>0.14499999999999999</v>
      </c>
    </row>
    <row r="287" spans="1:7">
      <c r="A287" s="3276" t="s">
        <v>306</v>
      </c>
      <c r="B287" s="3265" t="s">
        <v>2910</v>
      </c>
      <c r="C287" s="3266">
        <v>0.11</v>
      </c>
      <c r="D287" s="3266">
        <v>0.111</v>
      </c>
      <c r="E287" s="3266">
        <v>0.14099999999999999</v>
      </c>
      <c r="F287" s="3266">
        <v>0.11</v>
      </c>
      <c r="G287" s="3267">
        <v>0.12</v>
      </c>
    </row>
    <row r="288" spans="1:7">
      <c r="A288" s="3276" t="s">
        <v>306</v>
      </c>
      <c r="B288" s="3265" t="s">
        <v>219</v>
      </c>
      <c r="C288" s="3266">
        <v>0.14199999999999999</v>
      </c>
      <c r="D288" s="3266">
        <v>0.14299999999999999</v>
      </c>
      <c r="E288" s="3266">
        <v>0.15</v>
      </c>
      <c r="F288" s="3266">
        <v>0.14199999999999999</v>
      </c>
      <c r="G288" s="3267">
        <v>0.14399999999999999</v>
      </c>
    </row>
    <row r="289" spans="1:7">
      <c r="A289" s="3276" t="s">
        <v>306</v>
      </c>
      <c r="B289" s="3265" t="s">
        <v>2915</v>
      </c>
      <c r="C289" s="3266">
        <v>0.14299999999999999</v>
      </c>
      <c r="D289" s="3266">
        <v>0.14299999999999999</v>
      </c>
      <c r="E289" s="3266">
        <v>0.14799999999999999</v>
      </c>
      <c r="F289" s="3266">
        <v>0.14399999999999999</v>
      </c>
      <c r="G289" s="3267">
        <v>0.14399999999999999</v>
      </c>
    </row>
    <row r="290" spans="1:7">
      <c r="A290" s="3276" t="s">
        <v>306</v>
      </c>
      <c r="B290" s="3265" t="s">
        <v>242</v>
      </c>
      <c r="C290" s="3266">
        <v>0.14799999999999999</v>
      </c>
      <c r="D290" s="3266">
        <v>0.14899999999999999</v>
      </c>
      <c r="E290" s="3266">
        <v>0.15</v>
      </c>
      <c r="F290" s="3266">
        <v>0.127</v>
      </c>
      <c r="G290" s="3267">
        <v>0.15</v>
      </c>
    </row>
    <row r="291" spans="1:7">
      <c r="A291" s="3276" t="s">
        <v>306</v>
      </c>
      <c r="B291" s="3265" t="s">
        <v>250</v>
      </c>
      <c r="C291" s="3266">
        <v>0.15</v>
      </c>
      <c r="D291" s="3266">
        <v>0.15</v>
      </c>
      <c r="E291" s="3266">
        <v>0.15</v>
      </c>
      <c r="F291" s="3266">
        <v>0.14899999999999999</v>
      </c>
      <c r="G291" s="3267">
        <v>0.15</v>
      </c>
    </row>
    <row r="292" spans="1:7">
      <c r="A292" s="3276" t="s">
        <v>306</v>
      </c>
      <c r="B292" s="3265" t="s">
        <v>256</v>
      </c>
      <c r="C292" s="3266">
        <v>0.15</v>
      </c>
      <c r="D292" s="3266">
        <v>0.15</v>
      </c>
      <c r="E292" s="3266">
        <v>0.15</v>
      </c>
      <c r="F292" s="3266">
        <v>0.14399999999999999</v>
      </c>
      <c r="G292" s="3267">
        <v>0.15</v>
      </c>
    </row>
    <row r="293" spans="1:7">
      <c r="A293" s="3276" t="s">
        <v>306</v>
      </c>
      <c r="B293" s="3265" t="s">
        <v>2925</v>
      </c>
      <c r="C293" s="3266">
        <v>0.15</v>
      </c>
      <c r="D293" s="3266">
        <v>0.15</v>
      </c>
      <c r="E293" s="3266">
        <v>0.15</v>
      </c>
      <c r="F293" s="3266">
        <v>0.14499999999999999</v>
      </c>
      <c r="G293" s="3267">
        <v>0.15</v>
      </c>
    </row>
    <row r="294" spans="1:7">
      <c r="A294" s="3276" t="s">
        <v>306</v>
      </c>
      <c r="B294" s="3265" t="s">
        <v>2927</v>
      </c>
      <c r="C294" s="3266">
        <v>0.15</v>
      </c>
      <c r="D294" s="3266">
        <v>0.15</v>
      </c>
      <c r="E294" s="3266">
        <v>0.15</v>
      </c>
      <c r="F294" s="3266">
        <v>0.14899999999999999</v>
      </c>
      <c r="G294" s="3267">
        <v>0.15</v>
      </c>
    </row>
    <row r="295" spans="1:7">
      <c r="A295" s="3276" t="s">
        <v>306</v>
      </c>
      <c r="B295" s="3265" t="s">
        <v>290</v>
      </c>
      <c r="C295" s="3266">
        <v>0.15</v>
      </c>
      <c r="D295" s="3266">
        <v>0.15</v>
      </c>
      <c r="E295" s="3266">
        <v>0.15</v>
      </c>
      <c r="F295" s="3266">
        <v>0.14799999999999999</v>
      </c>
      <c r="G295" s="3267">
        <v>0.15</v>
      </c>
    </row>
    <row r="296" spans="1:7">
      <c r="A296" s="3276" t="s">
        <v>306</v>
      </c>
      <c r="B296" s="3265" t="s">
        <v>293</v>
      </c>
      <c r="C296" s="3266">
        <v>0.15</v>
      </c>
      <c r="D296" s="3266">
        <v>0.15</v>
      </c>
      <c r="E296" s="3266">
        <v>0.15</v>
      </c>
      <c r="F296" s="3266">
        <v>0.14399999999999999</v>
      </c>
      <c r="G296" s="3267">
        <v>0.15</v>
      </c>
    </row>
    <row r="297" spans="1:7">
      <c r="A297" s="3276" t="s">
        <v>306</v>
      </c>
      <c r="B297" s="3265" t="s">
        <v>295</v>
      </c>
      <c r="C297" s="3266">
        <v>0.15</v>
      </c>
      <c r="D297" s="3266">
        <v>0.15</v>
      </c>
      <c r="E297" s="3266">
        <v>0.15</v>
      </c>
      <c r="F297" s="3266">
        <v>0.14499999999999999</v>
      </c>
      <c r="G297" s="3267">
        <v>0.15</v>
      </c>
    </row>
    <row r="298" spans="1:7">
      <c r="A298" s="3276" t="s">
        <v>306</v>
      </c>
      <c r="B298" s="3265" t="s">
        <v>298</v>
      </c>
      <c r="C298" s="3266">
        <v>0.15</v>
      </c>
      <c r="D298" s="3266">
        <v>0.15</v>
      </c>
      <c r="E298" s="3266">
        <v>0.15</v>
      </c>
      <c r="F298" s="3266">
        <v>0.15</v>
      </c>
      <c r="G298" s="3267">
        <v>0.15</v>
      </c>
    </row>
    <row r="299" spans="1:7">
      <c r="A299" s="3276" t="s">
        <v>306</v>
      </c>
      <c r="B299" s="3285" t="s">
        <v>2944</v>
      </c>
      <c r="C299" s="3266">
        <v>0.15</v>
      </c>
      <c r="D299" s="3266">
        <v>0.15</v>
      </c>
      <c r="E299" s="3266">
        <v>0.15</v>
      </c>
      <c r="F299" s="3266">
        <v>0.14499999999999999</v>
      </c>
      <c r="G299" s="3267">
        <v>0.15</v>
      </c>
    </row>
    <row r="300" spans="1:7">
      <c r="A300" s="3276" t="s">
        <v>306</v>
      </c>
      <c r="B300" s="3285" t="s">
        <v>271</v>
      </c>
      <c r="C300" s="3266">
        <v>0.15</v>
      </c>
      <c r="D300" s="3266">
        <v>0.15</v>
      </c>
      <c r="E300" s="3266">
        <v>0.15</v>
      </c>
      <c r="F300" s="3266">
        <v>0.14599999999999999</v>
      </c>
      <c r="G300" s="3267">
        <v>0.15</v>
      </c>
    </row>
    <row r="301" spans="1:7">
      <c r="A301" s="3276" t="s">
        <v>306</v>
      </c>
      <c r="B301" s="3285" t="s">
        <v>276</v>
      </c>
      <c r="C301" s="3266">
        <v>0.126</v>
      </c>
      <c r="D301" s="3266">
        <v>0.124</v>
      </c>
      <c r="E301" s="3266">
        <v>0.14099999999999999</v>
      </c>
      <c r="F301" s="3266">
        <v>0.14399999999999999</v>
      </c>
      <c r="G301" s="3267">
        <v>0.13</v>
      </c>
    </row>
    <row r="302" spans="1:7">
      <c r="A302" s="3276" t="s">
        <v>306</v>
      </c>
      <c r="B302" s="3265" t="s">
        <v>2957</v>
      </c>
      <c r="C302" s="3266">
        <v>0.15</v>
      </c>
      <c r="D302" s="3266">
        <v>0.15</v>
      </c>
      <c r="E302" s="3266">
        <v>0.15</v>
      </c>
      <c r="F302" s="3266">
        <v>0.14699999999999999</v>
      </c>
      <c r="G302" s="3267">
        <v>0.15</v>
      </c>
    </row>
    <row r="303" spans="1:7">
      <c r="A303" s="3276" t="s">
        <v>306</v>
      </c>
      <c r="B303" s="3265" t="s">
        <v>2964</v>
      </c>
      <c r="C303" s="3266">
        <v>0.15</v>
      </c>
      <c r="D303" s="3266">
        <v>0.15</v>
      </c>
      <c r="E303" s="3266">
        <v>0.15</v>
      </c>
      <c r="F303" s="3266">
        <v>0.14199999999999999</v>
      </c>
      <c r="G303" s="3267">
        <v>0.15</v>
      </c>
    </row>
    <row r="304" spans="1:7">
      <c r="A304" s="3276" t="s">
        <v>306</v>
      </c>
      <c r="B304" s="3265" t="s">
        <v>2971</v>
      </c>
      <c r="C304" s="3266">
        <v>0.15</v>
      </c>
      <c r="D304" s="3266">
        <v>0.15</v>
      </c>
      <c r="E304" s="3266">
        <v>0.15</v>
      </c>
      <c r="F304" s="3266">
        <v>0.14499999999999999</v>
      </c>
      <c r="G304" s="3267">
        <v>0.15</v>
      </c>
    </row>
    <row r="305" spans="1:7">
      <c r="A305" s="3276" t="s">
        <v>306</v>
      </c>
      <c r="B305" s="3265" t="s">
        <v>2977</v>
      </c>
      <c r="C305" s="3266">
        <v>0.15</v>
      </c>
      <c r="D305" s="3266">
        <v>0.15</v>
      </c>
      <c r="E305" s="3266">
        <v>0.15</v>
      </c>
      <c r="F305" s="3266">
        <v>0.111</v>
      </c>
      <c r="G305" s="3267">
        <v>0.15</v>
      </c>
    </row>
    <row r="306" spans="1:7">
      <c r="A306" s="3276" t="s">
        <v>306</v>
      </c>
      <c r="B306" s="3265" t="s">
        <v>2984</v>
      </c>
      <c r="C306" s="3266">
        <v>0.15</v>
      </c>
      <c r="D306" s="3266">
        <v>0.15</v>
      </c>
      <c r="E306" s="3266">
        <v>0.15</v>
      </c>
      <c r="F306" s="3266">
        <v>0.126</v>
      </c>
      <c r="G306" s="3267">
        <v>0.15</v>
      </c>
    </row>
    <row r="307" spans="1:7">
      <c r="A307" s="3276" t="s">
        <v>306</v>
      </c>
      <c r="B307" s="3265" t="s">
        <v>2989</v>
      </c>
      <c r="C307" s="3266">
        <v>0.15</v>
      </c>
      <c r="D307" s="3266">
        <v>0.15</v>
      </c>
      <c r="E307" s="3266">
        <v>0.15</v>
      </c>
      <c r="F307" s="3266">
        <v>0.12</v>
      </c>
      <c r="G307" s="3267">
        <v>0.15</v>
      </c>
    </row>
    <row r="308" spans="1:7">
      <c r="A308" s="3276" t="s">
        <v>306</v>
      </c>
      <c r="B308" s="3265" t="s">
        <v>2995</v>
      </c>
      <c r="C308" s="3266">
        <v>0.15</v>
      </c>
      <c r="D308" s="3266">
        <v>0.15</v>
      </c>
      <c r="E308" s="3266">
        <v>0.15</v>
      </c>
      <c r="F308" s="3266">
        <v>0.13</v>
      </c>
      <c r="G308" s="3267">
        <v>0.15</v>
      </c>
    </row>
    <row r="309" spans="1:7">
      <c r="A309" s="3276" t="s">
        <v>306</v>
      </c>
      <c r="B309" s="3265" t="s">
        <v>2999</v>
      </c>
      <c r="C309" s="3266">
        <v>0.15</v>
      </c>
      <c r="D309" s="3266">
        <v>0.15</v>
      </c>
      <c r="E309" s="3266">
        <v>0.15</v>
      </c>
      <c r="F309" s="3266">
        <v>0.14099999999999999</v>
      </c>
      <c r="G309" s="3267">
        <v>0.15</v>
      </c>
    </row>
    <row r="310" spans="1:7">
      <c r="A310" s="3276" t="s">
        <v>306</v>
      </c>
      <c r="B310" s="3265" t="s">
        <v>3004</v>
      </c>
      <c r="C310" s="3266">
        <v>0.15</v>
      </c>
      <c r="D310" s="3266">
        <v>0.15</v>
      </c>
      <c r="E310" s="3266">
        <v>0.15</v>
      </c>
      <c r="F310" s="3266">
        <v>0.15</v>
      </c>
      <c r="G310" s="3267">
        <v>0.15</v>
      </c>
    </row>
    <row r="311" spans="1:7">
      <c r="A311" s="3276" t="s">
        <v>306</v>
      </c>
      <c r="B311" s="3265" t="s">
        <v>3009</v>
      </c>
      <c r="C311" s="3266">
        <v>0.13200000000000001</v>
      </c>
      <c r="D311" s="3266">
        <v>0.13300000000000001</v>
      </c>
      <c r="E311" s="3266">
        <v>0.14499999999999999</v>
      </c>
      <c r="F311" s="3266">
        <v>0.14199999999999999</v>
      </c>
      <c r="G311" s="3267">
        <v>0.14000000000000001</v>
      </c>
    </row>
    <row r="312" spans="1:7">
      <c r="A312" s="3276" t="s">
        <v>306</v>
      </c>
      <c r="B312" s="3265" t="s">
        <v>3014</v>
      </c>
      <c r="C312" s="3266">
        <v>0.13800000000000001</v>
      </c>
      <c r="D312" s="3266">
        <v>0.14000000000000001</v>
      </c>
      <c r="E312" s="3266">
        <v>0.14599999999999999</v>
      </c>
      <c r="F312" s="3266">
        <v>0.14899999999999999</v>
      </c>
      <c r="G312" s="3267">
        <v>0.14199999999999999</v>
      </c>
    </row>
    <row r="313" spans="1:7">
      <c r="A313" s="3276" t="s">
        <v>306</v>
      </c>
      <c r="B313" s="3265" t="s">
        <v>3019</v>
      </c>
      <c r="C313" s="3266">
        <v>0.125</v>
      </c>
      <c r="D313" s="3266">
        <v>0.127</v>
      </c>
      <c r="E313" s="3266">
        <v>0.14399999999999999</v>
      </c>
      <c r="F313" s="3266">
        <v>0.115</v>
      </c>
      <c r="G313" s="3267">
        <v>0.13600000000000001</v>
      </c>
    </row>
    <row r="314" spans="1:7">
      <c r="A314" s="3276" t="s">
        <v>306</v>
      </c>
      <c r="B314" s="3265" t="s">
        <v>3228</v>
      </c>
      <c r="C314" s="3282"/>
      <c r="D314" s="3282"/>
      <c r="E314" s="3282"/>
      <c r="F314" s="3266">
        <v>0.05</v>
      </c>
      <c r="G314" s="3283"/>
    </row>
    <row r="315" spans="1:7">
      <c r="A315" s="3276" t="s">
        <v>306</v>
      </c>
      <c r="B315" s="3265" t="s">
        <v>3229</v>
      </c>
      <c r="C315" s="3282"/>
      <c r="D315" s="3282"/>
      <c r="E315" s="3282"/>
      <c r="F315" s="3266">
        <v>0.05</v>
      </c>
      <c r="G315" s="3283"/>
    </row>
    <row r="316" spans="1:7">
      <c r="A316" s="3276" t="s">
        <v>306</v>
      </c>
      <c r="B316" s="3265" t="s">
        <v>3230</v>
      </c>
      <c r="C316" s="3277"/>
      <c r="D316" s="3277"/>
      <c r="E316" s="3277"/>
      <c r="F316" s="3266">
        <v>0.05</v>
      </c>
      <c r="G316" s="3283"/>
    </row>
    <row r="317" spans="1:7">
      <c r="A317" s="3276" t="s">
        <v>306</v>
      </c>
      <c r="B317" s="3265" t="s">
        <v>3231</v>
      </c>
      <c r="C317" s="3277"/>
      <c r="D317" s="3277"/>
      <c r="E317" s="3277"/>
      <c r="F317" s="3266">
        <v>0.05</v>
      </c>
      <c r="G317" s="3283"/>
    </row>
    <row r="318" spans="1:7">
      <c r="A318" s="3276" t="s">
        <v>306</v>
      </c>
      <c r="B318" s="3265" t="s">
        <v>3232</v>
      </c>
      <c r="C318" s="3277"/>
      <c r="D318" s="3277"/>
      <c r="E318" s="3277"/>
      <c r="F318" s="3266">
        <v>0.05</v>
      </c>
      <c r="G318" s="3283"/>
    </row>
    <row r="319" spans="1:7">
      <c r="A319" s="3276" t="s">
        <v>306</v>
      </c>
      <c r="B319" s="3265" t="s">
        <v>3233</v>
      </c>
      <c r="C319" s="3277"/>
      <c r="D319" s="3277"/>
      <c r="E319" s="3277"/>
      <c r="F319" s="3266">
        <v>0.05</v>
      </c>
      <c r="G319" s="3283"/>
    </row>
    <row r="320" spans="1:7">
      <c r="A320" s="3276" t="s">
        <v>306</v>
      </c>
      <c r="B320" s="3265" t="s">
        <v>3234</v>
      </c>
      <c r="C320" s="3277"/>
      <c r="D320" s="3277"/>
      <c r="E320" s="3277"/>
      <c r="F320" s="3266">
        <v>0.05</v>
      </c>
      <c r="G320" s="3283"/>
    </row>
    <row r="321" spans="1:7">
      <c r="A321" s="3276" t="s">
        <v>306</v>
      </c>
      <c r="B321" s="3265" t="s">
        <v>3235</v>
      </c>
      <c r="C321" s="3277"/>
      <c r="D321" s="3277"/>
      <c r="E321" s="3277"/>
      <c r="F321" s="3266">
        <v>0.05</v>
      </c>
      <c r="G321" s="3283"/>
    </row>
    <row r="322" spans="1:7">
      <c r="A322" s="3276" t="s">
        <v>306</v>
      </c>
      <c r="B322" s="3265" t="s">
        <v>3236</v>
      </c>
      <c r="C322" s="3277"/>
      <c r="D322" s="3277"/>
      <c r="E322" s="3277"/>
      <c r="F322" s="3266">
        <v>0.05</v>
      </c>
      <c r="G322" s="3283"/>
    </row>
    <row r="323" spans="1:7">
      <c r="A323" s="3276" t="s">
        <v>306</v>
      </c>
      <c r="B323" s="3265" t="s">
        <v>3237</v>
      </c>
      <c r="C323" s="3277"/>
      <c r="D323" s="3277"/>
      <c r="E323" s="3277"/>
      <c r="F323" s="3266">
        <v>0.05</v>
      </c>
      <c r="G323" s="3283"/>
    </row>
    <row r="324" spans="1:7">
      <c r="A324" s="3276" t="s">
        <v>306</v>
      </c>
      <c r="B324" s="3265" t="s">
        <v>3238</v>
      </c>
      <c r="C324" s="3277"/>
      <c r="D324" s="3277"/>
      <c r="E324" s="3277"/>
      <c r="F324" s="3266">
        <v>0.05</v>
      </c>
      <c r="G324" s="3283"/>
    </row>
    <row r="325" spans="1:7">
      <c r="A325" s="3276" t="s">
        <v>306</v>
      </c>
      <c r="B325" s="3265" t="s">
        <v>3239</v>
      </c>
      <c r="C325" s="3277"/>
      <c r="D325" s="3277"/>
      <c r="E325" s="3277"/>
      <c r="F325" s="3266">
        <v>0.05</v>
      </c>
      <c r="G325" s="3283"/>
    </row>
    <row r="326" spans="1:7" ht="14.25" thickBot="1">
      <c r="A326" s="3279" t="s">
        <v>306</v>
      </c>
      <c r="B326" s="3269" t="s">
        <v>3240</v>
      </c>
      <c r="C326" s="3271"/>
      <c r="D326" s="3271"/>
      <c r="E326" s="3271"/>
      <c r="F326" s="3270">
        <v>0.05</v>
      </c>
      <c r="G326" s="3284"/>
    </row>
    <row r="327" spans="1:7">
      <c r="A327" s="3275" t="s">
        <v>307</v>
      </c>
      <c r="B327" s="3261" t="s">
        <v>2872</v>
      </c>
      <c r="C327" s="3262">
        <v>0.15</v>
      </c>
      <c r="D327" s="3262">
        <v>0.15</v>
      </c>
      <c r="E327" s="3262">
        <v>0.15</v>
      </c>
      <c r="F327" s="3262">
        <v>0.15</v>
      </c>
      <c r="G327" s="3263">
        <v>0.15</v>
      </c>
    </row>
    <row r="328" spans="1:7">
      <c r="A328" s="3276" t="s">
        <v>307</v>
      </c>
      <c r="B328" s="3265" t="s">
        <v>136</v>
      </c>
      <c r="C328" s="3266">
        <v>0.15</v>
      </c>
      <c r="D328" s="3266">
        <v>0.15</v>
      </c>
      <c r="E328" s="3266">
        <v>0.15</v>
      </c>
      <c r="F328" s="3266">
        <v>0.126</v>
      </c>
      <c r="G328" s="3267">
        <v>0.15</v>
      </c>
    </row>
    <row r="329" spans="1:7">
      <c r="A329" s="3276" t="s">
        <v>307</v>
      </c>
      <c r="B329" s="3265" t="s">
        <v>2884</v>
      </c>
      <c r="C329" s="3266">
        <v>0.15</v>
      </c>
      <c r="D329" s="3266">
        <v>0.15</v>
      </c>
      <c r="E329" s="3266">
        <v>0.15</v>
      </c>
      <c r="F329" s="3266">
        <v>0.15</v>
      </c>
      <c r="G329" s="3267">
        <v>0.15</v>
      </c>
    </row>
    <row r="330" spans="1:7">
      <c r="A330" s="3276" t="s">
        <v>307</v>
      </c>
      <c r="B330" s="3265" t="s">
        <v>2888</v>
      </c>
      <c r="C330" s="3266">
        <v>0.15</v>
      </c>
      <c r="D330" s="3266">
        <v>0.15</v>
      </c>
      <c r="E330" s="3266">
        <v>0.15</v>
      </c>
      <c r="F330" s="3266">
        <v>0.15</v>
      </c>
      <c r="G330" s="3267">
        <v>0.15</v>
      </c>
    </row>
    <row r="331" spans="1:7">
      <c r="A331" s="3276" t="s">
        <v>307</v>
      </c>
      <c r="B331" s="3265" t="s">
        <v>161</v>
      </c>
      <c r="C331" s="3266">
        <v>0.15</v>
      </c>
      <c r="D331" s="3266">
        <v>0.15</v>
      </c>
      <c r="E331" s="3266">
        <v>0.15</v>
      </c>
      <c r="F331" s="3266">
        <v>0.15</v>
      </c>
      <c r="G331" s="3267">
        <v>0.15</v>
      </c>
    </row>
    <row r="332" spans="1:7">
      <c r="A332" s="3276" t="s">
        <v>307</v>
      </c>
      <c r="B332" s="3265" t="s">
        <v>2896</v>
      </c>
      <c r="C332" s="3266">
        <v>0.15</v>
      </c>
      <c r="D332" s="3266">
        <v>0.15</v>
      </c>
      <c r="E332" s="3266">
        <v>0.15</v>
      </c>
      <c r="F332" s="3266">
        <v>0.15</v>
      </c>
      <c r="G332" s="3267">
        <v>0.15</v>
      </c>
    </row>
    <row r="333" spans="1:7">
      <c r="A333" s="3276" t="s">
        <v>307</v>
      </c>
      <c r="B333" s="3265" t="s">
        <v>2900</v>
      </c>
      <c r="C333" s="3266">
        <v>0.14899999999999999</v>
      </c>
      <c r="D333" s="3266">
        <v>0.14899999999999999</v>
      </c>
      <c r="E333" s="3266">
        <v>0.15</v>
      </c>
      <c r="F333" s="3266">
        <v>0.11600000000000001</v>
      </c>
      <c r="G333" s="3267">
        <v>0.15</v>
      </c>
    </row>
    <row r="334" spans="1:7">
      <c r="A334" s="3276" t="s">
        <v>307</v>
      </c>
      <c r="B334" s="3265" t="s">
        <v>183</v>
      </c>
      <c r="C334" s="3266">
        <v>0.15</v>
      </c>
      <c r="D334" s="3266">
        <v>0.15</v>
      </c>
      <c r="E334" s="3266">
        <v>0.15</v>
      </c>
      <c r="F334" s="3266">
        <v>0.13</v>
      </c>
      <c r="G334" s="3267">
        <v>0.15</v>
      </c>
    </row>
    <row r="335" spans="1:7">
      <c r="A335" s="3276" t="s">
        <v>307</v>
      </c>
      <c r="B335" s="3265" t="s">
        <v>193</v>
      </c>
      <c r="C335" s="3266">
        <v>0.15</v>
      </c>
      <c r="D335" s="3266">
        <v>0.15</v>
      </c>
      <c r="E335" s="3266">
        <v>0.15</v>
      </c>
      <c r="F335" s="3266">
        <v>0.14399999999999999</v>
      </c>
      <c r="G335" s="3267">
        <v>0.15</v>
      </c>
    </row>
    <row r="336" spans="1:7">
      <c r="A336" s="3276" t="s">
        <v>307</v>
      </c>
      <c r="B336" s="3265" t="s">
        <v>2906</v>
      </c>
      <c r="C336" s="3266">
        <v>0.15</v>
      </c>
      <c r="D336" s="3266">
        <v>0.15</v>
      </c>
      <c r="E336" s="3266">
        <v>0.15</v>
      </c>
      <c r="F336" s="3266">
        <v>0.14199999999999999</v>
      </c>
      <c r="G336" s="3267">
        <v>0.15</v>
      </c>
    </row>
    <row r="337" spans="1:7">
      <c r="A337" s="3276" t="s">
        <v>307</v>
      </c>
      <c r="B337" s="3265" t="s">
        <v>2911</v>
      </c>
      <c r="C337" s="3266">
        <v>0.15</v>
      </c>
      <c r="D337" s="3266">
        <v>0.15</v>
      </c>
      <c r="E337" s="3266">
        <v>0.15</v>
      </c>
      <c r="F337" s="3266">
        <v>0.14499999999999999</v>
      </c>
      <c r="G337" s="3267">
        <v>0.15</v>
      </c>
    </row>
    <row r="338" spans="1:7">
      <c r="A338" s="3276" t="s">
        <v>307</v>
      </c>
      <c r="B338" s="3265" t="s">
        <v>220</v>
      </c>
      <c r="C338" s="3266">
        <v>0.15</v>
      </c>
      <c r="D338" s="3266">
        <v>0.15</v>
      </c>
      <c r="E338" s="3266">
        <v>0.15</v>
      </c>
      <c r="F338" s="3266">
        <v>0.15</v>
      </c>
      <c r="G338" s="3267">
        <v>0.15</v>
      </c>
    </row>
    <row r="339" spans="1:7">
      <c r="A339" s="3276" t="s">
        <v>307</v>
      </c>
      <c r="B339" s="3265" t="s">
        <v>228</v>
      </c>
      <c r="C339" s="3266">
        <v>0.15</v>
      </c>
      <c r="D339" s="3266">
        <v>0.15</v>
      </c>
      <c r="E339" s="3266">
        <v>0.15</v>
      </c>
      <c r="F339" s="3266">
        <v>0.14699999999999999</v>
      </c>
      <c r="G339" s="3267">
        <v>0.15</v>
      </c>
    </row>
    <row r="340" spans="1:7">
      <c r="A340" s="3276" t="s">
        <v>307</v>
      </c>
      <c r="B340" s="3265" t="s">
        <v>2918</v>
      </c>
      <c r="C340" s="3266">
        <v>0.14599999999999999</v>
      </c>
      <c r="D340" s="3266">
        <v>0.14599999999999999</v>
      </c>
      <c r="E340" s="3266">
        <v>0.15</v>
      </c>
      <c r="F340" s="3266">
        <v>0.14099999999999999</v>
      </c>
      <c r="G340" s="3267">
        <v>0.14699999999999999</v>
      </c>
    </row>
    <row r="341" spans="1:7">
      <c r="A341" s="3276" t="s">
        <v>307</v>
      </c>
      <c r="B341" s="3265" t="s">
        <v>207</v>
      </c>
      <c r="C341" s="3266">
        <v>0.126</v>
      </c>
      <c r="D341" s="3266">
        <v>0.124</v>
      </c>
      <c r="E341" s="3266">
        <v>0.14099999999999999</v>
      </c>
      <c r="F341" s="3266">
        <v>0.14399999999999999</v>
      </c>
      <c r="G341" s="3267">
        <v>0.13</v>
      </c>
    </row>
    <row r="342" spans="1:7">
      <c r="A342" s="3276" t="s">
        <v>307</v>
      </c>
      <c r="B342" s="3265" t="s">
        <v>2923</v>
      </c>
      <c r="C342" s="3266">
        <v>0.15</v>
      </c>
      <c r="D342" s="3266">
        <v>0.15</v>
      </c>
      <c r="E342" s="3266">
        <v>0.15</v>
      </c>
      <c r="F342" s="3266">
        <v>0.14399999999999999</v>
      </c>
      <c r="G342" s="3267">
        <v>0.15</v>
      </c>
    </row>
    <row r="343" spans="1:7">
      <c r="A343" s="3276" t="s">
        <v>307</v>
      </c>
      <c r="B343" s="3265" t="s">
        <v>257</v>
      </c>
      <c r="C343" s="3266">
        <v>0.15</v>
      </c>
      <c r="D343" s="3266">
        <v>0.15</v>
      </c>
      <c r="E343" s="3266">
        <v>0.15</v>
      </c>
      <c r="F343" s="3266">
        <v>0.128</v>
      </c>
      <c r="G343" s="3267">
        <v>0.15</v>
      </c>
    </row>
    <row r="344" spans="1:7">
      <c r="A344" s="3276" t="s">
        <v>307</v>
      </c>
      <c r="B344" s="3265" t="s">
        <v>265</v>
      </c>
      <c r="C344" s="3266">
        <v>0.15</v>
      </c>
      <c r="D344" s="3266">
        <v>0.15</v>
      </c>
      <c r="E344" s="3266">
        <v>0.15</v>
      </c>
      <c r="F344" s="3266">
        <v>0.14799999999999999</v>
      </c>
      <c r="G344" s="3267">
        <v>0.15</v>
      </c>
    </row>
    <row r="345" spans="1:7">
      <c r="A345" s="3276" t="s">
        <v>307</v>
      </c>
      <c r="B345" s="3265" t="s">
        <v>2931</v>
      </c>
      <c r="C345" s="3266">
        <v>0.15</v>
      </c>
      <c r="D345" s="3266">
        <v>0.15</v>
      </c>
      <c r="E345" s="3266">
        <v>0.15</v>
      </c>
      <c r="F345" s="3266">
        <v>0.13800000000000001</v>
      </c>
      <c r="G345" s="3267">
        <v>0.15</v>
      </c>
    </row>
    <row r="346" spans="1:7">
      <c r="A346" s="3276" t="s">
        <v>307</v>
      </c>
      <c r="B346" s="3265" t="s">
        <v>2933</v>
      </c>
      <c r="C346" s="3266">
        <v>0.15</v>
      </c>
      <c r="D346" s="3266">
        <v>0.15</v>
      </c>
      <c r="E346" s="3266">
        <v>0.15</v>
      </c>
      <c r="F346" s="3266">
        <v>0.14399999999999999</v>
      </c>
      <c r="G346" s="3267">
        <v>0.15</v>
      </c>
    </row>
    <row r="347" spans="1:7">
      <c r="A347" s="3276" t="s">
        <v>307</v>
      </c>
      <c r="B347" s="3265" t="s">
        <v>243</v>
      </c>
      <c r="C347" s="3266">
        <v>0.15</v>
      </c>
      <c r="D347" s="3266">
        <v>0.15</v>
      </c>
      <c r="E347" s="3266">
        <v>0.15</v>
      </c>
      <c r="F347" s="3266">
        <v>0.14599999999999999</v>
      </c>
      <c r="G347" s="3267">
        <v>0.15</v>
      </c>
    </row>
    <row r="348" spans="1:7">
      <c r="A348" s="3276" t="s">
        <v>307</v>
      </c>
      <c r="B348" s="3265" t="s">
        <v>2940</v>
      </c>
      <c r="C348" s="3266">
        <v>0.15</v>
      </c>
      <c r="D348" s="3266">
        <v>0.15</v>
      </c>
      <c r="E348" s="3266">
        <v>0.15</v>
      </c>
      <c r="F348" s="3266">
        <v>0.14399999999999999</v>
      </c>
      <c r="G348" s="3267">
        <v>0.15</v>
      </c>
    </row>
    <row r="349" spans="1:7">
      <c r="A349" s="3276" t="s">
        <v>307</v>
      </c>
      <c r="B349" s="3265" t="s">
        <v>2945</v>
      </c>
      <c r="C349" s="3266">
        <v>0.15</v>
      </c>
      <c r="D349" s="3266">
        <v>0.15</v>
      </c>
      <c r="E349" s="3266">
        <v>0.15</v>
      </c>
      <c r="F349" s="3266">
        <v>0.15</v>
      </c>
      <c r="G349" s="3267">
        <v>0.15</v>
      </c>
    </row>
    <row r="350" spans="1:7">
      <c r="A350" s="3276" t="s">
        <v>307</v>
      </c>
      <c r="B350" s="3265" t="s">
        <v>2948</v>
      </c>
      <c r="C350" s="3266">
        <v>0.15</v>
      </c>
      <c r="D350" s="3266">
        <v>0.15</v>
      </c>
      <c r="E350" s="3266">
        <v>0.15</v>
      </c>
      <c r="F350" s="3266">
        <v>0.14699999999999999</v>
      </c>
      <c r="G350" s="3267">
        <v>0.15</v>
      </c>
    </row>
    <row r="351" spans="1:7">
      <c r="A351" s="3276" t="s">
        <v>307</v>
      </c>
      <c r="B351" s="3265" t="s">
        <v>2953</v>
      </c>
      <c r="C351" s="3266">
        <v>0.15</v>
      </c>
      <c r="D351" s="3266">
        <v>0.15</v>
      </c>
      <c r="E351" s="3266">
        <v>0.15</v>
      </c>
      <c r="F351" s="3266">
        <v>0.13</v>
      </c>
      <c r="G351" s="3267">
        <v>0.15</v>
      </c>
    </row>
    <row r="352" spans="1:7">
      <c r="A352" s="3276" t="s">
        <v>307</v>
      </c>
      <c r="B352" s="3265" t="s">
        <v>2958</v>
      </c>
      <c r="C352" s="3266">
        <v>0.15</v>
      </c>
      <c r="D352" s="3266">
        <v>0.15</v>
      </c>
      <c r="E352" s="3266">
        <v>0.15</v>
      </c>
      <c r="F352" s="3266">
        <v>0.14599999999999999</v>
      </c>
      <c r="G352" s="3267">
        <v>0.15</v>
      </c>
    </row>
    <row r="353" spans="1:7">
      <c r="A353" s="3276" t="s">
        <v>307</v>
      </c>
      <c r="B353" s="3265" t="s">
        <v>2965</v>
      </c>
      <c r="C353" s="3266">
        <v>0.15</v>
      </c>
      <c r="D353" s="3266">
        <v>0.15</v>
      </c>
      <c r="E353" s="3266">
        <v>0.15</v>
      </c>
      <c r="F353" s="3266">
        <v>0.14499999999999999</v>
      </c>
      <c r="G353" s="3267">
        <v>0.15</v>
      </c>
    </row>
    <row r="354" spans="1:7">
      <c r="A354" s="3276" t="s">
        <v>307</v>
      </c>
      <c r="B354" s="3265" t="s">
        <v>280</v>
      </c>
      <c r="C354" s="3266">
        <v>0.15</v>
      </c>
      <c r="D354" s="3266">
        <v>0.15</v>
      </c>
      <c r="E354" s="3266">
        <v>0.15</v>
      </c>
      <c r="F354" s="3266">
        <v>0.14099999999999999</v>
      </c>
      <c r="G354" s="3267">
        <v>0.15</v>
      </c>
    </row>
    <row r="355" spans="1:7">
      <c r="A355" s="3276" t="s">
        <v>307</v>
      </c>
      <c r="B355" s="3265" t="s">
        <v>2978</v>
      </c>
      <c r="C355" s="3266">
        <v>0.15</v>
      </c>
      <c r="D355" s="3266">
        <v>0.15</v>
      </c>
      <c r="E355" s="3266">
        <v>0.15</v>
      </c>
      <c r="F355" s="3266">
        <v>0.15</v>
      </c>
      <c r="G355" s="3267">
        <v>0.15</v>
      </c>
    </row>
    <row r="356" spans="1:7">
      <c r="A356" s="3276" t="s">
        <v>307</v>
      </c>
      <c r="B356" s="3265" t="s">
        <v>2985</v>
      </c>
      <c r="C356" s="3266">
        <v>0.15</v>
      </c>
      <c r="D356" s="3266">
        <v>0.15</v>
      </c>
      <c r="E356" s="3266">
        <v>0.15</v>
      </c>
      <c r="F356" s="3266">
        <v>0.15</v>
      </c>
      <c r="G356" s="3267">
        <v>0.15</v>
      </c>
    </row>
    <row r="357" spans="1:7" ht="14.25" thickBot="1">
      <c r="A357" s="3279" t="s">
        <v>307</v>
      </c>
      <c r="B357" s="3269" t="s">
        <v>2990</v>
      </c>
      <c r="C357" s="3270">
        <v>0.126</v>
      </c>
      <c r="D357" s="3270">
        <v>0.127</v>
      </c>
      <c r="E357" s="3270">
        <v>0.14299999999999999</v>
      </c>
      <c r="F357" s="3270">
        <v>0.125</v>
      </c>
      <c r="G357" s="3272">
        <v>0.129</v>
      </c>
    </row>
    <row r="358" spans="1:7">
      <c r="A358" s="3275" t="s">
        <v>2859</v>
      </c>
      <c r="B358" s="3261" t="s">
        <v>2873</v>
      </c>
      <c r="C358" s="3262">
        <v>0.15</v>
      </c>
      <c r="D358" s="3262">
        <v>0.15</v>
      </c>
      <c r="E358" s="3262">
        <v>0.15</v>
      </c>
      <c r="F358" s="3262">
        <v>0.15</v>
      </c>
      <c r="G358" s="3263">
        <v>0.15</v>
      </c>
    </row>
    <row r="359" spans="1:7">
      <c r="A359" s="3276" t="s">
        <v>2859</v>
      </c>
      <c r="B359" s="3265" t="s">
        <v>2879</v>
      </c>
      <c r="C359" s="3266">
        <v>0.1</v>
      </c>
      <c r="D359" s="3266">
        <v>0.1</v>
      </c>
      <c r="E359" s="3266">
        <v>0.1</v>
      </c>
      <c r="F359" s="3266">
        <v>0.1</v>
      </c>
      <c r="G359" s="3267">
        <v>0.1</v>
      </c>
    </row>
    <row r="360" spans="1:7">
      <c r="A360" s="3276" t="s">
        <v>2859</v>
      </c>
      <c r="B360" s="3265" t="s">
        <v>2885</v>
      </c>
      <c r="C360" s="3266">
        <v>0.15</v>
      </c>
      <c r="D360" s="3266">
        <v>0.15</v>
      </c>
      <c r="E360" s="3266">
        <v>0.15</v>
      </c>
      <c r="F360" s="3266">
        <v>0.14899999999999999</v>
      </c>
      <c r="G360" s="3267">
        <v>0.15</v>
      </c>
    </row>
    <row r="361" spans="1:7">
      <c r="A361" s="3276" t="s">
        <v>2859</v>
      </c>
      <c r="B361" s="3265" t="s">
        <v>153</v>
      </c>
      <c r="C361" s="3266">
        <v>0.15</v>
      </c>
      <c r="D361" s="3266">
        <v>0.15</v>
      </c>
      <c r="E361" s="3266">
        <v>0.15</v>
      </c>
      <c r="F361" s="3266">
        <v>0.115</v>
      </c>
      <c r="G361" s="3267">
        <v>0.15</v>
      </c>
    </row>
    <row r="362" spans="1:7">
      <c r="A362" s="3276" t="s">
        <v>2859</v>
      </c>
      <c r="B362" s="3265" t="s">
        <v>2892</v>
      </c>
      <c r="C362" s="3266">
        <v>0.15</v>
      </c>
      <c r="D362" s="3266">
        <v>0.15</v>
      </c>
      <c r="E362" s="3266">
        <v>0.15</v>
      </c>
      <c r="F362" s="3266">
        <v>0.106</v>
      </c>
      <c r="G362" s="3267">
        <v>0.15</v>
      </c>
    </row>
    <row r="363" spans="1:7">
      <c r="A363" s="3276" t="s">
        <v>2859</v>
      </c>
      <c r="B363" s="3265" t="s">
        <v>2897</v>
      </c>
      <c r="C363" s="3266">
        <v>0.15</v>
      </c>
      <c r="D363" s="3266">
        <v>0.15</v>
      </c>
      <c r="E363" s="3266">
        <v>0.15</v>
      </c>
      <c r="F363" s="3266">
        <v>0.14699999999999999</v>
      </c>
      <c r="G363" s="3267">
        <v>0.15</v>
      </c>
    </row>
    <row r="364" spans="1:7">
      <c r="A364" s="3276" t="s">
        <v>2859</v>
      </c>
      <c r="B364" s="3265" t="s">
        <v>2901</v>
      </c>
      <c r="C364" s="3266">
        <v>0.15</v>
      </c>
      <c r="D364" s="3266">
        <v>0.15</v>
      </c>
      <c r="E364" s="3266">
        <v>0.15</v>
      </c>
      <c r="F364" s="3266">
        <v>0.14799999999999999</v>
      </c>
      <c r="G364" s="3267">
        <v>0.15</v>
      </c>
    </row>
    <row r="365" spans="1:7">
      <c r="A365" s="3276" t="s">
        <v>2859</v>
      </c>
      <c r="B365" s="3265" t="s">
        <v>200</v>
      </c>
      <c r="C365" s="3266">
        <v>0.15</v>
      </c>
      <c r="D365" s="3266">
        <v>0.15</v>
      </c>
      <c r="E365" s="3266">
        <v>0.15</v>
      </c>
      <c r="F365" s="3266">
        <v>0.15</v>
      </c>
      <c r="G365" s="3267">
        <v>0.15</v>
      </c>
    </row>
    <row r="366" spans="1:7">
      <c r="A366" s="3276" t="s">
        <v>2859</v>
      </c>
      <c r="B366" s="3265" t="s">
        <v>2904</v>
      </c>
      <c r="C366" s="3266">
        <v>0.15</v>
      </c>
      <c r="D366" s="3266">
        <v>0.15</v>
      </c>
      <c r="E366" s="3266">
        <v>0.15</v>
      </c>
      <c r="F366" s="3266">
        <v>0.15</v>
      </c>
      <c r="G366" s="3267">
        <v>0.15</v>
      </c>
    </row>
    <row r="367" spans="1:7">
      <c r="A367" s="3276" t="s">
        <v>2859</v>
      </c>
      <c r="B367" s="3265" t="s">
        <v>2907</v>
      </c>
      <c r="C367" s="3266">
        <v>0.15</v>
      </c>
      <c r="D367" s="3266">
        <v>0.15</v>
      </c>
      <c r="E367" s="3266">
        <v>0.15</v>
      </c>
      <c r="F367" s="3266">
        <v>0.14699999999999999</v>
      </c>
      <c r="G367" s="3267">
        <v>0.15</v>
      </c>
    </row>
    <row r="368" spans="1:7">
      <c r="A368" s="3276" t="s">
        <v>2859</v>
      </c>
      <c r="B368" s="3265" t="s">
        <v>2912</v>
      </c>
      <c r="C368" s="3266">
        <v>0.15</v>
      </c>
      <c r="D368" s="3266">
        <v>0.15</v>
      </c>
      <c r="E368" s="3266">
        <v>0.15</v>
      </c>
      <c r="F368" s="3266">
        <v>0.13600000000000001</v>
      </c>
      <c r="G368" s="3267">
        <v>0.15</v>
      </c>
    </row>
    <row r="369" spans="1:7">
      <c r="A369" s="3276" t="s">
        <v>2859</v>
      </c>
      <c r="B369" s="3265" t="s">
        <v>214</v>
      </c>
      <c r="C369" s="3266">
        <v>0.15</v>
      </c>
      <c r="D369" s="3266">
        <v>0.15</v>
      </c>
      <c r="E369" s="3266">
        <v>0.15</v>
      </c>
      <c r="F369" s="3266">
        <v>0.14399999999999999</v>
      </c>
      <c r="G369" s="3267">
        <v>0.15</v>
      </c>
    </row>
    <row r="370" spans="1:7">
      <c r="A370" s="3276" t="s">
        <v>2859</v>
      </c>
      <c r="B370" s="3265" t="s">
        <v>221</v>
      </c>
      <c r="C370" s="3266">
        <v>0.15</v>
      </c>
      <c r="D370" s="3266">
        <v>0.15</v>
      </c>
      <c r="E370" s="3266">
        <v>0.15</v>
      </c>
      <c r="F370" s="3266">
        <v>0.14599999999999999</v>
      </c>
      <c r="G370" s="3267">
        <v>0.15</v>
      </c>
    </row>
    <row r="371" spans="1:7">
      <c r="A371" s="3276" t="s">
        <v>2859</v>
      </c>
      <c r="B371" s="3265" t="s">
        <v>229</v>
      </c>
      <c r="C371" s="3266">
        <v>0.15</v>
      </c>
      <c r="D371" s="3266">
        <v>0.15</v>
      </c>
      <c r="E371" s="3266">
        <v>0.15</v>
      </c>
      <c r="F371" s="3266">
        <v>0.12</v>
      </c>
      <c r="G371" s="3267">
        <v>0.15</v>
      </c>
    </row>
    <row r="372" spans="1:7">
      <c r="A372" s="3276" t="s">
        <v>2859</v>
      </c>
      <c r="B372" s="3265" t="s">
        <v>2920</v>
      </c>
      <c r="C372" s="3266">
        <v>0.15</v>
      </c>
      <c r="D372" s="3266">
        <v>0.15</v>
      </c>
      <c r="E372" s="3266">
        <v>0.15</v>
      </c>
      <c r="F372" s="3266">
        <v>0.14299999999999999</v>
      </c>
      <c r="G372" s="3267">
        <v>0.15</v>
      </c>
    </row>
    <row r="373" spans="1:7">
      <c r="A373" s="3276" t="s">
        <v>2859</v>
      </c>
      <c r="B373" s="3265" t="s">
        <v>258</v>
      </c>
      <c r="C373" s="3266">
        <v>0.15</v>
      </c>
      <c r="D373" s="3266">
        <v>0.15</v>
      </c>
      <c r="E373" s="3266">
        <v>0.15</v>
      </c>
      <c r="F373" s="3266">
        <v>0.14599999999999999</v>
      </c>
      <c r="G373" s="3267">
        <v>0.15</v>
      </c>
    </row>
    <row r="374" spans="1:7">
      <c r="A374" s="3276" t="s">
        <v>2859</v>
      </c>
      <c r="B374" s="3265" t="s">
        <v>266</v>
      </c>
      <c r="C374" s="3266">
        <v>0.15</v>
      </c>
      <c r="D374" s="3266">
        <v>0.15</v>
      </c>
      <c r="E374" s="3266">
        <v>0.15</v>
      </c>
      <c r="F374" s="3266">
        <v>0.14399999999999999</v>
      </c>
      <c r="G374" s="3267">
        <v>0.15</v>
      </c>
    </row>
    <row r="375" spans="1:7">
      <c r="A375" s="3276" t="s">
        <v>2859</v>
      </c>
      <c r="B375" s="3265" t="s">
        <v>2928</v>
      </c>
      <c r="C375" s="3266">
        <v>0.15</v>
      </c>
      <c r="D375" s="3266">
        <v>0.15</v>
      </c>
      <c r="E375" s="3266">
        <v>0.15</v>
      </c>
      <c r="F375" s="3266">
        <v>0.13</v>
      </c>
      <c r="G375" s="3267">
        <v>0.15</v>
      </c>
    </row>
    <row r="376" spans="1:7">
      <c r="A376" s="3276" t="s">
        <v>2859</v>
      </c>
      <c r="B376" s="3265" t="s">
        <v>277</v>
      </c>
      <c r="C376" s="3266">
        <v>0.15</v>
      </c>
      <c r="D376" s="3266">
        <v>0.15</v>
      </c>
      <c r="E376" s="3266">
        <v>0.15</v>
      </c>
      <c r="F376" s="3266">
        <v>0.14199999999999999</v>
      </c>
      <c r="G376" s="3267">
        <v>0.15</v>
      </c>
    </row>
    <row r="377" spans="1:7" ht="14.25" thickBot="1">
      <c r="A377" s="3279" t="s">
        <v>2859</v>
      </c>
      <c r="B377" s="3269" t="s">
        <v>2934</v>
      </c>
      <c r="C377" s="3270">
        <v>0.15</v>
      </c>
      <c r="D377" s="3270">
        <v>0.15</v>
      </c>
      <c r="E377" s="3270">
        <v>0.15</v>
      </c>
      <c r="F377" s="3270">
        <v>0.14000000000000001</v>
      </c>
      <c r="G377" s="3272">
        <v>0.15</v>
      </c>
    </row>
    <row r="378" spans="1:7">
      <c r="A378" s="3275" t="s">
        <v>2860</v>
      </c>
      <c r="B378" s="3261" t="s">
        <v>2874</v>
      </c>
      <c r="C378" s="3262">
        <v>0.15</v>
      </c>
      <c r="D378" s="3262">
        <v>0.15</v>
      </c>
      <c r="E378" s="3262">
        <v>0.15</v>
      </c>
      <c r="F378" s="3262">
        <v>0.107</v>
      </c>
      <c r="G378" s="3263">
        <v>0.15</v>
      </c>
    </row>
    <row r="379" spans="1:7">
      <c r="A379" s="3276" t="s">
        <v>2860</v>
      </c>
      <c r="B379" s="3265" t="s">
        <v>2880</v>
      </c>
      <c r="C379" s="3266">
        <v>0.15</v>
      </c>
      <c r="D379" s="3266">
        <v>0.15</v>
      </c>
      <c r="E379" s="3266">
        <v>0.15</v>
      </c>
      <c r="F379" s="3266">
        <v>0.115</v>
      </c>
      <c r="G379" s="3267">
        <v>0.14899999999999999</v>
      </c>
    </row>
    <row r="380" spans="1:7">
      <c r="A380" s="3276" t="s">
        <v>2860</v>
      </c>
      <c r="B380" s="3265" t="s">
        <v>2886</v>
      </c>
      <c r="C380" s="3266">
        <v>0.15</v>
      </c>
      <c r="D380" s="3266">
        <v>0.15</v>
      </c>
      <c r="E380" s="3266">
        <v>0.15</v>
      </c>
      <c r="F380" s="3266">
        <v>0.1</v>
      </c>
      <c r="G380" s="3267">
        <v>0.14799999999999999</v>
      </c>
    </row>
    <row r="381" spans="1:7">
      <c r="A381" s="3276" t="s">
        <v>2860</v>
      </c>
      <c r="B381" s="3265" t="s">
        <v>2889</v>
      </c>
      <c r="C381" s="3266">
        <v>0.15</v>
      </c>
      <c r="D381" s="3266">
        <v>0.15</v>
      </c>
      <c r="E381" s="3266">
        <v>0.15</v>
      </c>
      <c r="F381" s="3266">
        <v>0.126</v>
      </c>
      <c r="G381" s="3267">
        <v>0.15</v>
      </c>
    </row>
    <row r="382" spans="1:7">
      <c r="A382" s="3276" t="s">
        <v>2860</v>
      </c>
      <c r="B382" s="3265" t="s">
        <v>2893</v>
      </c>
      <c r="C382" s="3266">
        <v>0.15</v>
      </c>
      <c r="D382" s="3266">
        <v>0.15</v>
      </c>
      <c r="E382" s="3266">
        <v>0.15</v>
      </c>
      <c r="F382" s="3266">
        <v>0.15</v>
      </c>
      <c r="G382" s="3267">
        <v>0.15</v>
      </c>
    </row>
    <row r="383" spans="1:7">
      <c r="A383" s="3276" t="s">
        <v>2860</v>
      </c>
      <c r="B383" s="3265" t="s">
        <v>2898</v>
      </c>
      <c r="C383" s="3266">
        <v>0.15</v>
      </c>
      <c r="D383" s="3266">
        <v>0.15</v>
      </c>
      <c r="E383" s="3266">
        <v>0.15</v>
      </c>
      <c r="F383" s="3266">
        <v>0.14699999999999999</v>
      </c>
      <c r="G383" s="3267">
        <v>0.15</v>
      </c>
    </row>
    <row r="384" spans="1:7" ht="14.25" thickBot="1">
      <c r="A384" s="3286" t="s">
        <v>2860</v>
      </c>
      <c r="B384" s="3287" t="s">
        <v>2902</v>
      </c>
      <c r="C384" s="3288">
        <v>0.15</v>
      </c>
      <c r="D384" s="3288">
        <v>0.15</v>
      </c>
      <c r="E384" s="3288">
        <v>0.15</v>
      </c>
      <c r="F384" s="3288">
        <v>0.15</v>
      </c>
      <c r="G384" s="3289">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1"/>
  </cols>
  <sheetData>
    <row r="1" spans="1:6">
      <c r="A1" s="3802" t="s">
        <v>3241</v>
      </c>
      <c r="B1" s="3802"/>
      <c r="C1" s="3802"/>
      <c r="D1" s="3802"/>
      <c r="E1" s="3802"/>
      <c r="F1" s="3803"/>
    </row>
    <row r="2" spans="1:6">
      <c r="A2" s="3292" t="s">
        <v>3242</v>
      </c>
      <c r="B2" s="3293"/>
      <c r="C2" s="3293"/>
      <c r="D2" s="3293"/>
      <c r="E2" s="3293"/>
      <c r="F2" s="3293"/>
    </row>
    <row r="3" spans="1:6">
      <c r="A3" s="3292" t="s">
        <v>3243</v>
      </c>
      <c r="B3" s="3293"/>
      <c r="C3" s="3293"/>
      <c r="D3" s="3293"/>
      <c r="E3" s="3293"/>
      <c r="F3" s="3294" t="s">
        <v>3244</v>
      </c>
    </row>
    <row r="4" spans="1:6">
      <c r="A4" s="3295" t="s">
        <v>672</v>
      </c>
      <c r="B4" s="3295" t="s">
        <v>673</v>
      </c>
      <c r="C4" s="3295" t="s">
        <v>21</v>
      </c>
      <c r="D4" s="3295" t="s">
        <v>674</v>
      </c>
      <c r="E4" s="3295" t="s">
        <v>3</v>
      </c>
      <c r="F4" s="3295" t="s">
        <v>3245</v>
      </c>
    </row>
    <row r="5" spans="1:6">
      <c r="A5" s="3296" t="s">
        <v>675</v>
      </c>
      <c r="B5" s="3295"/>
      <c r="C5" s="3295"/>
      <c r="D5" s="3295"/>
      <c r="E5" s="3295"/>
      <c r="F5" s="3297"/>
    </row>
    <row r="6" spans="1:6">
      <c r="A6" s="3296" t="s">
        <v>144</v>
      </c>
      <c r="B6" s="3298">
        <v>35380</v>
      </c>
      <c r="C6" s="3298">
        <v>35180</v>
      </c>
      <c r="D6" s="3298">
        <v>35030</v>
      </c>
      <c r="E6" s="3298">
        <v>13780</v>
      </c>
      <c r="F6" s="3298">
        <v>25980</v>
      </c>
    </row>
    <row r="7" spans="1:6">
      <c r="A7" s="3296" t="s">
        <v>184</v>
      </c>
      <c r="B7" s="3298">
        <v>29960</v>
      </c>
      <c r="C7" s="3298">
        <v>29800</v>
      </c>
      <c r="D7" s="3298">
        <v>29690</v>
      </c>
      <c r="E7" s="3298">
        <v>10100</v>
      </c>
      <c r="F7" s="3298">
        <v>21690</v>
      </c>
    </row>
    <row r="8" spans="1:6">
      <c r="A8" s="3296" t="s">
        <v>296</v>
      </c>
      <c r="B8" s="3298">
        <v>24480</v>
      </c>
      <c r="C8" s="3298">
        <v>24380</v>
      </c>
      <c r="D8" s="3298">
        <v>25590</v>
      </c>
      <c r="E8" s="3298">
        <v>7010</v>
      </c>
      <c r="F8" s="3298">
        <v>17060</v>
      </c>
    </row>
    <row r="9" spans="1:6">
      <c r="A9" s="3296" t="s">
        <v>110</v>
      </c>
      <c r="B9" s="3298">
        <v>19370</v>
      </c>
      <c r="C9" s="3298">
        <v>19290</v>
      </c>
      <c r="D9" s="3298">
        <v>21280</v>
      </c>
      <c r="E9" s="3298">
        <v>4910</v>
      </c>
      <c r="F9" s="3298">
        <v>13090</v>
      </c>
    </row>
    <row r="10" spans="1:6">
      <c r="A10" s="3296" t="s">
        <v>303</v>
      </c>
      <c r="B10" s="3298">
        <v>15050</v>
      </c>
      <c r="C10" s="3298">
        <v>14980</v>
      </c>
      <c r="D10" s="3298">
        <v>17300</v>
      </c>
      <c r="E10" s="3298">
        <v>3450</v>
      </c>
      <c r="F10" s="3298">
        <v>9900</v>
      </c>
    </row>
    <row r="11" spans="1:6">
      <c r="A11" s="3296" t="s">
        <v>29</v>
      </c>
      <c r="B11" s="3298">
        <v>11550</v>
      </c>
      <c r="C11" s="3298">
        <v>11490</v>
      </c>
      <c r="D11" s="3298">
        <v>13850</v>
      </c>
      <c r="E11" s="3298">
        <v>2400</v>
      </c>
      <c r="F11" s="3298">
        <v>7390</v>
      </c>
    </row>
    <row r="12" spans="1:6">
      <c r="A12" s="3296" t="s">
        <v>304</v>
      </c>
      <c r="B12" s="3298">
        <v>8630</v>
      </c>
      <c r="C12" s="3298">
        <v>8580</v>
      </c>
      <c r="D12" s="3298">
        <v>10740</v>
      </c>
      <c r="E12" s="3298">
        <v>1720</v>
      </c>
      <c r="F12" s="3298">
        <v>5420</v>
      </c>
    </row>
    <row r="13" spans="1:6">
      <c r="A13" s="3296" t="s">
        <v>305</v>
      </c>
      <c r="B13" s="3298">
        <v>6620</v>
      </c>
      <c r="C13" s="3298">
        <v>6580</v>
      </c>
      <c r="D13" s="3298">
        <v>7830</v>
      </c>
      <c r="E13" s="3298">
        <v>1260</v>
      </c>
      <c r="F13" s="3298">
        <v>4040</v>
      </c>
    </row>
    <row r="14" spans="1:6">
      <c r="A14" s="3296" t="s">
        <v>306</v>
      </c>
      <c r="B14" s="3298">
        <v>4900</v>
      </c>
      <c r="C14" s="3298">
        <v>4860</v>
      </c>
      <c r="D14" s="3298">
        <v>5540</v>
      </c>
      <c r="E14" s="3298">
        <v>950</v>
      </c>
      <c r="F14" s="3298">
        <v>2930</v>
      </c>
    </row>
    <row r="15" spans="1:6">
      <c r="A15" s="3296" t="s">
        <v>307</v>
      </c>
      <c r="B15" s="3298">
        <v>3380</v>
      </c>
      <c r="C15" s="3298">
        <v>3340</v>
      </c>
      <c r="D15" s="3298">
        <v>3630</v>
      </c>
      <c r="E15" s="3298">
        <v>730</v>
      </c>
      <c r="F15" s="3298">
        <v>1990</v>
      </c>
    </row>
    <row r="16" spans="1:6">
      <c r="A16" s="3296" t="s">
        <v>369</v>
      </c>
      <c r="B16" s="3298">
        <v>2230</v>
      </c>
      <c r="C16" s="3298">
        <v>2200</v>
      </c>
      <c r="D16" s="3298">
        <v>2180</v>
      </c>
      <c r="E16" s="3298">
        <v>570</v>
      </c>
      <c r="F16" s="3298">
        <v>1330</v>
      </c>
    </row>
    <row r="17" spans="1:6">
      <c r="A17" s="3296" t="s">
        <v>370</v>
      </c>
      <c r="B17" s="3298">
        <v>1390</v>
      </c>
      <c r="C17" s="3298">
        <v>1360</v>
      </c>
      <c r="D17" s="3298">
        <v>1340</v>
      </c>
      <c r="E17" s="3298">
        <v>450</v>
      </c>
      <c r="F17" s="3298">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1"/>
  <sheetViews>
    <sheetView zoomScale="80" zoomScaleNormal="80" workbookViewId="0">
      <selection activeCell="I22" sqref="I22"/>
    </sheetView>
  </sheetViews>
  <sheetFormatPr defaultRowHeight="13.5"/>
  <cols>
    <col min="1" max="1" width="13.875" customWidth="1"/>
  </cols>
  <sheetData>
    <row r="1" spans="1:30">
      <c r="A1" s="3222">
        <f>基准地价修正!G23</f>
        <v>44937</v>
      </c>
      <c r="B1" s="3211" t="s">
        <v>2847</v>
      </c>
      <c r="C1" s="3212"/>
      <c r="D1" s="3212"/>
      <c r="E1" s="3212"/>
      <c r="F1" s="3212"/>
      <c r="G1" s="3212"/>
      <c r="H1" s="3212"/>
      <c r="I1" s="3212"/>
      <c r="J1" s="3165"/>
      <c r="K1" s="3212" t="s">
        <v>454</v>
      </c>
      <c r="L1" s="3212"/>
      <c r="M1" s="3212"/>
      <c r="N1" s="3212"/>
      <c r="O1" s="3212"/>
      <c r="P1" s="3212"/>
      <c r="Q1" s="3165"/>
      <c r="R1" s="3804" t="s">
        <v>456</v>
      </c>
      <c r="S1" s="3805"/>
      <c r="T1" s="3805"/>
      <c r="U1" s="3805"/>
      <c r="V1" s="3805"/>
      <c r="W1" s="3805"/>
      <c r="X1" s="3165"/>
      <c r="Y1" s="3804" t="s">
        <v>457</v>
      </c>
      <c r="Z1" s="3805"/>
      <c r="AA1" s="3805"/>
      <c r="AB1" s="3805"/>
      <c r="AC1" s="3805"/>
      <c r="AD1" s="3805"/>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ROUND(AVERAGEIF(D4:D13,"&lt;&gt;0"),2)</f>
        <v>0.84</v>
      </c>
      <c r="E3" s="3151">
        <f t="shared" ref="E3:H3" si="0">ROUND(AVERAGEIF(E4:E13,"&lt;&gt;0"),2)</f>
        <v>0.35</v>
      </c>
      <c r="F3" s="3151">
        <f t="shared" si="0"/>
        <v>0.15</v>
      </c>
      <c r="G3" s="3151">
        <f t="shared" si="0"/>
        <v>0.92</v>
      </c>
      <c r="H3" s="3151">
        <f t="shared" si="0"/>
        <v>0.68</v>
      </c>
      <c r="I3" s="3151">
        <f>F3</f>
        <v>0.15</v>
      </c>
      <c r="J3" s="3152"/>
      <c r="K3" s="3153">
        <f>ROUND(AVERAGEIF(K4:K13,"&lt;&gt;0"),4)</f>
        <v>8.3999999999999995E-3</v>
      </c>
      <c r="L3" s="3154">
        <f t="shared" ref="L3:O3" si="1">ROUND(AVERAGEIF(L4:L13,"&lt;&gt;0"),4)</f>
        <v>3.5000000000000001E-3</v>
      </c>
      <c r="M3" s="3154">
        <f t="shared" si="1"/>
        <v>1.5E-3</v>
      </c>
      <c r="N3" s="3154">
        <f t="shared" si="1"/>
        <v>9.1999999999999998E-3</v>
      </c>
      <c r="O3" s="3154">
        <f t="shared" si="1"/>
        <v>6.7999999999999996E-3</v>
      </c>
      <c r="P3" s="3154">
        <f>M3</f>
        <v>1.5E-3</v>
      </c>
      <c r="Q3" s="3152"/>
      <c r="R3" s="3155">
        <f>ROUND(SUMPRODUCT(PRODUCT(1+K4:K13)),4)</f>
        <v>1.0602</v>
      </c>
      <c r="S3" s="3156">
        <f t="shared" ref="S3:V3" si="2">ROUND(SUMPRODUCT(PRODUCT(1+L4:L13)),4)</f>
        <v>1.0246</v>
      </c>
      <c r="T3" s="3156">
        <f t="shared" si="2"/>
        <v>1.0107999999999999</v>
      </c>
      <c r="U3" s="3156">
        <f t="shared" si="2"/>
        <v>1.0662</v>
      </c>
      <c r="V3" s="3156">
        <f t="shared" si="2"/>
        <v>1.0485</v>
      </c>
      <c r="W3" s="3155">
        <f>T3</f>
        <v>1.0107999999999999</v>
      </c>
      <c r="X3" s="3152"/>
      <c r="Y3" s="3157">
        <f>ROUND(AVERAGEIF(Y5:Y13,"&lt;&gt;0"),4)</f>
        <v>8.8000000000000005E-3</v>
      </c>
      <c r="Z3" s="3158">
        <f t="shared" ref="Z3:AC3" si="3">ROUND(AVERAGEIF(Z5:Z13,"&lt;&gt;0"),4)</f>
        <v>3.5999999999999999E-3</v>
      </c>
      <c r="AA3" s="3159">
        <f t="shared" si="3"/>
        <v>8.0000000000000004E-4</v>
      </c>
      <c r="AB3" s="3157">
        <f t="shared" si="3"/>
        <v>9.5999999999999992E-3</v>
      </c>
      <c r="AC3" s="3160">
        <f t="shared" si="3"/>
        <v>6.1000000000000004E-3</v>
      </c>
      <c r="AD3" s="3157">
        <f>AA3</f>
        <v>8.0000000000000004E-4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2823</v>
      </c>
      <c r="B5" s="3177">
        <v>2023</v>
      </c>
      <c r="C5" s="3178">
        <v>1</v>
      </c>
      <c r="D5" s="3179">
        <v>0</v>
      </c>
      <c r="E5" s="3179">
        <v>0</v>
      </c>
      <c r="F5" s="3179">
        <v>0</v>
      </c>
      <c r="G5" s="3179">
        <v>0</v>
      </c>
      <c r="H5" s="3179">
        <v>0</v>
      </c>
      <c r="I5" s="3180">
        <f t="shared" ref="I5:I13" si="4">F5</f>
        <v>0</v>
      </c>
      <c r="J5" s="3181"/>
      <c r="K5" s="3182">
        <f t="shared" ref="K5:O13" si="5">D5/100</f>
        <v>0</v>
      </c>
      <c r="L5" s="3172">
        <f t="shared" si="5"/>
        <v>0</v>
      </c>
      <c r="M5" s="3172">
        <f t="shared" si="5"/>
        <v>0</v>
      </c>
      <c r="N5" s="3172">
        <f t="shared" si="5"/>
        <v>0</v>
      </c>
      <c r="O5" s="3172">
        <f t="shared" si="5"/>
        <v>0</v>
      </c>
      <c r="P5" s="3172">
        <f>M5</f>
        <v>0</v>
      </c>
      <c r="Q5" s="3181"/>
      <c r="R5" s="3183">
        <f>ROUND(IF([2]项目基本情况!B8="出让",SUMPRODUCT(PRODUCT(1+K5:K13)),SUMPRODUCT(PRODUCT(1+K5:K12))),4)</f>
        <v>1.05</v>
      </c>
      <c r="S5" s="3183">
        <f>ROUND(IF([2]项目基本情况!B8="出让",SUMPRODUCT(PRODUCT(1+L5:L13)),SUMPRODUCT(PRODUCT(1+L5:L12))),4)</f>
        <v>1.0229999999999999</v>
      </c>
      <c r="T5" s="3183">
        <f>ROUND(IF([2]项目基本情况!B8="出让",SUMPRODUCT(PRODUCT(1+M5:M13)),SUMPRODUCT(PRODUCT(1+M5:M12))),4)</f>
        <v>1.0134000000000001</v>
      </c>
      <c r="U5" s="3183">
        <f>ROUND(IF([2]项目基本情况!B8="出让",SUMPRODUCT(PRODUCT(1+N5:N13)),SUMPRODUCT(PRODUCT(1+N5:N12))),4)</f>
        <v>1.0545</v>
      </c>
      <c r="V5" s="3183">
        <f>ROUND(IF([2]项目基本情况!B8="出让",SUMPRODUCT(PRODUCT(1+O5:O13)),SUMPRODUCT(PRODUCT(1+O5:O12))),4)</f>
        <v>1.0447</v>
      </c>
      <c r="W5" s="3183">
        <f>T5</f>
        <v>1.0134000000000001</v>
      </c>
      <c r="X5" s="3181"/>
      <c r="Y5" s="3184">
        <f>IF(D5=0,0,ROUND(AVERAGE(D5:D13)/100,4))</f>
        <v>0</v>
      </c>
      <c r="Z5" s="3184">
        <f t="shared" ref="Z5:AC5" si="6">IF(E5=0,0,ROUND(AVERAGE(E5:E13)/100,4))</f>
        <v>0</v>
      </c>
      <c r="AA5" s="3184">
        <f t="shared" si="6"/>
        <v>0</v>
      </c>
      <c r="AB5" s="3184">
        <f t="shared" si="6"/>
        <v>0</v>
      </c>
      <c r="AC5" s="3184">
        <f t="shared" si="6"/>
        <v>0</v>
      </c>
      <c r="AD5" s="3184">
        <f t="shared" ref="AD5:AD12" si="7">AA5</f>
        <v>0</v>
      </c>
    </row>
    <row r="6" spans="1:30" s="3186" customFormat="1" ht="12.75">
      <c r="A6" s="3176" t="s">
        <v>2824</v>
      </c>
      <c r="B6" s="3177">
        <v>2022</v>
      </c>
      <c r="C6" s="3178">
        <v>4</v>
      </c>
      <c r="D6" s="3179">
        <v>0</v>
      </c>
      <c r="E6" s="3179">
        <v>0</v>
      </c>
      <c r="F6" s="3179">
        <v>0</v>
      </c>
      <c r="G6" s="3179">
        <v>0</v>
      </c>
      <c r="H6" s="3179">
        <v>0</v>
      </c>
      <c r="I6" s="3180">
        <f t="shared" si="4"/>
        <v>0</v>
      </c>
      <c r="J6" s="3181"/>
      <c r="K6" s="3182">
        <f t="shared" si="5"/>
        <v>0</v>
      </c>
      <c r="L6" s="3172">
        <f t="shared" si="5"/>
        <v>0</v>
      </c>
      <c r="M6" s="3172">
        <f t="shared" si="5"/>
        <v>0</v>
      </c>
      <c r="N6" s="3172">
        <f t="shared" si="5"/>
        <v>0</v>
      </c>
      <c r="O6" s="3172">
        <f t="shared" si="5"/>
        <v>0</v>
      </c>
      <c r="P6" s="3172">
        <f t="shared" ref="P6:P13" si="8">M6</f>
        <v>0</v>
      </c>
      <c r="Q6" s="3181"/>
      <c r="R6" s="3183">
        <f>ROUND(IF([2]项目基本情况!B8="出让",SUMPRODUCT(PRODUCT(1+K6:K13)),SUMPRODUCT(PRODUCT(1+K6:K12))),4)</f>
        <v>1.05</v>
      </c>
      <c r="S6" s="3183">
        <f>ROUND(IF([2]项目基本情况!B8="出让",SUMPRODUCT(PRODUCT(1+L6:L13)),SUMPRODUCT(PRODUCT(1+L6:L12))),4)</f>
        <v>1.0229999999999999</v>
      </c>
      <c r="T6" s="3183">
        <f>ROUND(IF([2]项目基本情况!B8="出让",SUMPRODUCT(PRODUCT(1+M6:M13)),SUMPRODUCT(PRODUCT(1+M6:M12))),4)</f>
        <v>1.0134000000000001</v>
      </c>
      <c r="U6" s="3183">
        <f>ROUND(IF([2]项目基本情况!B8="出让",SUMPRODUCT(PRODUCT(1+N6:N13)),SUMPRODUCT(PRODUCT(1+N6:N12))),4)</f>
        <v>1.0545</v>
      </c>
      <c r="V6" s="3183">
        <f>ROUND(IF([2]项目基本情况!B8="出让",SUMPRODUCT(PRODUCT(1+O6:O13)),SUMPRODUCT(PRODUCT(1+O6:O12))),4)</f>
        <v>1.0447</v>
      </c>
      <c r="W6" s="3183">
        <f t="shared" ref="W6:W13" si="9">T6</f>
        <v>1.0134000000000001</v>
      </c>
      <c r="X6" s="3181"/>
      <c r="Y6" s="3184">
        <f>IF(D6=0,0,ROUND(AVERAGE(D6:D14)/100,4))</f>
        <v>0</v>
      </c>
      <c r="Z6" s="3184">
        <f t="shared" ref="Z6:AC6" si="10">IF(E6=0,0,ROUND(AVERAGE(E6:E13)/100,4))</f>
        <v>0</v>
      </c>
      <c r="AA6" s="3184">
        <f t="shared" si="10"/>
        <v>0</v>
      </c>
      <c r="AB6" s="3184">
        <f t="shared" si="10"/>
        <v>0</v>
      </c>
      <c r="AC6" s="3184">
        <f t="shared" si="10"/>
        <v>0</v>
      </c>
      <c r="AD6" s="3184">
        <f t="shared" si="7"/>
        <v>0</v>
      </c>
    </row>
    <row r="7" spans="1:30" s="3196" customFormat="1" ht="12.75">
      <c r="A7" s="3187" t="s">
        <v>3364</v>
      </c>
      <c r="B7" s="3188">
        <v>2022</v>
      </c>
      <c r="C7" s="3189">
        <v>3</v>
      </c>
      <c r="D7" s="3190">
        <v>0.66</v>
      </c>
      <c r="E7" s="3190">
        <v>0.32</v>
      </c>
      <c r="F7" s="3190">
        <v>0.23</v>
      </c>
      <c r="G7" s="3190">
        <v>0.72</v>
      </c>
      <c r="H7" s="3191">
        <v>0.63</v>
      </c>
      <c r="I7" s="3192">
        <f t="shared" si="4"/>
        <v>0.23</v>
      </c>
      <c r="J7" s="3193"/>
      <c r="K7" s="3194">
        <f t="shared" si="5"/>
        <v>6.6E-3</v>
      </c>
      <c r="L7" s="3195">
        <f t="shared" si="5"/>
        <v>3.2000000000000002E-3</v>
      </c>
      <c r="M7" s="3195">
        <f t="shared" si="5"/>
        <v>2.3E-3</v>
      </c>
      <c r="N7" s="3195">
        <f t="shared" si="5"/>
        <v>7.1999999999999998E-3</v>
      </c>
      <c r="O7" s="3195">
        <f t="shared" si="5"/>
        <v>6.3E-3</v>
      </c>
      <c r="P7" s="3195">
        <f t="shared" si="8"/>
        <v>2.3E-3</v>
      </c>
      <c r="Q7" s="3193"/>
      <c r="R7" s="3193">
        <f>ROUND(IF([2]项目基本情况!B8="出让",SUMPRODUCT(PRODUCT(1+K7:K13)),SUMPRODUCT(PRODUCT(1+K7:K12))),4)</f>
        <v>1.05</v>
      </c>
      <c r="S7" s="3193">
        <f>ROUND(IF([2]项目基本情况!B8="出让",SUMPRODUCT(PRODUCT(1+L7:L13)),SUMPRODUCT(PRODUCT(1+L7:L12))),4)</f>
        <v>1.0229999999999999</v>
      </c>
      <c r="T7" s="3193">
        <f>ROUND(IF([2]项目基本情况!B8="出让",SUMPRODUCT(PRODUCT(1+M7:M13)),SUMPRODUCT(PRODUCT(1+M7:M12))),4)</f>
        <v>1.0134000000000001</v>
      </c>
      <c r="U7" s="3193">
        <f>ROUND(IF([2]项目基本情况!B8="出让",SUMPRODUCT(PRODUCT(1+N7:N13)),SUMPRODUCT(PRODUCT(1+N7:N12))),4)</f>
        <v>1.0545</v>
      </c>
      <c r="V7" s="3193">
        <f>ROUND(IF([2]项目基本情况!B8="出让",SUMPRODUCT(PRODUCT(1+O7:O13)),SUMPRODUCT(PRODUCT(1+O7:O12))),4)</f>
        <v>1.0447</v>
      </c>
      <c r="W7" s="3193">
        <f t="shared" si="9"/>
        <v>1.0134000000000001</v>
      </c>
      <c r="X7" s="3193"/>
      <c r="Y7" s="3195">
        <f>IF(D7=0,0,ROUND(AVERAGE(D7:D13)/100,4))</f>
        <v>8.3999999999999995E-3</v>
      </c>
      <c r="Z7" s="3195">
        <f t="shared" ref="Z7:AC7" si="11">IF(E7=0,0,ROUND(AVERAGE(E7:E13)/100,4))</f>
        <v>3.5000000000000001E-3</v>
      </c>
      <c r="AA7" s="3195">
        <f t="shared" si="11"/>
        <v>1.5E-3</v>
      </c>
      <c r="AB7" s="3195">
        <f t="shared" si="11"/>
        <v>9.1999999999999998E-3</v>
      </c>
      <c r="AC7" s="3195">
        <f t="shared" si="11"/>
        <v>6.7999999999999996E-3</v>
      </c>
      <c r="AD7" s="3195">
        <f t="shared" si="7"/>
        <v>1.5E-3</v>
      </c>
    </row>
    <row r="8" spans="1:30" s="3185" customFormat="1" ht="12.75">
      <c r="A8" s="3176" t="s">
        <v>3365</v>
      </c>
      <c r="B8" s="3177">
        <v>2022</v>
      </c>
      <c r="C8" s="3178">
        <v>2</v>
      </c>
      <c r="D8" s="3179">
        <v>0.93</v>
      </c>
      <c r="E8" s="3179">
        <v>0.15</v>
      </c>
      <c r="F8" s="3179">
        <v>0.01</v>
      </c>
      <c r="G8" s="3179">
        <v>1.05</v>
      </c>
      <c r="H8" s="3197">
        <v>1.08</v>
      </c>
      <c r="I8" s="3180">
        <f t="shared" si="4"/>
        <v>0.01</v>
      </c>
      <c r="J8" s="3181"/>
      <c r="K8" s="3182">
        <f t="shared" si="5"/>
        <v>9.300000000000001E-3</v>
      </c>
      <c r="L8" s="3172">
        <f t="shared" si="5"/>
        <v>1.5E-3</v>
      </c>
      <c r="M8" s="3172">
        <f t="shared" si="5"/>
        <v>1E-4</v>
      </c>
      <c r="N8" s="3172">
        <f t="shared" si="5"/>
        <v>1.0500000000000001E-2</v>
      </c>
      <c r="O8" s="3172">
        <f t="shared" si="5"/>
        <v>1.0800000000000001E-2</v>
      </c>
      <c r="P8" s="3172">
        <f t="shared" si="8"/>
        <v>1E-4</v>
      </c>
      <c r="Q8" s="3181"/>
      <c r="R8" s="3183">
        <f>ROUND(IF([2]项目基本情况!B8="出让",SUMPRODUCT(PRODUCT(1+K8:K13)),SUMPRODUCT(PRODUCT(1+K8:K12))),4)</f>
        <v>1.0430999999999999</v>
      </c>
      <c r="S8" s="3183">
        <f>ROUND(IF([2]项目基本情况!B8="出让",SUMPRODUCT(PRODUCT(1+L8:L13)),SUMPRODUCT(PRODUCT(1+L8:L12))),4)</f>
        <v>1.0197000000000001</v>
      </c>
      <c r="T8" s="3183">
        <f>ROUND(IF([2]项目基本情况!B8="出让",SUMPRODUCT(PRODUCT(1+M8:M13)),SUMPRODUCT(PRODUCT(1+M8:M12))),4)</f>
        <v>1.0109999999999999</v>
      </c>
      <c r="U8" s="3183">
        <f>ROUND(IF([2]项目基本情况!B8="出让",SUMPRODUCT(PRODUCT(1+N8:N13)),SUMPRODUCT(PRODUCT(1+N8:N12))),4)</f>
        <v>1.0468999999999999</v>
      </c>
      <c r="V8" s="3183">
        <f>ROUND(IF([2]项目基本情况!B8="出让",SUMPRODUCT(PRODUCT(1+O8:O13)),SUMPRODUCT(PRODUCT(1+O8:O12))),4)</f>
        <v>1.0382</v>
      </c>
      <c r="W8" s="3183">
        <f t="shared" si="9"/>
        <v>1.0109999999999999</v>
      </c>
      <c r="X8" s="3181"/>
      <c r="Y8" s="3184">
        <f>IF(D8=0,0,ROUND(AVERAGE(D8:D13)/100,4))</f>
        <v>8.6999999999999994E-3</v>
      </c>
      <c r="Z8" s="3184">
        <f t="shared" ref="Z8:AC8" si="12">IF(E8=0,0,ROUND(AVERAGE(E8:E13)/100,4))</f>
        <v>3.5000000000000001E-3</v>
      </c>
      <c r="AA8" s="3184">
        <f t="shared" si="12"/>
        <v>1.4E-3</v>
      </c>
      <c r="AB8" s="3184">
        <f t="shared" si="12"/>
        <v>9.4999999999999998E-3</v>
      </c>
      <c r="AC8" s="3184">
        <f t="shared" si="12"/>
        <v>6.8999999999999999E-3</v>
      </c>
      <c r="AD8" s="3184">
        <f t="shared" si="7"/>
        <v>1.4E-3</v>
      </c>
    </row>
    <row r="9" spans="1:30" s="3185" customFormat="1" ht="12.75">
      <c r="A9" s="3176" t="s">
        <v>2825</v>
      </c>
      <c r="B9" s="3177">
        <v>2022</v>
      </c>
      <c r="C9" s="3178">
        <v>1</v>
      </c>
      <c r="D9" s="3179">
        <v>0.89</v>
      </c>
      <c r="E9" s="3179">
        <v>0.44</v>
      </c>
      <c r="F9" s="3179">
        <v>0.37</v>
      </c>
      <c r="G9" s="3179">
        <v>0.96</v>
      </c>
      <c r="H9" s="3197">
        <v>0.64</v>
      </c>
      <c r="I9" s="3180">
        <f t="shared" si="4"/>
        <v>0.37</v>
      </c>
      <c r="J9" s="3181"/>
      <c r="K9" s="3182">
        <f t="shared" si="5"/>
        <v>8.8999999999999999E-3</v>
      </c>
      <c r="L9" s="3172">
        <f t="shared" si="5"/>
        <v>4.4000000000000003E-3</v>
      </c>
      <c r="M9" s="3172">
        <f t="shared" si="5"/>
        <v>3.7000000000000002E-3</v>
      </c>
      <c r="N9" s="3172">
        <f t="shared" si="5"/>
        <v>9.5999999999999992E-3</v>
      </c>
      <c r="O9" s="3172">
        <f t="shared" si="5"/>
        <v>6.4000000000000003E-3</v>
      </c>
      <c r="P9" s="3172">
        <f t="shared" si="8"/>
        <v>3.7000000000000002E-3</v>
      </c>
      <c r="Q9" s="3181"/>
      <c r="R9" s="3183">
        <f>ROUND(IF([2]项目基本情况!B8="出让",SUMPRODUCT(PRODUCT(1+K9:K13)),SUMPRODUCT(PRODUCT(1+K9:K12))),4)</f>
        <v>1.0335000000000001</v>
      </c>
      <c r="S9" s="3183">
        <f>ROUND(IF([2]项目基本情况!B8="出让",SUMPRODUCT(PRODUCT(1+L9:L13)),SUMPRODUCT(PRODUCT(1+L9:L12))),4)</f>
        <v>1.0182</v>
      </c>
      <c r="T9" s="3183">
        <f>ROUND(IF([2]项目基本情况!B8="出让",SUMPRODUCT(PRODUCT(1+M9:M13)),SUMPRODUCT(PRODUCT(1+M9:M12))),4)</f>
        <v>1.0108999999999999</v>
      </c>
      <c r="U9" s="3183">
        <f>ROUND(IF([2]项目基本情况!B8="出让",SUMPRODUCT(PRODUCT(1+N9:N13)),SUMPRODUCT(PRODUCT(1+N9:N12))),4)</f>
        <v>1.0361</v>
      </c>
      <c r="V9" s="3183">
        <f>ROUND(IF([2]项目基本情况!B8="出让",SUMPRODUCT(PRODUCT(1+O9:O13)),SUMPRODUCT(PRODUCT(1+O9:O12))),4)</f>
        <v>1.0270999999999999</v>
      </c>
      <c r="W9" s="3183">
        <f t="shared" si="9"/>
        <v>1.0108999999999999</v>
      </c>
      <c r="X9" s="3181"/>
      <c r="Y9" s="3184">
        <f>IF(D9=0,0,ROUND(AVERAGE(D9:D13)/100,4))</f>
        <v>8.6E-3</v>
      </c>
      <c r="Z9" s="3184">
        <f t="shared" ref="Z9:AC9" si="13">IF(E9=0,0,ROUND(AVERAGE(E9:E13)/100,4))</f>
        <v>3.8999999999999998E-3</v>
      </c>
      <c r="AA9" s="3184">
        <f t="shared" si="13"/>
        <v>1.6999999999999999E-3</v>
      </c>
      <c r="AB9" s="3184">
        <f t="shared" si="13"/>
        <v>9.2999999999999992E-3</v>
      </c>
      <c r="AC9" s="3184">
        <f t="shared" si="13"/>
        <v>6.1000000000000004E-3</v>
      </c>
      <c r="AD9" s="3184">
        <f t="shared" si="7"/>
        <v>1.6999999999999999E-3</v>
      </c>
    </row>
    <row r="10" spans="1:30" s="3185" customFormat="1" ht="12.75">
      <c r="A10" s="3176" t="s">
        <v>2826</v>
      </c>
      <c r="B10" s="3177">
        <v>2021</v>
      </c>
      <c r="C10" s="3178">
        <v>4</v>
      </c>
      <c r="D10" s="3179">
        <v>1.03</v>
      </c>
      <c r="E10" s="3179">
        <v>0.24</v>
      </c>
      <c r="F10" s="3179">
        <v>7.0000000000000007E-2</v>
      </c>
      <c r="G10" s="3179">
        <v>1.17</v>
      </c>
      <c r="H10" s="3197">
        <v>0.55000000000000004</v>
      </c>
      <c r="I10" s="3180">
        <f t="shared" si="4"/>
        <v>7.0000000000000007E-2</v>
      </c>
      <c r="J10" s="3181"/>
      <c r="K10" s="3182">
        <f t="shared" si="5"/>
        <v>1.03E-2</v>
      </c>
      <c r="L10" s="3172">
        <f t="shared" si="5"/>
        <v>2.3999999999999998E-3</v>
      </c>
      <c r="M10" s="3172">
        <f t="shared" si="5"/>
        <v>7.000000000000001E-4</v>
      </c>
      <c r="N10" s="3172">
        <f t="shared" si="5"/>
        <v>1.1699999999999999E-2</v>
      </c>
      <c r="O10" s="3172">
        <f t="shared" si="5"/>
        <v>5.5000000000000005E-3</v>
      </c>
      <c r="P10" s="3172">
        <f t="shared" si="8"/>
        <v>7.000000000000001E-4</v>
      </c>
      <c r="Q10" s="3181"/>
      <c r="R10" s="3183">
        <f>ROUND(IF([2]项目基本情况!B8="出让",SUMPRODUCT(PRODUCT(1+K10:K13)),SUMPRODUCT(PRODUCT(1+K10:K12))),4)</f>
        <v>1.0244</v>
      </c>
      <c r="S10" s="3183">
        <f>ROUND(IF([2]项目基本情况!B8="出让",SUMPRODUCT(PRODUCT(1+L10:L13)),SUMPRODUCT(PRODUCT(1+L10:L12))),4)</f>
        <v>1.0138</v>
      </c>
      <c r="T10" s="3183">
        <f>ROUND(IF([2]项目基本情况!B8="出让",SUMPRODUCT(PRODUCT(1+M10:M13)),SUMPRODUCT(PRODUCT(1+M10:M12))),4)</f>
        <v>1.0072000000000001</v>
      </c>
      <c r="U10" s="3183">
        <f>ROUND(IF([2]项目基本情况!B8="出让",SUMPRODUCT(PRODUCT(1+N10:N13)),SUMPRODUCT(PRODUCT(1+N10:N12))),4)</f>
        <v>1.0262</v>
      </c>
      <c r="V10" s="3183">
        <f>ROUND(IF([2]项目基本情况!B8="出让",SUMPRODUCT(PRODUCT(1+O10:O13)),SUMPRODUCT(PRODUCT(1+O10:O12))),4)</f>
        <v>1.0205</v>
      </c>
      <c r="W10" s="3183">
        <f t="shared" si="9"/>
        <v>1.0072000000000001</v>
      </c>
      <c r="X10" s="3181"/>
      <c r="Y10" s="3184">
        <f>IF(D10=0,0,ROUND(AVERAGE(D10:D13)/100,4))</f>
        <v>8.5000000000000006E-3</v>
      </c>
      <c r="Z10" s="3184">
        <f t="shared" ref="Z10:AC10" si="14">IF(E10=0,0,ROUND(AVERAGE(E10:E13)/100,4))</f>
        <v>3.8E-3</v>
      </c>
      <c r="AA10" s="3184">
        <f t="shared" si="14"/>
        <v>1.1999999999999999E-3</v>
      </c>
      <c r="AB10" s="3184">
        <f t="shared" si="14"/>
        <v>9.2999999999999992E-3</v>
      </c>
      <c r="AC10" s="3184">
        <f t="shared" si="14"/>
        <v>6.0000000000000001E-3</v>
      </c>
      <c r="AD10" s="3184">
        <f t="shared" si="7"/>
        <v>1.1999999999999999E-3</v>
      </c>
    </row>
    <row r="11" spans="1:30" s="3185" customFormat="1" ht="12.75">
      <c r="A11" s="3176" t="s">
        <v>2827</v>
      </c>
      <c r="B11" s="3177">
        <v>2021</v>
      </c>
      <c r="C11" s="3178">
        <v>3</v>
      </c>
      <c r="D11" s="3179">
        <v>0.47</v>
      </c>
      <c r="E11" s="3179">
        <v>0.41</v>
      </c>
      <c r="F11" s="3179">
        <v>0.24</v>
      </c>
      <c r="G11" s="3179">
        <v>0.48</v>
      </c>
      <c r="H11" s="3197">
        <v>0.48</v>
      </c>
      <c r="I11" s="3180">
        <f t="shared" si="4"/>
        <v>0.24</v>
      </c>
      <c r="J11" s="3181"/>
      <c r="K11" s="3182">
        <f t="shared" si="5"/>
        <v>4.6999999999999993E-3</v>
      </c>
      <c r="L11" s="3172">
        <f t="shared" si="5"/>
        <v>4.0999999999999995E-3</v>
      </c>
      <c r="M11" s="3172">
        <f t="shared" si="5"/>
        <v>2.3999999999999998E-3</v>
      </c>
      <c r="N11" s="3172">
        <f t="shared" si="5"/>
        <v>4.7999999999999996E-3</v>
      </c>
      <c r="O11" s="3172">
        <f t="shared" si="5"/>
        <v>4.7999999999999996E-3</v>
      </c>
      <c r="P11" s="3172">
        <f t="shared" si="8"/>
        <v>2.3999999999999998E-3</v>
      </c>
      <c r="Q11" s="3181"/>
      <c r="R11" s="3183">
        <f>ROUND(IF([2]项目基本情况!B8="出让",SUMPRODUCT(PRODUCT(1+K11:K13)),SUMPRODUCT(PRODUCT(1+K11:K12))),4)</f>
        <v>1.0139</v>
      </c>
      <c r="S11" s="3183">
        <f>ROUND(IF([2]项目基本情况!B8="出让",SUMPRODUCT(PRODUCT(1+L11:L13)),SUMPRODUCT(PRODUCT(1+L11:L12))),4)</f>
        <v>1.0113000000000001</v>
      </c>
      <c r="T11" s="3183">
        <f>ROUND(IF([2]项目基本情况!B8="出让",SUMPRODUCT(PRODUCT(1+M11:M13)),SUMPRODUCT(PRODUCT(1+M11:M12))),4)</f>
        <v>1.0065</v>
      </c>
      <c r="U11" s="3183">
        <f>ROUND(IF([2]项目基本情况!B8="出让",SUMPRODUCT(PRODUCT(1+N11:N13)),SUMPRODUCT(PRODUCT(1+N11:N12))),4)</f>
        <v>1.0143</v>
      </c>
      <c r="V11" s="3183">
        <f>ROUND(IF([2]项目基本情况!B8="出让",SUMPRODUCT(PRODUCT(1+O11:O13)),SUMPRODUCT(PRODUCT(1+O11:O12))),4)</f>
        <v>1.0148999999999999</v>
      </c>
      <c r="W11" s="3183">
        <f t="shared" si="9"/>
        <v>1.0065</v>
      </c>
      <c r="X11" s="3181"/>
      <c r="Y11" s="3184">
        <f>IF(D11=0,0,ROUND(AVERAGE(D11:D13)/100,4))</f>
        <v>7.9000000000000008E-3</v>
      </c>
      <c r="Z11" s="3184">
        <f>IF(E11=0,0,ROUND(AVERAGE(E11:E13)/100,4))</f>
        <v>4.3E-3</v>
      </c>
      <c r="AA11" s="3184">
        <f>IF(F11=0,0,ROUND(AVERAGE(F11:F13)/100,4))</f>
        <v>1.2999999999999999E-3</v>
      </c>
      <c r="AB11" s="3184">
        <f>IF(G11=0,0,ROUND(AVERAGE(G11:G13)/100,4))</f>
        <v>8.5000000000000006E-3</v>
      </c>
      <c r="AC11" s="3184">
        <f>IF(H11=0,0,ROUND(AVERAGE(H11:H13)/100,4))</f>
        <v>6.1999999999999998E-3</v>
      </c>
      <c r="AD11" s="3184">
        <f t="shared" si="7"/>
        <v>1.2999999999999999E-3</v>
      </c>
    </row>
    <row r="12" spans="1:30" s="3185" customFormat="1" ht="12.75">
      <c r="A12" s="3176" t="s">
        <v>2828</v>
      </c>
      <c r="B12" s="3177">
        <v>2021</v>
      </c>
      <c r="C12" s="3178">
        <v>2</v>
      </c>
      <c r="D12" s="3179">
        <v>0.92</v>
      </c>
      <c r="E12" s="3179">
        <v>0.72</v>
      </c>
      <c r="F12" s="3179">
        <v>0.41</v>
      </c>
      <c r="G12" s="3179">
        <v>0.95</v>
      </c>
      <c r="H12" s="3197">
        <v>1.01</v>
      </c>
      <c r="I12" s="3180">
        <f t="shared" si="4"/>
        <v>0.41</v>
      </c>
      <c r="J12" s="3181"/>
      <c r="K12" s="3182">
        <f t="shared" si="5"/>
        <v>9.1999999999999998E-3</v>
      </c>
      <c r="L12" s="3172">
        <f t="shared" si="5"/>
        <v>7.1999999999999998E-3</v>
      </c>
      <c r="M12" s="3172">
        <f t="shared" si="5"/>
        <v>4.0999999999999995E-3</v>
      </c>
      <c r="N12" s="3172">
        <f t="shared" si="5"/>
        <v>9.4999999999999998E-3</v>
      </c>
      <c r="O12" s="3172">
        <f t="shared" si="5"/>
        <v>1.01E-2</v>
      </c>
      <c r="P12" s="3172">
        <f t="shared" si="8"/>
        <v>4.0999999999999995E-3</v>
      </c>
      <c r="Q12" s="3181"/>
      <c r="R12" s="3183">
        <f>ROUND(IF([2]项目基本情况!B8="出让",SUMPRODUCT(PRODUCT(1+K12:K13)),SUMPRODUCT(PRODUCT(1+K12:K12))),4)</f>
        <v>1.0092000000000001</v>
      </c>
      <c r="S12" s="3183">
        <f>ROUND(IF([2]项目基本情况!B8="出让",SUMPRODUCT(PRODUCT(1+L12:L13)),SUMPRODUCT(PRODUCT(1+L12:L12))),4)</f>
        <v>1.0072000000000001</v>
      </c>
      <c r="T12" s="3183">
        <f>ROUND(IF([2]项目基本情况!B8="出让",SUMPRODUCT(PRODUCT(1+M12:M13)),SUMPRODUCT(PRODUCT(1+M12:M12))),4)</f>
        <v>1.0041</v>
      </c>
      <c r="U12" s="3183">
        <f>ROUND(IF([2]项目基本情况!B8="出让",SUMPRODUCT(PRODUCT(1+N12:N13)),SUMPRODUCT(PRODUCT(1+N12:N12))),4)</f>
        <v>1.0095000000000001</v>
      </c>
      <c r="V12" s="3183">
        <f>ROUND(IF([2]项目基本情况!B8="出让",SUMPRODUCT(PRODUCT(1+O12:O13)),SUMPRODUCT(PRODUCT(1+O12:O12))),4)</f>
        <v>1.0101</v>
      </c>
      <c r="W12" s="3183">
        <f t="shared" si="9"/>
        <v>1.0041</v>
      </c>
      <c r="X12" s="3181"/>
      <c r="Y12" s="3184">
        <f>IF(D12=0,0,ROUND(AVERAGE(D12:D13)/100,4))</f>
        <v>9.4999999999999998E-3</v>
      </c>
      <c r="Z12" s="3184">
        <f>IF(E12=0,0,ROUND(AVERAGE(E12:E13)/100,4))</f>
        <v>4.4000000000000003E-3</v>
      </c>
      <c r="AA12" s="3184">
        <f>IF(F12=0,0,ROUND(AVERAGE(F12:F13)/100,4))</f>
        <v>8.0000000000000004E-4</v>
      </c>
      <c r="AB12" s="3184">
        <f>IF(G12=0,0,ROUND(AVERAGE(G12:G13)/100,4))</f>
        <v>1.03E-2</v>
      </c>
      <c r="AC12" s="3184">
        <f>IF(H12=0,0,ROUND(AVERAGE(H12:H13)/100,4))</f>
        <v>6.8999999999999999E-3</v>
      </c>
      <c r="AD12" s="3184">
        <f t="shared" si="7"/>
        <v>8.0000000000000004E-4</v>
      </c>
    </row>
    <row r="13" spans="1:30" s="3208" customFormat="1" thickBot="1">
      <c r="A13" s="3198" t="s">
        <v>2829</v>
      </c>
      <c r="B13" s="3199">
        <v>2021</v>
      </c>
      <c r="C13" s="3200">
        <v>1</v>
      </c>
      <c r="D13" s="3201">
        <v>0.97</v>
      </c>
      <c r="E13" s="3201">
        <v>0.16</v>
      </c>
      <c r="F13" s="3201">
        <v>-0.25</v>
      </c>
      <c r="G13" s="3201">
        <v>1.1100000000000001</v>
      </c>
      <c r="H13" s="3202">
        <v>0.36</v>
      </c>
      <c r="I13" s="3203">
        <f t="shared" si="4"/>
        <v>-0.25</v>
      </c>
      <c r="J13" s="3204"/>
      <c r="K13" s="3205">
        <f t="shared" si="5"/>
        <v>9.7000000000000003E-3</v>
      </c>
      <c r="L13" s="3206">
        <f t="shared" si="5"/>
        <v>1.6000000000000001E-3</v>
      </c>
      <c r="M13" s="3206">
        <f>F13/100</f>
        <v>-2.5000000000000001E-3</v>
      </c>
      <c r="N13" s="3206">
        <f t="shared" si="5"/>
        <v>1.11E-2</v>
      </c>
      <c r="O13" s="3206">
        <f t="shared" si="5"/>
        <v>3.5999999999999999E-3</v>
      </c>
      <c r="P13" s="3206">
        <f t="shared" si="8"/>
        <v>-2.5000000000000001E-3</v>
      </c>
      <c r="Q13" s="3204"/>
      <c r="R13" s="3207">
        <v>1</v>
      </c>
      <c r="S13" s="3207">
        <v>1</v>
      </c>
      <c r="T13" s="3207">
        <v>1</v>
      </c>
      <c r="U13" s="3207">
        <v>1</v>
      </c>
      <c r="V13" s="3207">
        <v>1</v>
      </c>
      <c r="W13" s="3207">
        <f t="shared" si="9"/>
        <v>1</v>
      </c>
      <c r="X13" s="3204"/>
      <c r="Y13" s="3206">
        <f>IF(D13=0,0,ROUND(AVERAGE(D13:D13)/100,4))</f>
        <v>9.7000000000000003E-3</v>
      </c>
      <c r="Z13" s="3206">
        <f>IF(E13=0,0,ROUND(AVERAGE(E13:E13)/100,4))</f>
        <v>1.6000000000000001E-3</v>
      </c>
      <c r="AA13" s="3206">
        <f>IF(F13=0,0,ROUND(AVERAGE(F13:F13)/100,4))</f>
        <v>-2.5000000000000001E-3</v>
      </c>
      <c r="AB13" s="3206">
        <f>IF(G13=0,0,ROUND(AVERAGE(G13:G13)/100,4))</f>
        <v>1.11E-2</v>
      </c>
      <c r="AC13" s="3206">
        <f>IF(H13=0,0,ROUND(AVERAGE(H13:H13)/100,4))</f>
        <v>3.5999999999999999E-3</v>
      </c>
      <c r="AD13" s="3206">
        <f>AA13</f>
        <v>-2.5000000000000001E-3</v>
      </c>
    </row>
    <row r="14" spans="1:30" s="3009" customFormat="1" ht="14.25" thickTop="1"/>
    <row r="15" spans="1:30" s="3009" customFormat="1"/>
    <row r="16" spans="1:30" s="3009" customFormat="1">
      <c r="I16" s="3209" t="s">
        <v>2830</v>
      </c>
    </row>
    <row r="17" spans="1:30" s="3009" customFormat="1"/>
    <row r="18" spans="1:30" s="3210" customFormat="1" ht="12.75">
      <c r="B18" s="3211" t="s">
        <v>2831</v>
      </c>
      <c r="C18" s="3212"/>
      <c r="D18" s="3212"/>
      <c r="E18" s="3212"/>
      <c r="F18" s="3212"/>
      <c r="G18" s="3212"/>
      <c r="H18" s="3212"/>
      <c r="I18" s="3212"/>
      <c r="J18" s="3165"/>
      <c r="K18" s="3212" t="s">
        <v>2832</v>
      </c>
      <c r="L18" s="3212"/>
      <c r="M18" s="3212"/>
      <c r="N18" s="3212"/>
      <c r="O18" s="3212"/>
      <c r="P18" s="3212"/>
      <c r="Q18" s="3165"/>
      <c r="R18" s="3804" t="s">
        <v>2833</v>
      </c>
      <c r="S18" s="3805"/>
      <c r="T18" s="3805"/>
      <c r="U18" s="3805"/>
      <c r="V18" s="3805"/>
      <c r="W18" s="3805"/>
      <c r="X18" s="3165"/>
      <c r="Y18" s="3804" t="s">
        <v>2834</v>
      </c>
      <c r="Z18" s="3805"/>
      <c r="AA18" s="3805"/>
      <c r="AB18" s="3805"/>
      <c r="AC18" s="3805"/>
      <c r="AD18" s="3805"/>
    </row>
    <row r="19" spans="1:30" s="3143" customFormat="1" ht="14.25" thickBot="1">
      <c r="B19" s="3144"/>
      <c r="C19" s="3145"/>
      <c r="D19" s="3146" t="s">
        <v>2835</v>
      </c>
      <c r="E19" s="3147" t="s">
        <v>2836</v>
      </c>
      <c r="F19" s="3147" t="s">
        <v>2837</v>
      </c>
      <c r="G19" s="3147" t="s">
        <v>2838</v>
      </c>
      <c r="H19" s="3147"/>
      <c r="I19" s="3147" t="s">
        <v>2839</v>
      </c>
      <c r="J19" s="3148"/>
      <c r="K19" s="3146" t="s">
        <v>2835</v>
      </c>
      <c r="L19" s="3147" t="s">
        <v>2836</v>
      </c>
      <c r="M19" s="3147" t="s">
        <v>2837</v>
      </c>
      <c r="N19" s="3147" t="s">
        <v>2838</v>
      </c>
      <c r="O19" s="3147"/>
      <c r="P19" s="3147" t="s">
        <v>2839</v>
      </c>
      <c r="Q19" s="3148"/>
      <c r="R19" s="3146" t="s">
        <v>2835</v>
      </c>
      <c r="S19" s="3147" t="s">
        <v>2836</v>
      </c>
      <c r="T19" s="3147" t="s">
        <v>2837</v>
      </c>
      <c r="U19" s="3147" t="s">
        <v>2838</v>
      </c>
      <c r="V19" s="3147"/>
      <c r="W19" s="3147" t="s">
        <v>2839</v>
      </c>
      <c r="X19" s="3148"/>
      <c r="Y19" s="3146" t="s">
        <v>2835</v>
      </c>
      <c r="Z19" s="3147" t="s">
        <v>2836</v>
      </c>
      <c r="AA19" s="3147" t="s">
        <v>2837</v>
      </c>
      <c r="AB19" s="3147" t="s">
        <v>2838</v>
      </c>
      <c r="AC19" s="3147"/>
      <c r="AD19" s="3147" t="s">
        <v>2839</v>
      </c>
    </row>
    <row r="20" spans="1:30" s="3161" customFormat="1" ht="12.75">
      <c r="A20" s="3149" t="s">
        <v>2840</v>
      </c>
      <c r="B20" s="3150"/>
      <c r="C20" s="3151"/>
      <c r="D20" s="3151"/>
      <c r="E20" s="3151">
        <f t="shared" ref="E20:G20" si="15">ROUND(AVERAGEIF(E21:E30,"&lt;&gt;0"),2)</f>
        <v>0.39</v>
      </c>
      <c r="F20" s="3151">
        <f t="shared" si="15"/>
        <v>0.27</v>
      </c>
      <c r="G20" s="3151">
        <f t="shared" si="15"/>
        <v>0.79</v>
      </c>
      <c r="H20" s="3151"/>
      <c r="I20" s="3151">
        <f>F20</f>
        <v>0.27</v>
      </c>
      <c r="J20" s="3152"/>
      <c r="K20" s="3153"/>
      <c r="L20" s="3154">
        <f t="shared" ref="L20:N20" si="16">ROUND(AVERAGEIF(L21:L30,"&lt;&gt;0"),4)</f>
        <v>3.8999999999999998E-3</v>
      </c>
      <c r="M20" s="3154">
        <f t="shared" si="16"/>
        <v>2.7000000000000001E-3</v>
      </c>
      <c r="N20" s="3154">
        <f t="shared" si="16"/>
        <v>7.9000000000000008E-3</v>
      </c>
      <c r="O20" s="3154"/>
      <c r="P20" s="3154">
        <f>M20</f>
        <v>2.7000000000000001E-3</v>
      </c>
      <c r="Q20" s="3152"/>
      <c r="R20" s="3155"/>
      <c r="S20" s="3156">
        <f>ROUND(SUMPRODUCT(PRODUCT(1+L21:L30)),4)</f>
        <v>1.0277000000000001</v>
      </c>
      <c r="T20" s="3156">
        <f t="shared" ref="T20:U20" si="17">ROUND(SUMPRODUCT(PRODUCT(1+M21:M30)),4)</f>
        <v>1.0192000000000001</v>
      </c>
      <c r="U20" s="3156">
        <f t="shared" si="17"/>
        <v>1.0569</v>
      </c>
      <c r="V20" s="3156"/>
      <c r="W20" s="3155">
        <f>T20</f>
        <v>1.0192000000000001</v>
      </c>
      <c r="X20" s="3152"/>
      <c r="Y20" s="3157"/>
      <c r="Z20" s="3158">
        <f t="shared" ref="Z20:AB20" si="18">ROUND(AVERAGEIF(Z21:Z30,"&lt;&gt;0"),4)</f>
        <v>4.4000000000000003E-3</v>
      </c>
      <c r="AA20" s="3159">
        <f t="shared" si="18"/>
        <v>3.7000000000000002E-3</v>
      </c>
      <c r="AB20" s="3157">
        <f t="shared" si="18"/>
        <v>9.1000000000000004E-3</v>
      </c>
      <c r="AC20" s="3160"/>
      <c r="AD20" s="3157">
        <f>AA20</f>
        <v>3.7000000000000002E-3</v>
      </c>
    </row>
    <row r="21" spans="1:30" s="3162" customFormat="1" ht="12.75">
      <c r="B21" s="3163"/>
      <c r="C21" s="3164"/>
      <c r="D21" s="3164"/>
      <c r="E21" s="3164"/>
      <c r="F21" s="3164"/>
      <c r="G21" s="3164"/>
      <c r="H21" s="3164"/>
      <c r="I21" s="3164"/>
      <c r="J21" s="3165"/>
      <c r="K21" s="3166"/>
      <c r="L21" s="3167"/>
      <c r="M21" s="3167"/>
      <c r="N21" s="3167"/>
      <c r="O21" s="3167"/>
      <c r="P21" s="3167"/>
      <c r="Q21" s="3165"/>
      <c r="R21" s="3168"/>
      <c r="S21" s="3169"/>
      <c r="T21" s="3170"/>
      <c r="U21" s="3168"/>
      <c r="V21" s="3171"/>
      <c r="W21" s="3168"/>
      <c r="X21" s="3165"/>
      <c r="Y21" s="3172"/>
      <c r="Z21" s="3173"/>
      <c r="AA21" s="3174"/>
      <c r="AB21" s="3172"/>
      <c r="AC21" s="3175"/>
      <c r="AD21" s="3172"/>
    </row>
    <row r="22" spans="1:30" s="3185" customFormat="1" ht="12.75">
      <c r="A22" s="3176" t="s">
        <v>2841</v>
      </c>
      <c r="B22" s="3177">
        <v>2023</v>
      </c>
      <c r="C22" s="3178">
        <v>1</v>
      </c>
      <c r="D22" s="3179"/>
      <c r="E22" s="3179">
        <v>0</v>
      </c>
      <c r="F22" s="3179">
        <v>0</v>
      </c>
      <c r="G22" s="3179">
        <v>0</v>
      </c>
      <c r="H22" s="3179"/>
      <c r="I22" s="3180">
        <f t="shared" ref="I22:I30" si="19">F22</f>
        <v>0</v>
      </c>
      <c r="J22" s="3181"/>
      <c r="K22" s="3182"/>
      <c r="L22" s="3172">
        <f t="shared" ref="L22:N30" si="20">E22/100</f>
        <v>0</v>
      </c>
      <c r="M22" s="3172">
        <f t="shared" si="20"/>
        <v>0</v>
      </c>
      <c r="N22" s="3172">
        <f t="shared" si="20"/>
        <v>0</v>
      </c>
      <c r="O22" s="3172"/>
      <c r="P22" s="3172">
        <f>M22</f>
        <v>0</v>
      </c>
      <c r="Q22" s="3181"/>
      <c r="R22" s="3183"/>
      <c r="S22" s="3183">
        <f>ROUND(IF([2]项目基本情况!$B$8="出让",SUMPRODUCT(PRODUCT(1+L22:L$30)),SUMPRODUCT(PRODUCT(1+L22:L$29))),4)</f>
        <v>1.0241</v>
      </c>
      <c r="T22" s="3183">
        <f>ROUND(IF([2]项目基本情况!$B$8="出让",SUMPRODUCT(PRODUCT(1+M22:M$30)),SUMPRODUCT(PRODUCT(1+M22:M$29))),4)</f>
        <v>1.0144</v>
      </c>
      <c r="U22" s="3183">
        <f>ROUND(IF([2]项目基本情况!$B$8="出让",SUMPRODUCT(PRODUCT(1+N22:N$30)),SUMPRODUCT(PRODUCT(1+N22:N$29))),4)</f>
        <v>1.0467</v>
      </c>
      <c r="V22" s="3183"/>
      <c r="W22" s="3183">
        <f>T22</f>
        <v>1.0144</v>
      </c>
      <c r="X22" s="3181"/>
      <c r="Y22" s="3184"/>
      <c r="Z22" s="3213">
        <f>IF(E22=0,0,ROUND(AVERAGE(E22:E30)/100,4))</f>
        <v>0</v>
      </c>
      <c r="AA22" s="3213">
        <f>IF(F22=0,0,ROUND(AVERAGE(F22:F30)/100,4))</f>
        <v>0</v>
      </c>
      <c r="AB22" s="3213">
        <f>IF(G22=0,0,ROUND(AVERAGE(G22:G30)/100,4))</f>
        <v>0</v>
      </c>
      <c r="AC22" s="3214"/>
      <c r="AD22" s="3184">
        <f>IF(I22=0,0,ROUND(AVERAGE(I22:I30)/100,4))</f>
        <v>0</v>
      </c>
    </row>
    <row r="23" spans="1:30" s="3186" customFormat="1" ht="12.75">
      <c r="A23" s="3176" t="s">
        <v>2842</v>
      </c>
      <c r="B23" s="3177">
        <v>2022</v>
      </c>
      <c r="C23" s="3178">
        <v>4</v>
      </c>
      <c r="D23" s="3179"/>
      <c r="E23" s="3179">
        <v>0</v>
      </c>
      <c r="F23" s="3179">
        <v>0</v>
      </c>
      <c r="G23" s="3179">
        <v>0</v>
      </c>
      <c r="H23" s="3179"/>
      <c r="I23" s="3180">
        <f t="shared" si="19"/>
        <v>0</v>
      </c>
      <c r="J23" s="3181"/>
      <c r="K23" s="3182"/>
      <c r="L23" s="3172">
        <f t="shared" si="20"/>
        <v>0</v>
      </c>
      <c r="M23" s="3172">
        <f t="shared" si="20"/>
        <v>0</v>
      </c>
      <c r="N23" s="3172">
        <f t="shared" si="20"/>
        <v>0</v>
      </c>
      <c r="O23" s="3172"/>
      <c r="P23" s="3172">
        <f t="shared" ref="P23:P30" si="21">M23</f>
        <v>0</v>
      </c>
      <c r="Q23" s="3181"/>
      <c r="R23" s="3183"/>
      <c r="S23" s="3183">
        <f>ROUND(IF([2]项目基本情况!$B$8="出让",SUMPRODUCT(PRODUCT(1+L23:L$30)),SUMPRODUCT(PRODUCT(1+L23:L$29))),4)</f>
        <v>1.0241</v>
      </c>
      <c r="T23" s="3183">
        <f>ROUND(IF([2]项目基本情况!$B$8="出让",SUMPRODUCT(PRODUCT(1+M23:M$30)),SUMPRODUCT(PRODUCT(1+M23:M$29))),4)</f>
        <v>1.0144</v>
      </c>
      <c r="U23" s="3183">
        <f>ROUND(IF([2]项目基本情况!$B$8="出让",SUMPRODUCT(PRODUCT(1+N23:N$30)),SUMPRODUCT(PRODUCT(1+N23:N$29))),4)</f>
        <v>1.0467</v>
      </c>
      <c r="V23" s="3183"/>
      <c r="W23" s="3183">
        <f t="shared" ref="W23:W30" si="22">T23</f>
        <v>1.0144</v>
      </c>
      <c r="X23" s="3181"/>
      <c r="Y23" s="3184"/>
      <c r="Z23" s="3213">
        <f t="shared" ref="Z23:AD30" si="23">IF(E23=0,0,ROUND(AVERAGE(E23:E31)/100,4))</f>
        <v>0</v>
      </c>
      <c r="AA23" s="3215">
        <f t="shared" si="23"/>
        <v>0</v>
      </c>
      <c r="AB23" s="3184">
        <f t="shared" si="23"/>
        <v>0</v>
      </c>
      <c r="AC23" s="3214"/>
      <c r="AD23" s="3184">
        <f t="shared" si="23"/>
        <v>0</v>
      </c>
    </row>
    <row r="24" spans="1:30" s="3196" customFormat="1" ht="12.75">
      <c r="A24" s="3187" t="s">
        <v>3366</v>
      </c>
      <c r="B24" s="3188">
        <v>2022</v>
      </c>
      <c r="C24" s="3189">
        <v>3</v>
      </c>
      <c r="D24" s="3190"/>
      <c r="E24" s="3190">
        <v>0.3</v>
      </c>
      <c r="F24" s="3190">
        <v>0.28999999999999998</v>
      </c>
      <c r="G24" s="3190">
        <v>0.83</v>
      </c>
      <c r="H24" s="3191"/>
      <c r="I24" s="3192">
        <f t="shared" si="19"/>
        <v>0.28999999999999998</v>
      </c>
      <c r="J24" s="3193"/>
      <c r="K24" s="3194"/>
      <c r="L24" s="3195">
        <f t="shared" si="20"/>
        <v>3.0000000000000001E-3</v>
      </c>
      <c r="M24" s="3195">
        <f t="shared" si="20"/>
        <v>2.8999999999999998E-3</v>
      </c>
      <c r="N24" s="3195">
        <f t="shared" si="20"/>
        <v>8.3000000000000001E-3</v>
      </c>
      <c r="O24" s="3195"/>
      <c r="P24" s="3195">
        <f t="shared" si="21"/>
        <v>2.8999999999999998E-3</v>
      </c>
      <c r="Q24" s="3193"/>
      <c r="R24" s="3193"/>
      <c r="S24" s="3193">
        <f>ROUND(IF([2]项目基本情况!$B$8="出让",SUMPRODUCT(PRODUCT(1+L24:L$30)),SUMPRODUCT(PRODUCT(1+L24:L$29))),4)</f>
        <v>1.0241</v>
      </c>
      <c r="T24" s="3193">
        <f>ROUND(IF([2]项目基本情况!$B$8="出让",SUMPRODUCT(PRODUCT(1+M24:M$30)),SUMPRODUCT(PRODUCT(1+M24:M$29))),4)</f>
        <v>1.0144</v>
      </c>
      <c r="U24" s="3193">
        <f>ROUND(IF([2]项目基本情况!$B$8="出让",SUMPRODUCT(PRODUCT(1+N24:N$30)),SUMPRODUCT(PRODUCT(1+N24:N$29))),4)</f>
        <v>1.0467</v>
      </c>
      <c r="V24" s="3193"/>
      <c r="W24" s="3193">
        <f t="shared" si="22"/>
        <v>1.0144</v>
      </c>
      <c r="X24" s="3193"/>
      <c r="Y24" s="3195"/>
      <c r="Z24" s="3216">
        <f t="shared" si="23"/>
        <v>3.8999999999999998E-3</v>
      </c>
      <c r="AA24" s="3217">
        <f t="shared" si="23"/>
        <v>2.7000000000000001E-3</v>
      </c>
      <c r="AB24" s="3195">
        <f t="shared" si="23"/>
        <v>7.9000000000000008E-3</v>
      </c>
      <c r="AC24" s="3218"/>
      <c r="AD24" s="3195">
        <f t="shared" si="23"/>
        <v>2.7000000000000001E-3</v>
      </c>
    </row>
    <row r="25" spans="1:30" s="3185" customFormat="1" ht="12.75">
      <c r="A25" s="3176" t="s">
        <v>3365</v>
      </c>
      <c r="B25" s="3177">
        <v>2022</v>
      </c>
      <c r="C25" s="3178">
        <v>2</v>
      </c>
      <c r="D25" s="3179"/>
      <c r="E25" s="3179">
        <v>-0.11</v>
      </c>
      <c r="F25" s="3179">
        <v>-0.13</v>
      </c>
      <c r="G25" s="3179">
        <v>0.53</v>
      </c>
      <c r="H25" s="3197"/>
      <c r="I25" s="3180">
        <f t="shared" si="19"/>
        <v>-0.13</v>
      </c>
      <c r="J25" s="3181"/>
      <c r="K25" s="3182"/>
      <c r="L25" s="3172">
        <f t="shared" si="20"/>
        <v>-1.1000000000000001E-3</v>
      </c>
      <c r="M25" s="3172">
        <f t="shared" si="20"/>
        <v>-1.2999999999999999E-3</v>
      </c>
      <c r="N25" s="3172">
        <f t="shared" si="20"/>
        <v>5.3E-3</v>
      </c>
      <c r="O25" s="3172"/>
      <c r="P25" s="3172">
        <f t="shared" si="21"/>
        <v>-1.2999999999999999E-3</v>
      </c>
      <c r="Q25" s="3181"/>
      <c r="R25" s="3183"/>
      <c r="S25" s="3183">
        <f>ROUND(IF([2]项目基本情况!$B$8="出让",SUMPRODUCT(PRODUCT(1+L25:L$30)),SUMPRODUCT(PRODUCT(1+L25:L$29))),4)</f>
        <v>1.0210999999999999</v>
      </c>
      <c r="T25" s="3183">
        <f>ROUND(IF([2]项目基本情况!$B$8="出让",SUMPRODUCT(PRODUCT(1+M25:M$30)),SUMPRODUCT(PRODUCT(1+M25:M$29))),4)</f>
        <v>1.0114000000000001</v>
      </c>
      <c r="U25" s="3183">
        <f>ROUND(IF([2]项目基本情况!$B$8="出让",SUMPRODUCT(PRODUCT(1+N25:N$30)),SUMPRODUCT(PRODUCT(1+N25:N$29))),4)</f>
        <v>1.0381</v>
      </c>
      <c r="V25" s="3183"/>
      <c r="W25" s="3183">
        <f t="shared" si="22"/>
        <v>1.0114000000000001</v>
      </c>
      <c r="X25" s="3181"/>
      <c r="Y25" s="3184"/>
      <c r="Z25" s="3213">
        <f t="shared" si="23"/>
        <v>4.1000000000000003E-3</v>
      </c>
      <c r="AA25" s="3215">
        <f t="shared" si="23"/>
        <v>2.7000000000000001E-3</v>
      </c>
      <c r="AB25" s="3184">
        <f t="shared" si="23"/>
        <v>7.9000000000000008E-3</v>
      </c>
      <c r="AC25" s="3214"/>
      <c r="AD25" s="3184">
        <f t="shared" si="23"/>
        <v>2.7000000000000001E-3</v>
      </c>
    </row>
    <row r="26" spans="1:30" s="3185" customFormat="1" ht="12.75">
      <c r="A26" s="3176" t="s">
        <v>2843</v>
      </c>
      <c r="B26" s="3177">
        <v>2022</v>
      </c>
      <c r="C26" s="3178">
        <v>1</v>
      </c>
      <c r="D26" s="3179"/>
      <c r="E26" s="3179">
        <v>0.6</v>
      </c>
      <c r="F26" s="3179">
        <v>0.45</v>
      </c>
      <c r="G26" s="3179">
        <v>0.53</v>
      </c>
      <c r="H26" s="3197"/>
      <c r="I26" s="3180">
        <f t="shared" si="19"/>
        <v>0.45</v>
      </c>
      <c r="J26" s="3181"/>
      <c r="K26" s="3182"/>
      <c r="L26" s="3172">
        <f t="shared" si="20"/>
        <v>6.0000000000000001E-3</v>
      </c>
      <c r="M26" s="3172">
        <f t="shared" si="20"/>
        <v>4.5000000000000005E-3</v>
      </c>
      <c r="N26" s="3172">
        <f t="shared" si="20"/>
        <v>5.3E-3</v>
      </c>
      <c r="O26" s="3172"/>
      <c r="P26" s="3172">
        <f t="shared" si="21"/>
        <v>4.5000000000000005E-3</v>
      </c>
      <c r="Q26" s="3181"/>
      <c r="R26" s="3183"/>
      <c r="S26" s="3183">
        <f>ROUND(IF([2]项目基本情况!$B$8="出让",SUMPRODUCT(PRODUCT(1+L26:L$30)),SUMPRODUCT(PRODUCT(1+L26:L$29))),4)</f>
        <v>1.0222</v>
      </c>
      <c r="T26" s="3183">
        <f>ROUND(IF([2]项目基本情况!$B$8="出让",SUMPRODUCT(PRODUCT(1+M26:M$30)),SUMPRODUCT(PRODUCT(1+M26:M$29))),4)</f>
        <v>1.0127999999999999</v>
      </c>
      <c r="U26" s="3183">
        <f>ROUND(IF([2]项目基本情况!$B$8="出让",SUMPRODUCT(PRODUCT(1+N26:N$30)),SUMPRODUCT(PRODUCT(1+N26:N$29))),4)</f>
        <v>1.0326</v>
      </c>
      <c r="V26" s="3183"/>
      <c r="W26" s="3183">
        <f t="shared" si="22"/>
        <v>1.0127999999999999</v>
      </c>
      <c r="X26" s="3181"/>
      <c r="Y26" s="3184"/>
      <c r="Z26" s="3213">
        <f t="shared" si="23"/>
        <v>5.1000000000000004E-3</v>
      </c>
      <c r="AA26" s="3215">
        <f t="shared" si="23"/>
        <v>3.5000000000000001E-3</v>
      </c>
      <c r="AB26" s="3184">
        <f t="shared" si="23"/>
        <v>8.3999999999999995E-3</v>
      </c>
      <c r="AC26" s="3214"/>
      <c r="AD26" s="3184">
        <f t="shared" si="23"/>
        <v>3.5000000000000001E-3</v>
      </c>
    </row>
    <row r="27" spans="1:30" s="3185" customFormat="1" ht="12.75">
      <c r="A27" s="3176" t="s">
        <v>2844</v>
      </c>
      <c r="B27" s="3177">
        <v>2021</v>
      </c>
      <c r="C27" s="3178">
        <v>4</v>
      </c>
      <c r="D27" s="3179"/>
      <c r="E27" s="3179">
        <v>0.57999999999999996</v>
      </c>
      <c r="F27" s="3179">
        <v>0.08</v>
      </c>
      <c r="G27" s="3179">
        <v>0.68</v>
      </c>
      <c r="H27" s="3197"/>
      <c r="I27" s="3180">
        <f t="shared" si="19"/>
        <v>0.08</v>
      </c>
      <c r="J27" s="3181"/>
      <c r="K27" s="3182"/>
      <c r="L27" s="3172">
        <f t="shared" si="20"/>
        <v>5.7999999999999996E-3</v>
      </c>
      <c r="M27" s="3172">
        <f t="shared" si="20"/>
        <v>8.0000000000000004E-4</v>
      </c>
      <c r="N27" s="3172">
        <f t="shared" si="20"/>
        <v>6.8000000000000005E-3</v>
      </c>
      <c r="O27" s="3172"/>
      <c r="P27" s="3172">
        <f t="shared" si="21"/>
        <v>8.0000000000000004E-4</v>
      </c>
      <c r="Q27" s="3181"/>
      <c r="R27" s="3183"/>
      <c r="S27" s="3183">
        <f>ROUND(IF([2]项目基本情况!$B$8="出让",SUMPRODUCT(PRODUCT(1+L27:L$30)),SUMPRODUCT(PRODUCT(1+L27:L$29))),4)</f>
        <v>1.0161</v>
      </c>
      <c r="T27" s="3183">
        <f>ROUND(IF([2]项目基本情况!$B$8="出让",SUMPRODUCT(PRODUCT(1+M27:M$30)),SUMPRODUCT(PRODUCT(1+M27:M$29))),4)</f>
        <v>1.0082</v>
      </c>
      <c r="U27" s="3183">
        <f>ROUND(IF([2]项目基本情况!$B$8="出让",SUMPRODUCT(PRODUCT(1+N27:N$30)),SUMPRODUCT(PRODUCT(1+N27:N$29))),4)</f>
        <v>1.0270999999999999</v>
      </c>
      <c r="V27" s="3183"/>
      <c r="W27" s="3183">
        <f t="shared" si="22"/>
        <v>1.0082</v>
      </c>
      <c r="X27" s="3181"/>
      <c r="Y27" s="3184"/>
      <c r="Z27" s="3213">
        <f t="shared" si="23"/>
        <v>4.8999999999999998E-3</v>
      </c>
      <c r="AA27" s="3215">
        <f t="shared" si="23"/>
        <v>3.3E-3</v>
      </c>
      <c r="AB27" s="3184">
        <f t="shared" si="23"/>
        <v>9.1999999999999998E-3</v>
      </c>
      <c r="AC27" s="3214"/>
      <c r="AD27" s="3184">
        <f t="shared" si="23"/>
        <v>3.3E-3</v>
      </c>
    </row>
    <row r="28" spans="1:30" s="3185" customFormat="1" ht="12.75">
      <c r="A28" s="3176" t="s">
        <v>2845</v>
      </c>
      <c r="B28" s="3177">
        <v>2021</v>
      </c>
      <c r="C28" s="3178">
        <v>3</v>
      </c>
      <c r="D28" s="3179"/>
      <c r="E28" s="3179">
        <v>0.47</v>
      </c>
      <c r="F28" s="3179">
        <v>0.28000000000000003</v>
      </c>
      <c r="G28" s="3179">
        <v>0.91</v>
      </c>
      <c r="H28" s="3197"/>
      <c r="I28" s="3180">
        <f t="shared" si="19"/>
        <v>0.28000000000000003</v>
      </c>
      <c r="J28" s="3181"/>
      <c r="K28" s="3182"/>
      <c r="L28" s="3172">
        <f t="shared" si="20"/>
        <v>4.6999999999999993E-3</v>
      </c>
      <c r="M28" s="3172">
        <f t="shared" si="20"/>
        <v>2.8000000000000004E-3</v>
      </c>
      <c r="N28" s="3172">
        <f t="shared" si="20"/>
        <v>9.1000000000000004E-3</v>
      </c>
      <c r="O28" s="3172"/>
      <c r="P28" s="3172">
        <f t="shared" si="21"/>
        <v>2.8000000000000004E-3</v>
      </c>
      <c r="Q28" s="3181"/>
      <c r="R28" s="3183"/>
      <c r="S28" s="3183">
        <f>ROUND(IF([2]项目基本情况!$B$8="出让",SUMPRODUCT(PRODUCT(1+L28:L$30)),SUMPRODUCT(PRODUCT(1+L28:L$29))),4)</f>
        <v>1.0102</v>
      </c>
      <c r="T28" s="3183">
        <f>ROUND(IF([2]项目基本情况!$B$8="出让",SUMPRODUCT(PRODUCT(1+M28:M$30)),SUMPRODUCT(PRODUCT(1+M28:M$29))),4)</f>
        <v>1.0074000000000001</v>
      </c>
      <c r="U28" s="3183">
        <f>ROUND(IF([2]项目基本情况!$B$8="出让",SUMPRODUCT(PRODUCT(1+N28:N$30)),SUMPRODUCT(PRODUCT(1+N28:N$29))),4)</f>
        <v>1.0202</v>
      </c>
      <c r="V28" s="3183"/>
      <c r="W28" s="3183">
        <f t="shared" si="22"/>
        <v>1.0074000000000001</v>
      </c>
      <c r="X28" s="3181"/>
      <c r="Y28" s="3184"/>
      <c r="Z28" s="3213">
        <f t="shared" si="23"/>
        <v>4.5999999999999999E-3</v>
      </c>
      <c r="AA28" s="3215">
        <f t="shared" si="23"/>
        <v>4.1000000000000003E-3</v>
      </c>
      <c r="AB28" s="3184">
        <f t="shared" si="23"/>
        <v>0.01</v>
      </c>
      <c r="AC28" s="3214"/>
      <c r="AD28" s="3184">
        <f t="shared" si="23"/>
        <v>4.1000000000000003E-3</v>
      </c>
    </row>
    <row r="29" spans="1:30" s="3185" customFormat="1" ht="12.75">
      <c r="A29" s="3176" t="s">
        <v>2846</v>
      </c>
      <c r="B29" s="3177">
        <v>2021</v>
      </c>
      <c r="C29" s="3178">
        <v>2</v>
      </c>
      <c r="D29" s="3179"/>
      <c r="E29" s="3179">
        <v>0.55000000000000004</v>
      </c>
      <c r="F29" s="3179">
        <v>0.46</v>
      </c>
      <c r="G29" s="3179">
        <v>1.1000000000000001</v>
      </c>
      <c r="H29" s="3197"/>
      <c r="I29" s="3180">
        <f t="shared" si="19"/>
        <v>0.46</v>
      </c>
      <c r="J29" s="3181"/>
      <c r="K29" s="3182"/>
      <c r="L29" s="3172">
        <f t="shared" si="20"/>
        <v>5.5000000000000005E-3</v>
      </c>
      <c r="M29" s="3172">
        <f t="shared" si="20"/>
        <v>4.5999999999999999E-3</v>
      </c>
      <c r="N29" s="3172">
        <f t="shared" si="20"/>
        <v>1.1000000000000001E-2</v>
      </c>
      <c r="O29" s="3172"/>
      <c r="P29" s="3172">
        <f t="shared" si="21"/>
        <v>4.5999999999999999E-3</v>
      </c>
      <c r="Q29" s="3181"/>
      <c r="R29" s="3183"/>
      <c r="S29" s="3183">
        <f>ROUND(IF([2]项目基本情况!$B$8="出让",SUMPRODUCT(PRODUCT(1+L29:L$30)),SUMPRODUCT(PRODUCT(1+L29:L$29))),4)</f>
        <v>1.0055000000000001</v>
      </c>
      <c r="T29" s="3183">
        <f>ROUND(IF([2]项目基本情况!$B$8="出让",SUMPRODUCT(PRODUCT(1+M29:M$30)),SUMPRODUCT(PRODUCT(1+M29:M$29))),4)</f>
        <v>1.0045999999999999</v>
      </c>
      <c r="U29" s="3183">
        <f>ROUND(IF([2]项目基本情况!$B$8="出让",SUMPRODUCT(PRODUCT(1+N29:N$30)),SUMPRODUCT(PRODUCT(1+N29:N$29))),4)</f>
        <v>1.0109999999999999</v>
      </c>
      <c r="V29" s="3183"/>
      <c r="W29" s="3183">
        <f t="shared" si="22"/>
        <v>1.0045999999999999</v>
      </c>
      <c r="X29" s="3181"/>
      <c r="Y29" s="3184"/>
      <c r="Z29" s="3213">
        <f t="shared" si="23"/>
        <v>4.4999999999999997E-3</v>
      </c>
      <c r="AA29" s="3215">
        <f t="shared" si="23"/>
        <v>4.7000000000000002E-3</v>
      </c>
      <c r="AB29" s="3184">
        <f t="shared" si="23"/>
        <v>1.04E-2</v>
      </c>
      <c r="AC29" s="3214"/>
      <c r="AD29" s="3184">
        <f t="shared" si="23"/>
        <v>4.7000000000000002E-3</v>
      </c>
    </row>
    <row r="30" spans="1:30" s="3208" customFormat="1" thickBot="1">
      <c r="A30" s="3198" t="s">
        <v>2829</v>
      </c>
      <c r="B30" s="3199">
        <v>2021</v>
      </c>
      <c r="C30" s="3200">
        <v>1</v>
      </c>
      <c r="D30" s="3201"/>
      <c r="E30" s="3201">
        <v>0.35</v>
      </c>
      <c r="F30" s="3201">
        <v>0.48</v>
      </c>
      <c r="G30" s="3201">
        <v>0.98</v>
      </c>
      <c r="H30" s="3202"/>
      <c r="I30" s="3203">
        <f t="shared" si="19"/>
        <v>0.48</v>
      </c>
      <c r="J30" s="3204"/>
      <c r="K30" s="3205"/>
      <c r="L30" s="3206">
        <f t="shared" si="20"/>
        <v>3.4999999999999996E-3</v>
      </c>
      <c r="M30" s="3206">
        <f>F30/100</f>
        <v>4.7999999999999996E-3</v>
      </c>
      <c r="N30" s="3206">
        <f t="shared" si="20"/>
        <v>9.7999999999999997E-3</v>
      </c>
      <c r="O30" s="3206"/>
      <c r="P30" s="3206">
        <f t="shared" si="21"/>
        <v>4.7999999999999996E-3</v>
      </c>
      <c r="Q30" s="3204"/>
      <c r="R30" s="3207"/>
      <c r="S30" s="3207">
        <v>1</v>
      </c>
      <c r="T30" s="3207">
        <v>1</v>
      </c>
      <c r="U30" s="3207">
        <v>1</v>
      </c>
      <c r="V30" s="3207"/>
      <c r="W30" s="3207">
        <f t="shared" si="22"/>
        <v>1</v>
      </c>
      <c r="X30" s="3204"/>
      <c r="Y30" s="3206"/>
      <c r="Z30" s="3219">
        <f t="shared" si="23"/>
        <v>3.5000000000000001E-3</v>
      </c>
      <c r="AA30" s="3220">
        <f t="shared" si="23"/>
        <v>4.7999999999999996E-3</v>
      </c>
      <c r="AB30" s="3206">
        <f t="shared" si="23"/>
        <v>9.7999999999999997E-3</v>
      </c>
      <c r="AC30" s="3221"/>
      <c r="AD30" s="3206">
        <f t="shared" si="23"/>
        <v>4.7999999999999996E-3</v>
      </c>
    </row>
    <row r="31" spans="1:30" ht="14.25" thickTop="1"/>
  </sheetData>
  <sheetProtection password="CEE9" sheet="1" objects="1" scenarios="1"/>
  <mergeCells count="4">
    <mergeCell ref="R18:W18"/>
    <mergeCell ref="Y18:AD18"/>
    <mergeCell ref="R1:W1"/>
    <mergeCell ref="Y1:AD1"/>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11" t="s">
        <v>452</v>
      </c>
      <c r="C1" s="3811"/>
      <c r="D1" s="3811"/>
      <c r="E1" s="3811"/>
      <c r="F1" s="3811"/>
      <c r="G1" s="3810" t="s">
        <v>453</v>
      </c>
      <c r="H1" s="3810"/>
      <c r="I1" s="3810"/>
      <c r="J1" s="3810"/>
      <c r="K1" s="3810"/>
      <c r="L1" s="3810"/>
      <c r="N1" s="3810" t="s">
        <v>454</v>
      </c>
      <c r="O1" s="3810"/>
      <c r="P1" s="3810"/>
      <c r="Q1" s="3810"/>
      <c r="S1" s="3810" t="s">
        <v>455</v>
      </c>
      <c r="T1" s="3810"/>
      <c r="U1" s="3810"/>
      <c r="V1" s="3810"/>
      <c r="X1" s="3809" t="s">
        <v>456</v>
      </c>
      <c r="Y1" s="3810"/>
      <c r="Z1" s="3810"/>
      <c r="AA1" s="3810"/>
      <c r="AB1" s="3810"/>
      <c r="AD1" s="3809" t="s">
        <v>457</v>
      </c>
      <c r="AE1" s="3810"/>
      <c r="AF1" s="3810"/>
      <c r="AG1" s="3810"/>
      <c r="AH1" s="3810"/>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3374</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7">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3371</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7">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3372</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7">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3373</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7">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07">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07"/>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07"/>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16"/>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12">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07"/>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07"/>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16"/>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12">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07"/>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07"/>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08"/>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06">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07"/>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07"/>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08"/>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06">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07"/>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07"/>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08"/>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13">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14"/>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14"/>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15"/>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06">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07"/>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07"/>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08"/>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06">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07">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07">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08">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06">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07">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07">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08">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06">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07">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07">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08">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06">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07">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07">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08">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06">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07">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07">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08">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06">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07">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07">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08">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06">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07">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07">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08">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06">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07">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07">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08">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06">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07">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07">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08">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06">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07">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07">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08">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I22" sqref="I22"/>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44937</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44795</v>
      </c>
      <c r="D13" s="2822">
        <v>3.65</v>
      </c>
      <c r="E13" s="2822">
        <f>D13</f>
        <v>3.65</v>
      </c>
      <c r="F13" s="2822">
        <f>D13</f>
        <v>3.65</v>
      </c>
      <c r="G13" s="2822">
        <f>D13</f>
        <v>3.65</v>
      </c>
      <c r="H13" s="2822">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44701</v>
      </c>
      <c r="D14" s="2817">
        <v>3.7</v>
      </c>
      <c r="E14" s="2817">
        <f>D14</f>
        <v>3.7</v>
      </c>
      <c r="F14" s="2817">
        <f>D14</f>
        <v>3.7</v>
      </c>
      <c r="G14" s="2817">
        <f>D14</f>
        <v>3.7</v>
      </c>
      <c r="H14" s="2817">
        <v>4.45</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44581</v>
      </c>
      <c r="D15" s="2817">
        <v>3.7</v>
      </c>
      <c r="E15" s="2817">
        <f>D15</f>
        <v>3.7</v>
      </c>
      <c r="F15" s="2817">
        <f>D15</f>
        <v>3.7</v>
      </c>
      <c r="G15" s="2817">
        <f>D15</f>
        <v>3.7</v>
      </c>
      <c r="H15" s="2817">
        <v>4.5999999999999996</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7"/>
      <c r="C16" s="2818">
        <v>44550</v>
      </c>
      <c r="D16" s="2817">
        <v>3.8</v>
      </c>
      <c r="E16" s="2817">
        <f>D16</f>
        <v>3.8</v>
      </c>
      <c r="F16" s="2817">
        <f>D16</f>
        <v>3.8</v>
      </c>
      <c r="G16" s="2817">
        <f>D16</f>
        <v>3.8</v>
      </c>
      <c r="H16" s="2817">
        <v>4.6500000000000004</v>
      </c>
      <c r="I16" s="2817"/>
      <c r="J16" s="2822"/>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43941</v>
      </c>
      <c r="D17" s="2817">
        <v>3.85</v>
      </c>
      <c r="E17" s="2817">
        <v>3.85</v>
      </c>
      <c r="F17" s="2817">
        <v>3.85</v>
      </c>
      <c r="G17" s="2817">
        <v>3.85</v>
      </c>
      <c r="H17" s="2817">
        <v>4.6500000000000004</v>
      </c>
      <c r="I17" s="2817"/>
      <c r="J17" s="2817"/>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43881</v>
      </c>
      <c r="D18" s="2817">
        <v>4.05</v>
      </c>
      <c r="E18" s="2817">
        <v>4.05</v>
      </c>
      <c r="F18" s="2817">
        <v>4.05</v>
      </c>
      <c r="G18" s="2817">
        <v>4.05</v>
      </c>
      <c r="H18" s="2817">
        <v>4.75</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43789</v>
      </c>
      <c r="D19" s="2817">
        <v>4.1500000000000004</v>
      </c>
      <c r="E19" s="2817">
        <v>4.1500000000000004</v>
      </c>
      <c r="F19" s="2817">
        <v>4.1500000000000004</v>
      </c>
      <c r="G19" s="2817">
        <v>4.1500000000000004</v>
      </c>
      <c r="H19" s="2817">
        <v>4.8</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43728</v>
      </c>
      <c r="D20" s="2817">
        <v>4.2</v>
      </c>
      <c r="E20" s="2817">
        <v>4.2</v>
      </c>
      <c r="F20" s="2817">
        <v>4.2</v>
      </c>
      <c r="G20" s="2817">
        <v>4.2</v>
      </c>
      <c r="H20" s="2817">
        <v>4.8499999999999996</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t="s">
        <v>2313</v>
      </c>
      <c r="C21" s="2819">
        <v>43697</v>
      </c>
      <c r="D21" s="2820">
        <v>4.25</v>
      </c>
      <c r="E21" s="2820">
        <v>4.25</v>
      </c>
      <c r="F21" s="2820">
        <v>4.25</v>
      </c>
      <c r="G21" s="2820">
        <v>4.25</v>
      </c>
      <c r="H21" s="2820">
        <v>4.8499999999999996</v>
      </c>
      <c r="I21" s="2820"/>
      <c r="J21" s="2820"/>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3"/>
      <c r="B22" s="2824"/>
      <c r="C22" s="2825">
        <v>42301</v>
      </c>
      <c r="D22" s="2826">
        <v>4.3499999999999996</v>
      </c>
      <c r="E22" s="2826">
        <v>4.3499999999999996</v>
      </c>
      <c r="F22" s="2826">
        <v>4.75</v>
      </c>
      <c r="G22" s="2826">
        <v>4.75</v>
      </c>
      <c r="H22" s="2826">
        <v>4.9000000000000004</v>
      </c>
      <c r="I22" s="2826"/>
      <c r="J22" s="2826"/>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6" workbookViewId="0">
      <selection activeCell="O72" sqref="O72"/>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154</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清单</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基准地价修正</vt:lpstr>
      <vt:lpstr>结果表 (2)</vt:lpstr>
      <vt:lpstr>比较法-办公</vt:lpstr>
      <vt:lpstr>收益法</vt:lpstr>
      <vt:lpstr>收益法(仓储)</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 (2)'!Print_Area</vt:lpstr>
      <vt:lpstr>收益法!Print_Area</vt:lpstr>
      <vt:lpstr>'收益法 (元)'!Print_Area</vt:lpstr>
      <vt:lpstr>'收益法(仓储)'!Print_Area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2023-01-12T06:09:42Z</dcterms:modified>
</cp:coreProperties>
</file>