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金" sheetId="81" r:id="rId16"/>
    <sheet name="结果表" sheetId="9" r:id="rId17"/>
    <sheet name="收益法-地下商业" sheetId="78" r:id="rId18"/>
    <sheet name="收益法-自用地上商业" sheetId="77" r:id="rId19"/>
    <sheet name="收益法-车库" sheetId="15" r:id="rId20"/>
    <sheet name="收益法-出租地上商业" sheetId="79" r:id="rId21"/>
    <sheet name="估价对象房地状况" sheetId="20" r:id="rId22"/>
    <sheet name="系统读取表" sheetId="74" r:id="rId23"/>
    <sheet name="成本法" sheetId="68" r:id="rId24"/>
    <sheet name="成本法 (元)" sheetId="69" state="hidden" r:id="rId25"/>
    <sheet name="假设开发法" sheetId="12" state="hidden"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19">'收益法-车库'!$A$1:$AK$69</definedName>
    <definedName name="_xlnm.Print_Area" localSheetId="20">'收益法-出租地上商业'!$A$1:$AK$69</definedName>
    <definedName name="_xlnm.Print_Area" localSheetId="17">'收益法-地下商业'!$A$1:$AK$69</definedName>
    <definedName name="_xlnm.Print_Area" localSheetId="18">'收益法-自用地上商业'!$A$1:$AK$69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9" i="43" l="1"/>
  <c r="D33" i="43" l="1"/>
  <c r="AH9" i="1"/>
  <c r="G21" i="6"/>
  <c r="G22" i="6"/>
  <c r="F70" i="79"/>
  <c r="F52" i="79"/>
  <c r="F70" i="77"/>
  <c r="AD6" i="1"/>
  <c r="E11" i="81"/>
  <c r="G9" i="81"/>
  <c r="G10" i="81"/>
  <c r="G11" i="81"/>
  <c r="U8" i="1" s="1"/>
  <c r="G8" i="81"/>
  <c r="F19" i="6"/>
  <c r="E12" i="81"/>
  <c r="D12" i="81"/>
  <c r="E8" i="81"/>
  <c r="E9" i="81"/>
  <c r="E10" i="81"/>
  <c r="E7" i="81"/>
  <c r="P74" i="79"/>
  <c r="Q72" i="79"/>
  <c r="Q59" i="79"/>
  <c r="K59" i="79"/>
  <c r="P61" i="79" s="1"/>
  <c r="F59" i="79"/>
  <c r="Q58" i="79"/>
  <c r="Q51" i="79"/>
  <c r="J50" i="79"/>
  <c r="J51" i="79" s="1"/>
  <c r="M47" i="79"/>
  <c r="D46" i="79"/>
  <c r="F33" i="79"/>
  <c r="F61" i="79" s="1"/>
  <c r="F31" i="79"/>
  <c r="F23" i="79"/>
  <c r="D24" i="79" s="1"/>
  <c r="D23" i="79"/>
  <c r="D22" i="79"/>
  <c r="F21" i="79"/>
  <c r="F20" i="79"/>
  <c r="M19" i="79"/>
  <c r="F18" i="79"/>
  <c r="M17" i="79"/>
  <c r="F17" i="79"/>
  <c r="F15" i="79"/>
  <c r="G1" i="79"/>
  <c r="Q72" i="78"/>
  <c r="Q59" i="78"/>
  <c r="K59" i="78"/>
  <c r="P74" i="78" s="1"/>
  <c r="F59" i="78"/>
  <c r="Q58" i="78"/>
  <c r="Q51" i="78"/>
  <c r="J50" i="78"/>
  <c r="M47" i="78"/>
  <c r="D46" i="78"/>
  <c r="F33" i="78"/>
  <c r="F61" i="78" s="1"/>
  <c r="F31" i="78"/>
  <c r="F23" i="78"/>
  <c r="D23" i="78" s="1"/>
  <c r="F21" i="78"/>
  <c r="F20" i="78"/>
  <c r="M19" i="78"/>
  <c r="F18" i="78"/>
  <c r="M17" i="78"/>
  <c r="F17" i="78"/>
  <c r="F15" i="78"/>
  <c r="P74" i="77"/>
  <c r="Q72" i="77"/>
  <c r="Q59" i="77"/>
  <c r="K59" i="77"/>
  <c r="P61" i="77" s="1"/>
  <c r="F59" i="77"/>
  <c r="Q58" i="77"/>
  <c r="Q51" i="77"/>
  <c r="J50" i="77"/>
  <c r="J51" i="77" s="1"/>
  <c r="M47" i="77"/>
  <c r="D46" i="77"/>
  <c r="F33" i="77"/>
  <c r="F61" i="77" s="1"/>
  <c r="F31" i="77"/>
  <c r="F23" i="77"/>
  <c r="D24" i="77" s="1"/>
  <c r="D22" i="77"/>
  <c r="F21" i="77"/>
  <c r="F20" i="77"/>
  <c r="M19" i="77"/>
  <c r="F18" i="77"/>
  <c r="M17" i="77"/>
  <c r="F17" i="77"/>
  <c r="F15" i="77"/>
  <c r="G1" i="77"/>
  <c r="U6" i="1"/>
  <c r="N7" i="1"/>
  <c r="N8" i="1"/>
  <c r="N9" i="1"/>
  <c r="N6" i="1"/>
  <c r="F20" i="6"/>
  <c r="U3" i="43"/>
  <c r="U4" i="43"/>
  <c r="U5" i="43"/>
  <c r="U2" i="43"/>
  <c r="D29" i="43"/>
  <c r="F8" i="79"/>
  <c r="F9" i="79"/>
  <c r="F9" i="77"/>
  <c r="C76" i="79"/>
  <c r="C76" i="77"/>
  <c r="F8" i="77"/>
  <c r="J7" i="81" l="1"/>
  <c r="U7" i="1" s="1"/>
  <c r="F49" i="77" s="1"/>
  <c r="D23" i="77"/>
  <c r="Q71" i="79"/>
  <c r="F51" i="79"/>
  <c r="D24" i="78"/>
  <c r="P61" i="78"/>
  <c r="D22" i="78"/>
  <c r="J51" i="78"/>
  <c r="Q71" i="77"/>
  <c r="F51" i="77"/>
  <c r="J53" i="77"/>
  <c r="F6" i="79"/>
  <c r="F26" i="79"/>
  <c r="M24" i="79"/>
  <c r="M9" i="79"/>
  <c r="F37" i="79"/>
  <c r="F6" i="77"/>
  <c r="F26" i="77"/>
  <c r="F16" i="77"/>
  <c r="M8" i="79"/>
  <c r="F36" i="79"/>
  <c r="F40" i="79"/>
  <c r="M26" i="79"/>
  <c r="L47" i="79"/>
  <c r="J15" i="77"/>
  <c r="M28" i="77"/>
  <c r="M9" i="77"/>
  <c r="F37" i="77"/>
  <c r="L48" i="77"/>
  <c r="M6" i="77"/>
  <c r="M22" i="77"/>
  <c r="F13" i="79"/>
  <c r="F38" i="79"/>
  <c r="L48" i="79"/>
  <c r="M23" i="79"/>
  <c r="F42" i="79"/>
  <c r="F13" i="77"/>
  <c r="F42" i="77"/>
  <c r="F40" i="77"/>
  <c r="J15" i="79"/>
  <c r="M22" i="79"/>
  <c r="F16" i="79"/>
  <c r="M28" i="79"/>
  <c r="M8" i="77"/>
  <c r="F36" i="77"/>
  <c r="L47" i="77"/>
  <c r="M23" i="77"/>
  <c r="M24" i="77"/>
  <c r="F38" i="77"/>
  <c r="M26" i="77"/>
  <c r="F49" i="79" l="1"/>
  <c r="Z6" i="1"/>
  <c r="J53" i="79"/>
  <c r="F1" i="79" s="1"/>
  <c r="N59" i="79"/>
  <c r="L59" i="79"/>
  <c r="L58" i="79"/>
  <c r="F65" i="79"/>
  <c r="L56" i="79"/>
  <c r="I54" i="79"/>
  <c r="J57" i="79"/>
  <c r="J55" i="79" s="1"/>
  <c r="J58" i="79" s="1"/>
  <c r="Q50" i="79" s="1"/>
  <c r="F68" i="79"/>
  <c r="F66" i="79"/>
  <c r="F64" i="79"/>
  <c r="C27" i="79"/>
  <c r="L56" i="77"/>
  <c r="I54" i="77"/>
  <c r="J57" i="77"/>
  <c r="J55" i="77" s="1"/>
  <c r="J58" i="77" s="1"/>
  <c r="Q50" i="77" s="1"/>
  <c r="F68" i="77"/>
  <c r="F65" i="77"/>
  <c r="N59" i="77"/>
  <c r="L59" i="77"/>
  <c r="L58" i="77"/>
  <c r="F66" i="77"/>
  <c r="F64" i="77"/>
  <c r="C27" i="77"/>
  <c r="F1" i="77"/>
  <c r="Q52" i="77"/>
  <c r="M6" i="79"/>
  <c r="Q52" i="79" l="1"/>
  <c r="Q61" i="79"/>
  <c r="Q74" i="79"/>
  <c r="Q60" i="79"/>
  <c r="Q73" i="79"/>
  <c r="Q60" i="77"/>
  <c r="Q73" i="77"/>
  <c r="Q61" i="77"/>
  <c r="Q74" i="77"/>
  <c r="D3" i="4"/>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B7" i="76"/>
  <c r="B13" i="76"/>
  <c r="B11" i="76"/>
  <c r="B10" i="76"/>
  <c r="E10" i="76"/>
  <c r="E9" i="76"/>
  <c r="E11" i="76"/>
  <c r="B12" i="76"/>
  <c r="E13" i="76"/>
  <c r="E8" i="76"/>
  <c r="E7" i="76"/>
  <c r="B9" i="76"/>
  <c r="B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5" i="73"/>
  <c r="F3" i="73"/>
  <c r="F6" i="73"/>
  <c r="F4" i="73"/>
  <c r="D5" i="73"/>
  <c r="D6" i="73"/>
  <c r="I1" i="73" l="1"/>
  <c r="B39" i="1" s="1"/>
  <c r="D4" i="73"/>
  <c r="D7" i="73"/>
  <c r="F11" i="79" l="1"/>
  <c r="M11" i="79"/>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1" i="1"/>
  <c r="AE12" i="1"/>
  <c r="AE13" i="1"/>
  <c r="M47" i="15"/>
  <c r="AG7"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A10" i="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J30" i="40" s="1"/>
  <c r="AC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F41" i="79"/>
  <c r="B8" i="1" l="1"/>
  <c r="E8" i="1" s="1"/>
  <c r="G1" i="78"/>
  <c r="C5" i="11"/>
  <c r="M9" i="1"/>
  <c r="O9" i="1" s="1"/>
  <c r="P9" i="1" s="1"/>
  <c r="M8" i="1"/>
  <c r="M20" i="15"/>
  <c r="F34" i="79"/>
  <c r="F62" i="79" s="1"/>
  <c r="F34" i="78"/>
  <c r="F62" i="78" s="1"/>
  <c r="F34" i="77"/>
  <c r="F62" i="77" s="1"/>
  <c r="M20" i="77"/>
  <c r="M20" i="79"/>
  <c r="M20" i="78"/>
  <c r="M59" i="79"/>
  <c r="M59" i="77"/>
  <c r="F69" i="79"/>
  <c r="K10" i="1"/>
  <c r="G20" i="43"/>
  <c r="C20" i="43" s="1"/>
  <c r="C25" i="39"/>
  <c r="BA18" i="3"/>
  <c r="AZ18" i="3" s="1"/>
  <c r="BL15" i="3"/>
  <c r="AZ15" i="3" s="1"/>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78" i="43"/>
  <c r="H70" i="43"/>
  <c r="H71" i="43"/>
  <c r="C17" i="43"/>
  <c r="F33" i="43"/>
  <c r="G17" i="43"/>
  <c r="F34" i="43"/>
  <c r="M7" i="43"/>
  <c r="N6" i="43"/>
  <c r="F48" i="43" s="1"/>
  <c r="H54"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78"/>
  <c r="M23" i="78"/>
  <c r="L47" i="78"/>
  <c r="F38" i="78"/>
  <c r="F13" i="78"/>
  <c r="F43" i="78"/>
  <c r="F43" i="79"/>
  <c r="F7" i="77"/>
  <c r="F36" i="67"/>
  <c r="L48" i="15"/>
  <c r="F37" i="15"/>
  <c r="F9" i="67"/>
  <c r="F26" i="67"/>
  <c r="F6" i="15"/>
  <c r="M29" i="15"/>
  <c r="F16" i="15"/>
  <c r="M29" i="67"/>
  <c r="F26" i="15"/>
  <c r="F8" i="67"/>
  <c r="F40" i="15"/>
  <c r="L47" i="15"/>
  <c r="M23" i="15"/>
  <c r="F13" i="15"/>
  <c r="G1" i="73"/>
  <c r="M24" i="78"/>
  <c r="F26" i="78"/>
  <c r="M6" i="78"/>
  <c r="F9" i="78"/>
  <c r="J15" i="78"/>
  <c r="C76" i="78"/>
  <c r="M29" i="79"/>
  <c r="M29" i="77"/>
  <c r="F43" i="67"/>
  <c r="M24" i="67"/>
  <c r="M6" i="67"/>
  <c r="M8" i="15"/>
  <c r="F6" i="67"/>
  <c r="J15" i="15"/>
  <c r="F40" i="67"/>
  <c r="F8" i="15"/>
  <c r="F38" i="15"/>
  <c r="F9" i="15"/>
  <c r="F37" i="78"/>
  <c r="M9" i="78"/>
  <c r="M28" i="78"/>
  <c r="M26" i="78"/>
  <c r="M29" i="78"/>
  <c r="F43" i="77"/>
  <c r="M9" i="15"/>
  <c r="F42" i="67"/>
  <c r="L47" i="67"/>
  <c r="M9" i="67"/>
  <c r="M22" i="15"/>
  <c r="F37" i="67"/>
  <c r="M23" i="67"/>
  <c r="M26" i="67"/>
  <c r="F38" i="67"/>
  <c r="L48" i="78"/>
  <c r="F16" i="78"/>
  <c r="F36" i="78"/>
  <c r="F7" i="78"/>
  <c r="M24" i="15"/>
  <c r="J15" i="67"/>
  <c r="F7" i="15"/>
  <c r="L48" i="67"/>
  <c r="M8" i="67"/>
  <c r="M22" i="67"/>
  <c r="F40" i="78"/>
  <c r="F6" i="78"/>
  <c r="F36" i="15"/>
  <c r="M28" i="67"/>
  <c r="M6" i="15"/>
  <c r="F43" i="15"/>
  <c r="F13" i="67"/>
  <c r="F16" i="67"/>
  <c r="C76" i="15"/>
  <c r="F8" i="78"/>
  <c r="F42" i="78"/>
  <c r="M8" i="78"/>
  <c r="F7" i="79"/>
  <c r="M28" i="15"/>
  <c r="C76" i="67"/>
  <c r="F7" i="67"/>
  <c r="M26" i="15"/>
  <c r="F42" i="15"/>
  <c r="Q71" i="78" l="1"/>
  <c r="F64" i="78"/>
  <c r="F66" i="78"/>
  <c r="L59" i="78"/>
  <c r="N59" i="78"/>
  <c r="L58" i="78"/>
  <c r="M59" i="78"/>
  <c r="C27" i="78"/>
  <c r="F65" i="78"/>
  <c r="F51" i="78"/>
  <c r="F68" i="78"/>
  <c r="J53" i="78"/>
  <c r="L56" i="78"/>
  <c r="I54" i="78"/>
  <c r="J57" i="78"/>
  <c r="J55" i="78" s="1"/>
  <c r="J58" i="78" s="1"/>
  <c r="Q50" i="78" s="1"/>
  <c r="C10" i="78"/>
  <c r="C10" i="79"/>
  <c r="F50" i="77"/>
  <c r="M7" i="77"/>
  <c r="C6" i="77"/>
  <c r="C10" i="77"/>
  <c r="F71" i="77"/>
  <c r="M7" i="79"/>
  <c r="F50" i="79"/>
  <c r="C6" i="79"/>
  <c r="F71" i="79"/>
  <c r="F50" i="78"/>
  <c r="C6" i="78"/>
  <c r="C5" i="78" s="1"/>
  <c r="C38" i="78" s="1"/>
  <c r="M7" i="78"/>
  <c r="F71" i="78"/>
  <c r="M10" i="1"/>
  <c r="O10" i="1" s="1"/>
  <c r="M11" i="1"/>
  <c r="F53" i="9"/>
  <c r="F32" i="79"/>
  <c r="F28" i="79"/>
  <c r="C28" i="79" s="1"/>
  <c r="F32" i="78"/>
  <c r="F28" i="78"/>
  <c r="C28" i="78" s="1"/>
  <c r="M18" i="78"/>
  <c r="M18" i="79"/>
  <c r="F32" i="77"/>
  <c r="F28" i="77"/>
  <c r="C28" i="77" s="1"/>
  <c r="M18" i="77"/>
  <c r="H51" i="43"/>
  <c r="H52" i="43"/>
  <c r="H49" i="43"/>
  <c r="H50" i="43"/>
  <c r="H48" i="43"/>
  <c r="H53" i="43"/>
  <c r="D22" i="43"/>
  <c r="E4" i="4"/>
  <c r="B5" i="62" s="1"/>
  <c r="B73" i="72" s="1"/>
  <c r="C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31" i="67"/>
  <c r="F59" i="67"/>
  <c r="F31" i="15"/>
  <c r="F59" i="15"/>
  <c r="C16" i="77"/>
  <c r="C17" i="79"/>
  <c r="C16" i="78"/>
  <c r="C17" i="15"/>
  <c r="C16" i="15"/>
  <c r="C16" i="79"/>
  <c r="C16" i="67"/>
  <c r="C17" i="77"/>
  <c r="M19" i="6" l="1"/>
  <c r="Q52" i="78"/>
  <c r="F1" i="78"/>
  <c r="Q60" i="78"/>
  <c r="Q73" i="78"/>
  <c r="Q61" i="78"/>
  <c r="Q74" i="78"/>
  <c r="K16" i="1"/>
  <c r="B29" i="1" s="1"/>
  <c r="C8" i="68" s="1"/>
  <c r="C49" i="78"/>
  <c r="C53" i="78"/>
  <c r="C49" i="79"/>
  <c r="C53" i="79"/>
  <c r="C5" i="79"/>
  <c r="C38" i="79" s="1"/>
  <c r="C49" i="77"/>
  <c r="C53" i="77"/>
  <c r="AQ6" i="1"/>
  <c r="O6" i="1"/>
  <c r="P6" i="1" s="1"/>
  <c r="O11" i="1"/>
  <c r="P11" i="1" s="1"/>
  <c r="J6" i="78"/>
  <c r="J10" i="78"/>
  <c r="C5" i="77"/>
  <c r="C38" i="77" s="1"/>
  <c r="J6" i="77"/>
  <c r="J10" i="77"/>
  <c r="J6" i="79"/>
  <c r="J10" i="79"/>
  <c r="F60" i="78"/>
  <c r="C32" i="78"/>
  <c r="F60" i="79"/>
  <c r="C32" i="79"/>
  <c r="F60" i="77"/>
  <c r="C32" i="77"/>
  <c r="F24" i="79"/>
  <c r="C24" i="79" s="1"/>
  <c r="F24" i="77"/>
  <c r="F24" i="78"/>
  <c r="C24" i="77"/>
  <c r="M22" i="6"/>
  <c r="I22" i="6" s="1"/>
  <c r="S22" i="6" s="1"/>
  <c r="S9" i="1"/>
  <c r="M21" i="6"/>
  <c r="I21" i="6" s="1"/>
  <c r="S21" i="6" s="1"/>
  <c r="S8" i="1"/>
  <c r="M23" i="6"/>
  <c r="I23" i="6" s="1"/>
  <c r="S23" i="6" s="1"/>
  <c r="S10" i="1"/>
  <c r="E10" i="70" s="1"/>
  <c r="E3" i="6"/>
  <c r="D3" i="34" s="1"/>
  <c r="K4" i="4"/>
  <c r="B46" i="48" s="1"/>
  <c r="B4" i="72" s="1"/>
  <c r="B4" i="62"/>
  <c r="B71" i="72" s="1"/>
  <c r="T7" i="1"/>
  <c r="AR7" i="1"/>
  <c r="L59" i="15"/>
  <c r="Q74" i="15" s="1"/>
  <c r="C30" i="11"/>
  <c r="E6" i="70"/>
  <c r="K27" i="6"/>
  <c r="A18" i="62"/>
  <c r="B64" i="72" s="1"/>
  <c r="B14" i="74"/>
  <c r="B1" i="74"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AE10" i="1"/>
  <c r="C17" i="78"/>
  <c r="AE9" i="1"/>
  <c r="C14" i="77"/>
  <c r="C14" i="79"/>
  <c r="C18" i="79" l="1"/>
  <c r="C15" i="79"/>
  <c r="E8" i="70"/>
  <c r="E9" i="70"/>
  <c r="C48" i="78"/>
  <c r="C66" i="78" s="1"/>
  <c r="C48" i="79"/>
  <c r="C66" i="79" s="1"/>
  <c r="C48" i="77"/>
  <c r="C66" i="77" s="1"/>
  <c r="J5" i="79"/>
  <c r="J18" i="79" s="1"/>
  <c r="J5" i="77"/>
  <c r="J18" i="77" s="1"/>
  <c r="C15" i="77"/>
  <c r="C18" i="77"/>
  <c r="J5" i="78"/>
  <c r="W5" i="43"/>
  <c r="C24" i="78"/>
  <c r="AQ10" i="1"/>
  <c r="AR10" i="1"/>
  <c r="T10" i="1"/>
  <c r="AQ8" i="1"/>
  <c r="AR8" i="1"/>
  <c r="T8" i="1"/>
  <c r="AR9" i="1"/>
  <c r="AQ9" i="1"/>
  <c r="T9" i="1"/>
  <c r="G39" i="43"/>
  <c r="I39" i="43"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C6" i="68" l="1"/>
  <c r="C7" i="68" s="1"/>
  <c r="C5" i="68" s="1"/>
  <c r="C23" i="68" s="1"/>
  <c r="C19" i="79"/>
  <c r="C20" i="79" s="1"/>
  <c r="C26" i="79" s="1"/>
  <c r="C18" i="78"/>
  <c r="C15" i="78"/>
  <c r="C60" i="78"/>
  <c r="C60" i="79"/>
  <c r="C60" i="77"/>
  <c r="J24" i="79"/>
  <c r="C19" i="77"/>
  <c r="C20" i="77" s="1"/>
  <c r="C26" i="77" s="1"/>
  <c r="J24" i="77"/>
  <c r="R20" i="6"/>
  <c r="R7" i="1" s="1"/>
  <c r="J24" i="78"/>
  <c r="J18" i="78"/>
  <c r="C34" i="11"/>
  <c r="C35" i="11" s="1"/>
  <c r="C36" i="11"/>
  <c r="J24" i="67"/>
  <c r="J18" i="67"/>
  <c r="J24" i="15"/>
  <c r="J18" i="15"/>
  <c r="G36" i="36"/>
  <c r="R37" i="36"/>
  <c r="AB7" i="34"/>
  <c r="T49" i="34" s="1"/>
  <c r="G49" i="34" s="1"/>
  <c r="G53" i="34" s="1"/>
  <c r="H53" i="34" s="1"/>
  <c r="W7" i="21"/>
  <c r="AA7" i="21"/>
  <c r="R48" i="21" s="1"/>
  <c r="E48" i="21" s="1"/>
  <c r="E52" i="21" s="1"/>
  <c r="F52" i="21" s="1"/>
  <c r="R26" i="6"/>
  <c r="R23" i="6"/>
  <c r="R10" i="1" s="1"/>
  <c r="R24" i="6"/>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8"/>
  <c r="F35" i="78"/>
  <c r="E6" i="76"/>
  <c r="C19" i="78" l="1"/>
  <c r="C20" i="78" s="1"/>
  <c r="C26" i="78" s="1"/>
  <c r="C23" i="79"/>
  <c r="C29" i="79" s="1"/>
  <c r="C34" i="78"/>
  <c r="F63" i="78"/>
  <c r="C62" i="78" s="1"/>
  <c r="J20" i="78"/>
  <c r="C23" i="77"/>
  <c r="C29" i="77" s="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77"/>
  <c r="B6" i="76"/>
  <c r="F35" i="77"/>
  <c r="F35" i="79"/>
  <c r="M21" i="79"/>
  <c r="M21" i="67"/>
  <c r="F35" i="15"/>
  <c r="M21" i="15"/>
  <c r="C23" i="78" l="1"/>
  <c r="C29" i="78" s="1"/>
  <c r="C36" i="78" s="1"/>
  <c r="C57" i="79"/>
  <c r="J19" i="79"/>
  <c r="C13" i="79"/>
  <c r="C33" i="79"/>
  <c r="C36" i="79"/>
  <c r="J14" i="79"/>
  <c r="Q49" i="79"/>
  <c r="J59" i="79"/>
  <c r="J60" i="79" s="1"/>
  <c r="C34" i="79"/>
  <c r="F63" i="79"/>
  <c r="C62" i="79" s="1"/>
  <c r="J20" i="79"/>
  <c r="C36" i="77"/>
  <c r="J59" i="77"/>
  <c r="J60" i="77" s="1"/>
  <c r="C33" i="77"/>
  <c r="Q49" i="77"/>
  <c r="C57" i="77"/>
  <c r="J14" i="77"/>
  <c r="J13" i="77" s="1"/>
  <c r="J23" i="77" s="1"/>
  <c r="J19" i="77"/>
  <c r="C13" i="77"/>
  <c r="C75" i="77" s="1"/>
  <c r="C34" i="77"/>
  <c r="F63" i="77"/>
  <c r="C62" i="77" s="1"/>
  <c r="J20"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17" i="77" l="1"/>
  <c r="C33" i="78"/>
  <c r="C31" i="78" s="1"/>
  <c r="Q49" i="78"/>
  <c r="J59" i="78"/>
  <c r="J60" i="78" s="1"/>
  <c r="Q48" i="78" s="1"/>
  <c r="J14" i="78"/>
  <c r="J19" i="78"/>
  <c r="J17" i="78" s="1"/>
  <c r="C13" i="78"/>
  <c r="C57" i="78"/>
  <c r="J17" i="79"/>
  <c r="C31" i="79"/>
  <c r="Q48" i="79"/>
  <c r="L46" i="79"/>
  <c r="J22" i="79"/>
  <c r="J13" i="79"/>
  <c r="J23" i="79" s="1"/>
  <c r="C75" i="79"/>
  <c r="C37" i="79"/>
  <c r="Q70" i="79"/>
  <c r="C56" i="79"/>
  <c r="C65" i="79" s="1"/>
  <c r="C64" i="79"/>
  <c r="C61" i="79"/>
  <c r="C59" i="79" s="1"/>
  <c r="C31" i="77"/>
  <c r="Q48" i="77"/>
  <c r="L46" i="77"/>
  <c r="C37" i="77"/>
  <c r="C64" i="77"/>
  <c r="C61" i="77"/>
  <c r="C59" i="77" s="1"/>
  <c r="C56" i="77"/>
  <c r="C65" i="77" s="1"/>
  <c r="J22" i="77"/>
  <c r="Q70" i="77"/>
  <c r="L57" i="79"/>
  <c r="L60" i="79" s="1"/>
  <c r="L57" i="77"/>
  <c r="L60" i="77" s="1"/>
  <c r="C25" i="68"/>
  <c r="C22" i="68" s="1"/>
  <c r="C31" i="68" s="1"/>
  <c r="C27" i="12"/>
  <c r="C25" i="12" s="1"/>
  <c r="C32" i="12" s="1"/>
  <c r="B2" i="12" s="1"/>
  <c r="B3" i="12" s="1"/>
  <c r="C39" i="68"/>
  <c r="C43" i="68" s="1"/>
  <c r="C42" i="68"/>
  <c r="J63" i="40"/>
  <c r="I65" i="40"/>
  <c r="C46" i="11"/>
  <c r="C45" i="11" s="1"/>
  <c r="C49" i="11" s="1"/>
  <c r="C51" i="11" s="1"/>
  <c r="C52" i="11" s="1"/>
  <c r="B2" i="11" s="1"/>
  <c r="B3" i="11" s="1"/>
  <c r="J70" i="39"/>
  <c r="C75" i="78" l="1"/>
  <c r="C80" i="78" s="1"/>
  <c r="C79" i="78" s="1"/>
  <c r="J16" i="77"/>
  <c r="J25" i="77" s="1"/>
  <c r="L46" i="78"/>
  <c r="Q70" i="78"/>
  <c r="C37" i="78"/>
  <c r="C30" i="78" s="1"/>
  <c r="C39" i="78" s="1"/>
  <c r="C56" i="78"/>
  <c r="C65" i="78" s="1"/>
  <c r="C61" i="78"/>
  <c r="C59" i="78" s="1"/>
  <c r="C64" i="78"/>
  <c r="J22" i="78"/>
  <c r="J13" i="78"/>
  <c r="J23" i="78" s="1"/>
  <c r="C30" i="79"/>
  <c r="C39" i="79" s="1"/>
  <c r="C40" i="79" s="1"/>
  <c r="J16" i="79"/>
  <c r="J25" i="79" s="1"/>
  <c r="C58" i="79"/>
  <c r="C67" i="79" s="1"/>
  <c r="C68" i="79" s="1"/>
  <c r="C30" i="77"/>
  <c r="C39" i="77" s="1"/>
  <c r="Q69" i="77" s="1"/>
  <c r="Q68" i="77" s="1"/>
  <c r="C58" i="77"/>
  <c r="C67" i="77" s="1"/>
  <c r="Q66" i="79"/>
  <c r="Q57" i="79"/>
  <c r="L57" i="78"/>
  <c r="L60" i="78" s="1"/>
  <c r="Q66" i="77"/>
  <c r="Q57" i="77"/>
  <c r="C41" i="68"/>
  <c r="C46" i="68"/>
  <c r="C45" i="68" s="1"/>
  <c r="K63" i="40"/>
  <c r="J65" i="40"/>
  <c r="K70" i="39"/>
  <c r="C56" i="11"/>
  <c r="C57" i="11" s="1"/>
  <c r="L51" i="78"/>
  <c r="L51" i="77"/>
  <c r="L51" i="79"/>
  <c r="J16" i="78" l="1"/>
  <c r="J25" i="78" s="1"/>
  <c r="Q67" i="78"/>
  <c r="C58" i="78"/>
  <c r="C67" i="78" s="1"/>
  <c r="Q69" i="78"/>
  <c r="Q68" i="78" s="1"/>
  <c r="C80" i="79"/>
  <c r="C79" i="79" s="1"/>
  <c r="C43" i="79"/>
  <c r="C83" i="79"/>
  <c r="C82" i="79" s="1"/>
  <c r="Q69" i="79"/>
  <c r="Q68" i="79" s="1"/>
  <c r="Q67" i="79"/>
  <c r="C71" i="79"/>
  <c r="C46" i="79"/>
  <c r="Q67" i="77"/>
  <c r="C80" i="77"/>
  <c r="C79" i="77" s="1"/>
  <c r="Q66" i="78"/>
  <c r="Q57" i="78"/>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7"/>
  <c r="F69" i="77" l="1"/>
  <c r="C68" i="77" s="1"/>
  <c r="C46" i="77" s="1"/>
  <c r="C40" i="77"/>
  <c r="C43" i="77"/>
  <c r="C83" i="77"/>
  <c r="C82" i="77" s="1"/>
  <c r="Q66" i="67"/>
  <c r="Q57" i="67"/>
  <c r="C58" i="67"/>
  <c r="C67" i="67" s="1"/>
  <c r="C19" i="15"/>
  <c r="C71" i="77" l="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I34" i="78"/>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M27" i="15"/>
  <c r="F41" i="78"/>
  <c r="M27" i="77"/>
  <c r="F41" i="15"/>
  <c r="M27" i="79"/>
  <c r="F41" i="67"/>
  <c r="M27" i="78"/>
  <c r="M27" i="67"/>
  <c r="F69" i="78" l="1"/>
  <c r="C68" i="78" s="1"/>
  <c r="C71" i="78" s="1"/>
  <c r="C40" i="78"/>
  <c r="C43" i="78" s="1"/>
  <c r="C83" i="78"/>
  <c r="C82" i="78" s="1"/>
  <c r="J26" i="78"/>
  <c r="J29" i="78" s="1"/>
  <c r="J26" i="79"/>
  <c r="J29" i="79" s="1"/>
  <c r="J26" i="77"/>
  <c r="J29" i="77" s="1"/>
  <c r="J26" i="15"/>
  <c r="J29" i="15" s="1"/>
  <c r="J26" i="67"/>
  <c r="J29" i="67" s="1"/>
  <c r="C58" i="15"/>
  <c r="C67" i="15" s="1"/>
  <c r="F69" i="15"/>
  <c r="C40" i="15"/>
  <c r="C43" i="15" s="1"/>
  <c r="L46" i="15"/>
  <c r="Q57" i="15"/>
  <c r="Q66" i="15"/>
  <c r="F69" i="67"/>
  <c r="C68" i="67" s="1"/>
  <c r="C71" i="67" s="1"/>
  <c r="C40" i="67"/>
  <c r="C83" i="67" s="1"/>
  <c r="C82" i="67" s="1"/>
  <c r="C46" i="78" l="1"/>
  <c r="Q47" i="78"/>
  <c r="Q53" i="78" s="1"/>
  <c r="Q65" i="78"/>
  <c r="Q75" i="78" s="1"/>
  <c r="B2" i="78"/>
  <c r="B3" i="78" s="1"/>
  <c r="Q56" i="78"/>
  <c r="Q62" i="78" s="1"/>
  <c r="Q47" i="79"/>
  <c r="Q53" i="79" s="1"/>
  <c r="Q65" i="79"/>
  <c r="Q75" i="79" s="1"/>
  <c r="B2" i="79"/>
  <c r="B3" i="79" s="1"/>
  <c r="Q56" i="79"/>
  <c r="Q62" i="79" s="1"/>
  <c r="B2" i="77"/>
  <c r="B3" i="77" s="1"/>
  <c r="Q56" i="77"/>
  <c r="Q62" i="77" s="1"/>
  <c r="Q65" i="77"/>
  <c r="Q75" i="77" s="1"/>
  <c r="Q47" i="77"/>
  <c r="Q53"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AO10" i="1"/>
  <c r="AO8" i="1"/>
  <c r="E2" i="69"/>
  <c r="AO7" i="1"/>
  <c r="AO9" i="1"/>
  <c r="AO6" i="1"/>
  <c r="B9" i="70" l="1"/>
  <c r="B10" i="70"/>
  <c r="B3" i="15"/>
  <c r="B8" i="70"/>
  <c r="B7" i="70"/>
  <c r="B6" i="70"/>
  <c r="C46" i="15"/>
  <c r="B2" i="69"/>
  <c r="B3" i="69" s="1"/>
  <c r="B3" i="67"/>
  <c r="D2" i="34"/>
  <c r="E2" i="68"/>
  <c r="D2" i="33"/>
  <c r="D2" i="37"/>
  <c r="D2" i="35"/>
  <c r="D2" i="36"/>
  <c r="F20" i="31"/>
  <c r="D2" i="21"/>
  <c r="B2" i="68" l="1"/>
  <c r="B20" i="31"/>
  <c r="B2" i="36"/>
  <c r="B3" i="36" s="1"/>
  <c r="B2" i="35"/>
  <c r="B3" i="35" s="1"/>
  <c r="B2" i="37"/>
  <c r="B3" i="37" s="1"/>
  <c r="B2" i="34"/>
  <c r="B3" i="34" s="1"/>
  <c r="B2" i="21"/>
  <c r="B3" i="21" s="1"/>
  <c r="B2" i="70"/>
  <c r="B3" i="70" s="1"/>
  <c r="B3" i="68"/>
  <c r="C20" i="9"/>
  <c r="D19" i="9"/>
  <c r="C19" i="9"/>
  <c r="D20"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<sst xmlns="http://schemas.openxmlformats.org/spreadsheetml/2006/main" count="8609" uniqueCount="3147">
  <si>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</si>
  <si>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</si>
  <si>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</si>
  <si>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</si>
  <si>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</si>
  <si>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</si>
  <si>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</si>
  <si>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</si>
  <si>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</si>
  <si>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</si>
  <si>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</si>
  <si>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</si>
  <si>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</si>
  <si>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</si>
  <si>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</si>
  <si>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</si>
  <si>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</si>
  <si>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</si>
  <si>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</si>
  <si>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</si>
  <si>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</si>
  <si>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</si>
  <si>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</si>
  <si>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</si>
  <si>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</si>
  <si>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</si>
  <si>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</si>
  <si>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</si>
  <si>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</si>
  <si>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</si>
  <si>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</si>
  <si>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</si>
  <si>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</si>
  <si>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</si>
  <si>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</si>
  <si>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</si>
  <si>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</si>
  <si>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</si>
  <si>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</si>
  <si>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</si>
  <si>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</si>
  <si>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</si>
  <si>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</si>
  <si>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</si>
  <si>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</si>
  <si>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</si>
  <si>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</si>
  <si>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</si>
  <si>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</si>
  <si>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</si>
  <si>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</si>
  <si>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</si>
  <si>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</si>
  <si>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</si>
  <si>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</si>
  <si>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</si>
  <si>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</si>
  <si>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</si>
  <si>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</si>
  <si>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</si>
  <si>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</si>
  <si>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</si>
  <si>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</si>
  <si>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</si>
  <si>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</si>
  <si>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</si>
  <si>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</si>
  <si>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</si>
  <si>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</si>
  <si>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</si>
  <si>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</si>
  <si>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</si>
  <si>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</si>
  <si>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</si>
  <si>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</si>
  <si>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</si>
  <si>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</si>
  <si>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</si>
  <si>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</si>
  <si>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</si>
  <si>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</si>
  <si>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</si>
  <si>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</si>
  <si>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</si>
  <si>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</si>
  <si>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</si>
  <si>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</si>
  <si>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</si>
  <si>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</si>
  <si>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</si>
  <si>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</si>
  <si>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</si>
  <si>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</si>
  <si>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</si>
  <si>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</si>
  <si>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</si>
  <si>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</si>
  <si>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</si>
  <si>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</si>
  <si>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</si>
  <si>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</si>
  <si>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</si>
  <si>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</si>
  <si>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</si>
  <si>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</si>
  <si>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</si>
  <si>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</si>
  <si>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</si>
  <si>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</si>
  <si>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</si>
  <si>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</si>
  <si>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</si>
  <si>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</si>
  <si>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</si>
  <si>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</si>
  <si>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</si>
  <si>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</si>
  <si>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</si>
  <si>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</si>
  <si>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</si>
  <si>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</si>
  <si>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</si>
  <si>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</si>
  <si>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</si>
  <si>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</si>
  <si>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</si>
  <si>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</si>
  <si>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</si>
  <si>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</si>
  <si>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</si>
  <si>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</si>
  <si>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</si>
  <si>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</si>
  <si>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</si>
  <si>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</si>
  <si>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</si>
  <si>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</si>
  <si>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</si>
  <si>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</si>
  <si>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</si>
  <si>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</si>
  <si>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</si>
  <si>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</si>
  <si>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</si>
  <si>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</si>
  <si>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</si>
  <si>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</si>
  <si>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</si>
  <si>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</si>
  <si>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</si>
  <si>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</si>
  <si>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</si>
  <si>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</si>
  <si>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</si>
  <si>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</si>
  <si>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</si>
  <si>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</si>
  <si>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</si>
  <si>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</si>
  <si>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</si>
  <si>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</si>
  <si>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</si>
  <si>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</si>
  <si>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</si>
  <si>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</si>
  <si>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</si>
  <si>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</si>
  <si>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</si>
  <si>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</si>
  <si>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</si>
  <si>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</si>
  <si>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</si>
  <si>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</si>
  <si>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</si>
  <si>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</si>
  <si>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</si>
  <si>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</si>
  <si>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</si>
  <si>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</si>
  <si>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</si>
  <si>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</si>
  <si>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</si>
  <si>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</si>
  <si>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</si>
  <si>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</si>
  <si>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</si>
  <si>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</si>
  <si>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</si>
  <si>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</si>
  <si>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</si>
  <si>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</si>
  <si>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</si>
  <si>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</si>
  <si>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</si>
  <si>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</si>
  <si>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</si>
  <si>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</si>
  <si>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</si>
  <si>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</si>
  <si>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</si>
  <si>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</si>
  <si>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</si>
  <si>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</si>
  <si>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</si>
  <si>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</si>
  <si>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</si>
  <si>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</si>
  <si>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</si>
  <si>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</si>
  <si>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</si>
  <si>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</si>
  <si>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</si>
  <si>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</si>
  <si>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</si>
  <si>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</si>
  <si>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</si>
  <si>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</si>
  <si>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</si>
  <si>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</si>
  <si>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</si>
  <si>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</si>
  <si>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</si>
  <si>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</si>
  <si>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</si>
  <si>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</si>
  <si>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</si>
  <si>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</si>
  <si>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</si>
  <si>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</si>
  <si>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</si>
  <si>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</si>
  <si>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</si>
  <si>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</si>
  <si>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</si>
  <si>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</si>
  <si>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</si>
  <si>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</si>
  <si>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</si>
  <si>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</si>
  <si>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</si>
  <si>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</si>
  <si>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</si>
  <si>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</si>
  <si>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</si>
  <si>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</si>
  <si>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</si>
  <si>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</si>
  <si>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</si>
  <si>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</si>
  <si>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</si>
  <si>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</si>
  <si>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</si>
  <si>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</si>
  <si>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</si>
  <si>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</si>
  <si>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</si>
  <si>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</si>
  <si>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</si>
  <si>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</si>
  <si>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</si>
  <si>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</si>
  <si>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</si>
  <si>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</si>
  <si>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</si>
  <si>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</si>
  <si>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</si>
  <si>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</si>
  <si>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</si>
  <si>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</si>
  <si>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</si>
  <si>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</si>
  <si>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</si>
  <si>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</si>
  <si>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</si>
  <si>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</si>
  <si>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</si>
  <si>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</si>
  <si>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</si>
  <si>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</si>
  <si>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</si>
  <si>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</si>
  <si>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</si>
  <si>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</si>
  <si>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</si>
  <si>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</si>
  <si>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</si>
  <si>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</si>
  <si>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</si>
  <si>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</si>
  <si>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</si>
  <si>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</si>
  <si>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</si>
  <si>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</si>
  <si>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</si>
  <si>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</si>
  <si>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</si>
  <si>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</si>
  <si>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</si>
  <si>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</si>
  <si>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</si>
  <si>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</si>
  <si>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</si>
  <si>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</si>
  <si>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</si>
  <si>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</si>
  <si>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</si>
  <si>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</si>
  <si>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</si>
  <si>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</si>
  <si>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</si>
  <si>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</si>
  <si>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</si>
  <si>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</si>
  <si>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</si>
  <si>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</si>
  <si>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</si>
  <si>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</si>
  <si>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</si>
  <si>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</si>
  <si>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</si>
  <si>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</si>
  <si>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</si>
  <si>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</si>
  <si>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</si>
  <si>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</si>
  <si>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</si>
  <si>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</si>
  <si>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</si>
  <si>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</si>
  <si>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</si>
  <si>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</si>
  <si>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</si>
  <si>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</si>
  <si>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</si>
  <si>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</si>
  <si>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</si>
  <si>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</si>
  <si>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</si>
  <si>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</si>
  <si>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</si>
  <si>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</si>
  <si>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</si>
  <si>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</si>
  <si>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</si>
  <si>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</si>
  <si>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</si>
  <si>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</si>
  <si>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</si>
  <si>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</si>
  <si>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</si>
  <si>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</si>
  <si>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</si>
  <si>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</si>
  <si>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</si>
  <si>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</si>
  <si>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</si>
  <si>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</si>
  <si>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</si>
  <si>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</si>
  <si>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</si>
  <si>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</si>
  <si>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</si>
  <si>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</si>
  <si>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</si>
  <si>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</si>
  <si>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</si>
  <si>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</si>
  <si>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</si>
  <si>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</si>
  <si>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</si>
  <si>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</si>
  <si>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</si>
  <si>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</si>
  <si>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</si>
  <si>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</si>
  <si>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</si>
  <si>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</si>
  <si>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</si>
  <si>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</si>
  <si>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</si>
  <si>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</si>
  <si>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</si>
  <si>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</si>
  <si>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</si>
  <si>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</si>
  <si>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</si>
  <si>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</si>
  <si>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</si>
  <si>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</si>
  <si>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</si>
  <si>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</si>
  <si>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</si>
  <si>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</si>
  <si>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</si>
  <si>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</si>
  <si>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</si>
  <si>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</si>
  <si>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</si>
  <si>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</si>
  <si>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</si>
  <si>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</si>
  <si>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</si>
  <si>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</si>
  <si>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</si>
  <si>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</si>
  <si>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</si>
  <si>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</si>
  <si>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</si>
  <si>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</si>
  <si>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</si>
  <si>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</si>
  <si>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</si>
  <si>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</si>
  <si>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</si>
  <si>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</si>
  <si>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</si>
  <si>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</si>
  <si>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</si>
  <si>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</si>
  <si>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</si>
  <si>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</si>
  <si>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</si>
  <si>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</si>
  <si>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</si>
  <si>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</si>
  <si>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</si>
  <si>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</si>
  <si>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</si>
  <si>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</si>
  <si>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</si>
  <si>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</si>
  <si>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</si>
  <si>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</si>
  <si>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</si>
  <si>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</si>
  <si>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</si>
  <si>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</si>
  <si>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</si>
  <si>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</si>
  <si>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</si>
  <si>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</si>
  <si>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</si>
  <si>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</si>
  <si>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</si>
  <si>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</si>
  <si>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</si>
  <si>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</si>
  <si>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</si>
  <si>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</si>
  <si>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</si>
  <si>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</si>
  <si>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</si>
  <si>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</si>
  <si>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</si>
  <si>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</si>
  <si>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</si>
  <si>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</si>
  <si>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</si>
  <si>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</si>
  <si>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</si>
  <si>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</si>
  <si>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</si>
  <si>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</si>
  <si>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</si>
  <si>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</si>
  <si>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</si>
  <si>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</si>
  <si>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</si>
  <si>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</si>
  <si>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</si>
  <si>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</si>
  <si>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</si>
  <si>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</si>
  <si>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</si>
  <si>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</si>
  <si>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</si>
  <si>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</si>
  <si>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</si>
  <si>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</si>
  <si>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</si>
  <si>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</si>
  <si>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</si>
  <si>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</si>
  <si>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</si>
  <si>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</si>
  <si>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</si>
  <si>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</si>
  <si>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</si>
  <si>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</si>
  <si>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</si>
  <si>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</si>
  <si>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</si>
  <si>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</si>
  <si>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</si>
  <si>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</si>
  <si>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</si>
  <si>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</si>
  <si>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</si>
  <si>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</si>
  <si>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</si>
  <si>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</si>
  <si>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</si>
  <si>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</si>
  <si>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</si>
  <si>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</si>
  <si>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</si>
  <si>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</si>
  <si>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</si>
  <si>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</si>
  <si>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</si>
  <si>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</si>
  <si>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</si>
  <si>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</si>
  <si>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</si>
  <si>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</si>
  <si>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</si>
  <si>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</si>
  <si>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</si>
  <si>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</si>
  <si>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</si>
  <si>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</si>
  <si>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</si>
  <si>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</si>
  <si>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</si>
  <si>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</si>
  <si>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</si>
  <si>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</si>
  <si>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</si>
  <si>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</si>
  <si>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</si>
  <si>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</si>
  <si>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</si>
  <si>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</si>
  <si>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</si>
  <si>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</si>
  <si>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</si>
  <si>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</si>
  <si>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</si>
  <si>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</si>
  <si>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</si>
  <si>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</si>
  <si>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</si>
  <si>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</si>
  <si>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</si>
  <si>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</si>
  <si>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</si>
  <si>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</si>
  <si>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</si>
  <si>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</si>
  <si>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</si>
  <si>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</si>
  <si>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</si>
  <si>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</si>
  <si>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</si>
  <si>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</si>
  <si>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</si>
  <si>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</si>
  <si>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</si>
  <si>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</si>
  <si>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</si>
  <si>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</si>
  <si>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</si>
  <si>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</si>
  <si>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</si>
  <si>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</si>
  <si>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</si>
  <si>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</si>
  <si>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</si>
  <si>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</si>
  <si>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</si>
  <si>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</si>
  <si>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</si>
  <si>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</si>
  <si>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</si>
  <si>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</si>
  <si>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</si>
  <si>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</si>
  <si>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</si>
  <si>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</si>
  <si>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</si>
  <si>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</si>
  <si>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</si>
  <si>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</si>
  <si>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</si>
  <si>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</si>
  <si>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</si>
  <si>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</si>
  <si>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</si>
  <si>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</si>
  <si>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</si>
  <si>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</si>
  <si>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</si>
  <si>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</si>
  <si>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</si>
  <si>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</si>
  <si>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</si>
  <si>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</si>
  <si>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</si>
  <si>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</si>
  <si>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</si>
  <si>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</si>
  <si>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</si>
  <si>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</si>
  <si>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</si>
  <si>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</si>
  <si>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</si>
  <si>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</si>
  <si>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</si>
  <si>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</si>
  <si>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</si>
  <si>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</si>
  <si>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</si>
  <si>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</si>
  <si>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</si>
  <si>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</si>
  <si>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</si>
  <si>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</si>
  <si>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</si>
  <si>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</si>
  <si>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</si>
  <si>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</si>
  <si>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</si>
  <si>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</si>
  <si>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</si>
  <si>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</si>
  <si>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</si>
  <si>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</si>
  <si>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</si>
  <si>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</si>
  <si>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</si>
  <si>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</si>
  <si>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</si>
  <si>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</si>
  <si>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</si>
  <si>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</si>
  <si>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</si>
  <si>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</si>
  <si>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</si>
  <si>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</si>
  <si>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</si>
  <si>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</si>
  <si>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</si>
  <si>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</si>
  <si>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</si>
  <si>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</si>
  <si>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</si>
  <si>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</si>
  <si>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</si>
  <si>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</si>
  <si>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</si>
  <si>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</si>
  <si>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</si>
  <si>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</si>
  <si>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</si>
  <si>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</si>
  <si>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</si>
  <si>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</si>
  <si>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</si>
  <si>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</si>
  <si>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</si>
  <si>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</si>
  <si>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</si>
  <si>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</si>
  <si>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</si>
  <si>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</si>
  <si>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</si>
  <si>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</si>
  <si>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</si>
  <si>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</si>
  <si>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</si>
  <si>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</si>
  <si>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</si>
  <si>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</si>
  <si>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</si>
  <si>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</si>
  <si>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</si>
  <si>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</si>
  <si>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</si>
  <si>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</si>
  <si>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</si>
  <si>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</si>
  <si>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</si>
  <si>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</si>
  <si>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</si>
  <si>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</si>
  <si>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</si>
  <si>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</si>
  <si>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</si>
  <si>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</si>
  <si>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</si>
  <si>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</si>
  <si>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</si>
  <si>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</si>
  <si>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</si>
  <si>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</si>
  <si>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</si>
  <si>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</si>
  <si>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</si>
  <si>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</si>
  <si>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</si>
  <si>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</si>
  <si>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</si>
  <si>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</si>
  <si>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</si>
  <si>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</si>
  <si>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</si>
  <si>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</si>
  <si>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</si>
  <si>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</si>
  <si>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</si>
  <si>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</si>
  <si>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</si>
  <si>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</si>
  <si>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</si>
  <si>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</si>
  <si>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</si>
  <si>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</si>
  <si>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</si>
  <si>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</si>
  <si>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</si>
  <si>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</si>
  <si>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</si>
  <si>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</si>
  <si>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</si>
  <si>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</si>
  <si>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</si>
  <si>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</si>
  <si>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</si>
  <si>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</si>
  <si>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</si>
  <si>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</si>
  <si>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</si>
  <si>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</si>
  <si>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</si>
  <si>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</si>
  <si>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</si>
  <si>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</si>
  <si>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</si>
  <si>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</si>
  <si>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</si>
  <si>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</si>
  <si>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</si>
  <si>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</si>
  <si>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</si>
  <si>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</si>
  <si>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</si>
  <si>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</si>
  <si>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</si>
  <si>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</si>
  <si>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</si>
  <si>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</si>
  <si>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</si>
  <si>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</si>
  <si>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</si>
  <si>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</si>
  <si>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</si>
  <si>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</si>
  <si>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</si>
  <si>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</si>
  <si>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</si>
  <si>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</si>
  <si>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</si>
  <si>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</si>
  <si>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</si>
  <si>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</si>
  <si>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</si>
  <si>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</si>
  <si>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</si>
  <si>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</si>
  <si>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</si>
  <si>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</si>
  <si>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</si>
  <si>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</si>
  <si>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</si>
  <si>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</si>
  <si>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</si>
  <si>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</si>
  <si>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</si>
  <si>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</si>
  <si>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</si>
  <si>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</si>
  <si>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</si>
  <si>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</si>
  <si>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</si>
  <si>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</si>
  <si>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</si>
  <si>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</si>
  <si>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</si>
  <si>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</si>
  <si>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</si>
  <si>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</si>
  <si>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</si>
  <si>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</si>
  <si>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</si>
  <si>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</si>
  <si>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</si>
  <si>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</si>
  <si>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</si>
  <si>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</si>
  <si>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</si>
  <si>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</si>
  <si>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</si>
  <si>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</si>
  <si>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</si>
  <si>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</si>
  <si>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</si>
  <si>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</si>
  <si>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</si>
  <si>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</si>
  <si>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</si>
  <si>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</si>
  <si>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</si>
  <si>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</si>
  <si>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</si>
  <si>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</si>
  <si>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</si>
  <si>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</si>
  <si>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</si>
  <si>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</si>
  <si>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</si>
  <si>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</si>
  <si>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</si>
  <si>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</si>
  <si>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</si>
  <si>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</si>
  <si>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</si>
  <si>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</si>
  <si>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</si>
  <si>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</si>
  <si>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</si>
  <si>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</si>
  <si>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</si>
  <si>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</si>
  <si>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</si>
  <si>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</si>
  <si>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</si>
  <si>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</si>
  <si>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</si>
  <si>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</si>
  <si>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</si>
  <si>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</si>
  <si>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</si>
  <si>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</si>
  <si>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</si>
  <si>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</si>
  <si>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</si>
  <si>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</si>
  <si>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</si>
  <si>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</si>
  <si>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</si>
  <si>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</si>
  <si>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</si>
  <si>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</si>
  <si>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</si>
  <si>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</si>
  <si>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</si>
  <si>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</si>
  <si>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</si>
  <si>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</si>
  <si>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</si>
  <si>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</si>
  <si>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</si>
  <si>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</si>
  <si>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</si>
  <si>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</si>
  <si>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</si>
  <si>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</si>
  <si>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</si>
  <si>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</si>
  <si>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</si>
  <si>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</si>
  <si>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</si>
  <si>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</si>
  <si>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</si>
  <si>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</si>
  <si>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</si>
  <si>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</si>
  <si>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</si>
  <si>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</si>
  <si>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</si>
  <si>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</si>
  <si>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</si>
  <si>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</si>
  <si>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</si>
  <si>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</si>
  <si>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</si>
  <si>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</si>
  <si>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</si>
  <si>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</si>
  <si>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</si>
  <si>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</si>
  <si>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</si>
  <si>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</si>
  <si>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</si>
  <si>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</si>
  <si>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</si>
  <si>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</si>
  <si>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</si>
  <si>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</si>
  <si>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</si>
  <si>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</si>
  <si>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</si>
  <si>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</si>
  <si>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</si>
  <si>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</si>
  <si>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</si>
  <si>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</si>
  <si>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</si>
  <si>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</si>
  <si>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</si>
  <si>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</si>
  <si>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</si>
  <si>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</si>
  <si>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</si>
  <si>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</si>
  <si>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</si>
  <si>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</si>
  <si>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</si>
  <si>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</si>
  <si>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</si>
  <si>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</si>
  <si>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</si>
  <si>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</si>
  <si>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</si>
  <si>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</si>
  <si>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</si>
  <si>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</si>
  <si>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</si>
  <si>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</si>
  <si>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</si>
  <si>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</si>
  <si>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</si>
  <si>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</si>
  <si>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</si>
  <si>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</si>
  <si>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</si>
  <si>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</si>
  <si>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</si>
  <si>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</si>
  <si>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</si>
  <si>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</si>
  <si>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</si>
  <si>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</si>
  <si>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</si>
  <si>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</si>
  <si>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</si>
  <si>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</si>
  <si>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</si>
  <si>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</si>
  <si>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</si>
  <si>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</si>
  <si>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</si>
  <si>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</si>
  <si>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</si>
  <si>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</si>
  <si>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</si>
  <si>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</si>
  <si>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</si>
  <si>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</si>
  <si>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</si>
  <si>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</si>
  <si>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</si>
  <si>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</si>
  <si>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</si>
  <si>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</si>
  <si>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</si>
  <si>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</si>
  <si>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</si>
  <si>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</si>
  <si>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</si>
  <si>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</si>
  <si>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</si>
  <si>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</si>
  <si>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</si>
  <si>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</si>
  <si>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</si>
  <si>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</si>
  <si>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</si>
  <si>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</si>
  <si>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</si>
  <si>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</si>
  <si>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</si>
  <si>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</si>
  <si>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</si>
  <si>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</si>
  <si>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</si>
  <si>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</si>
  <si>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</si>
  <si>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</si>
  <si>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</si>
  <si>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</si>
  <si>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</si>
  <si>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</si>
  <si>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</si>
  <si>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</si>
  <si>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</si>
  <si>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</si>
  <si>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</si>
  <si>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</si>
  <si>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</si>
  <si>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</si>
  <si>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</si>
  <si>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</si>
  <si>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</si>
  <si>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</si>
  <si>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</si>
  <si>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</si>
  <si>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</si>
  <si>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</si>
  <si>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</si>
  <si>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</si>
  <si>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</si>
  <si>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</si>
  <si>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</si>
  <si>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</si>
  <si>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</si>
  <si>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</si>
  <si>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</si>
  <si>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</si>
  <si>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</si>
  <si>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</si>
  <si>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</si>
  <si>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</si>
  <si>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</si>
  <si>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</si>
  <si>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</si>
  <si>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</si>
  <si>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</si>
  <si>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</si>
  <si>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</si>
  <si>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</si>
  <si>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</si>
  <si>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</si>
  <si>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</si>
  <si>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</si>
  <si>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</si>
  <si>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</si>
  <si>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</si>
  <si>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</si>
  <si>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</si>
  <si>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</si>
  <si>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</si>
  <si>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</si>
  <si>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</si>
  <si>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</si>
  <si>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</si>
  <si>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</si>
  <si>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</si>
  <si>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</si>
  <si>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</si>
  <si>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</si>
  <si>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</si>
  <si>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</si>
  <si>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</si>
  <si>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</si>
  <si>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</si>
  <si>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</si>
  <si>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</si>
  <si>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</si>
  <si>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</si>
  <si>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</si>
  <si>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</si>
  <si>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</si>
  <si>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</si>
  <si>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</si>
  <si>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</si>
  <si>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</si>
  <si>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</si>
  <si>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</si>
  <si>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</si>
  <si>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</si>
  <si>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</si>
  <si>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</si>
  <si>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</si>
  <si>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</si>
  <si>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</si>
  <si>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</si>
  <si>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</si>
  <si>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</si>
  <si>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</si>
  <si>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</si>
  <si>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</si>
  <si>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</si>
  <si>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</si>
  <si>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</si>
  <si>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</si>
  <si>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</si>
  <si>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</si>
  <si>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</si>
  <si>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</si>
  <si>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</si>
  <si>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</si>
  <si>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</si>
  <si>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</si>
  <si>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</si>
  <si>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</si>
  <si>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</si>
  <si>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</si>
  <si>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</si>
  <si>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</si>
  <si>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</si>
  <si>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</si>
  <si>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</si>
  <si>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</si>
  <si>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</si>
  <si>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</si>
  <si>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</si>
  <si>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</si>
  <si>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</si>
  <si>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</si>
  <si>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</si>
  <si>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</si>
  <si>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</si>
  <si>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</si>
  <si>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</si>
  <si>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</si>
  <si>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</si>
  <si>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</si>
  <si>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</si>
  <si>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</si>
  <si>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</si>
  <si>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</si>
  <si>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</si>
  <si>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</si>
  <si>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</si>
  <si>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</si>
  <si>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</si>
  <si>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</si>
  <si>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</si>
  <si>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</si>
  <si>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</si>
  <si>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</si>
  <si>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</si>
  <si>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</si>
  <si>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</si>
  <si>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</si>
  <si>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</si>
  <si>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</si>
  <si>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</si>
  <si>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</si>
  <si>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</si>
  <si>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</si>
  <si>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</si>
  <si>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</si>
  <si>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</si>
  <si>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</si>
  <si>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</si>
  <si>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</si>
  <si>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</si>
  <si>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</si>
  <si>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</si>
  <si>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</si>
  <si>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</si>
  <si>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</si>
  <si>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</si>
  <si>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</si>
  <si>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</si>
  <si>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</si>
  <si>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</si>
  <si>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</si>
  <si>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</si>
  <si>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</si>
  <si>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</si>
  <si>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</si>
  <si>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</si>
  <si>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</si>
  <si>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</si>
  <si>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</si>
  <si>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</si>
  <si>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</si>
  <si>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</si>
  <si>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</si>
  <si>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</si>
  <si>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</si>
  <si>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</si>
  <si>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</si>
  <si>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</si>
  <si>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</si>
  <si>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</si>
  <si>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</si>
  <si>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</si>
  <si>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</si>
  <si>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</si>
  <si>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</si>
  <si>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</si>
  <si>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</si>
  <si>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</si>
  <si>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</si>
  <si>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</si>
  <si>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</si>
  <si>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</si>
  <si>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</si>
  <si>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</si>
  <si>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</si>
  <si>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</si>
  <si>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</si>
  <si>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</si>
  <si>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</si>
  <si>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</si>
  <si>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</si>
  <si>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</si>
  <si>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</si>
  <si>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</si>
  <si>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</si>
  <si>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</si>
  <si>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</si>
  <si>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</si>
  <si>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</si>
  <si>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</si>
  <si>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</si>
  <si>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</si>
  <si>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</si>
  <si>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</si>
  <si>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</si>
  <si>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</si>
  <si>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</si>
  <si>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</si>
  <si>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</si>
  <si>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</si>
  <si>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</si>
  <si>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</si>
  <si>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</si>
  <si>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</si>
  <si>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</si>
  <si>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</si>
  <si>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</si>
  <si>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</si>
  <si>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</si>
  <si>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</si>
  <si>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</si>
  <si>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</si>
  <si>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</si>
  <si>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</si>
  <si>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</si>
  <si>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</si>
  <si>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</si>
  <si>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</si>
  <si>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</si>
  <si>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</si>
  <si>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</si>
  <si>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</si>
  <si>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</si>
  <si>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</si>
  <si>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</si>
  <si>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</si>
  <si>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</si>
  <si>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</si>
  <si>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</si>
  <si>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</si>
  <si>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</si>
  <si>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</si>
  <si>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</si>
  <si>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</si>
  <si>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</si>
  <si>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</si>
  <si>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</si>
  <si>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</si>
  <si>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</si>
  <si>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</si>
  <si>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</si>
  <si>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</si>
  <si>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</si>
  <si>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</si>
  <si>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</si>
  <si>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</si>
  <si>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</si>
  <si>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</si>
  <si>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</si>
  <si>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</si>
  <si>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</si>
  <si>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</si>
  <si>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</si>
  <si>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</si>
  <si>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</si>
  <si>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</si>
  <si>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</si>
  <si>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</si>
  <si>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</si>
  <si>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</si>
  <si>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</si>
  <si>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</si>
  <si>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</si>
  <si>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</si>
  <si>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</si>
  <si>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</si>
  <si>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</si>
  <si>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</si>
  <si>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</si>
  <si>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</si>
  <si>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</si>
  <si>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</si>
  <si>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</si>
  <si>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</si>
  <si>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</si>
  <si>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</si>
  <si>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</si>
  <si>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</si>
  <si>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</si>
  <si>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</si>
  <si>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</si>
  <si>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</si>
  <si>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</si>
  <si>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</si>
  <si>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</si>
  <si>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</si>
  <si>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</si>
  <si>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</si>
  <si>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</si>
  <si>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</si>
  <si>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</si>
  <si>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</si>
  <si>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</si>
  <si>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</si>
  <si>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</si>
  <si>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</si>
  <si>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</si>
  <si>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</si>
  <si>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</si>
  <si>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</si>
  <si>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</si>
  <si>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</si>
  <si>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</si>
  <si>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</si>
  <si>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</si>
  <si>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</si>
  <si>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</si>
  <si>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</si>
  <si>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</si>
  <si>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</si>
  <si>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</si>
  <si>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</si>
  <si>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</si>
  <si>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</si>
  <si>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</si>
  <si>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</si>
  <si>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</si>
  <si>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</si>
  <si>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</si>
  <si>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</si>
  <si>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</si>
  <si>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</si>
  <si>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</si>
  <si>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</si>
  <si>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</si>
  <si>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</si>
  <si>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</si>
  <si>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</si>
  <si>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</si>
  <si>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</si>
  <si>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</si>
  <si>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</si>
  <si>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</si>
  <si>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</si>
  <si>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</si>
  <si>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</si>
  <si>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</si>
  <si>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</si>
  <si>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</si>
  <si>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</si>
  <si>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</si>
  <si>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</si>
  <si>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</si>
  <si>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</si>
  <si>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</si>
  <si>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</si>
  <si>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</si>
  <si>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</si>
  <si>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</si>
  <si>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</si>
  <si>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</si>
  <si>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</si>
  <si>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</si>
  <si>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</si>
  <si>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</si>
  <si>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</si>
  <si>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</si>
  <si>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</si>
  <si>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</si>
  <si>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</si>
  <si>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</si>
  <si>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</si>
  <si>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</si>
  <si>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</si>
  <si>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</si>
  <si>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</si>
  <si>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</si>
  <si>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</si>
  <si>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</si>
  <si>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</si>
  <si>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</si>
  <si>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</si>
  <si>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</si>
  <si>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</si>
  <si>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</si>
  <si>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</si>
  <si>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</si>
  <si>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</si>
  <si>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</si>
  <si>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</si>
  <si>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</si>
  <si>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</si>
  <si>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</si>
  <si>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</si>
  <si>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</si>
  <si>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</si>
  <si>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</si>
  <si>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</si>
  <si>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</si>
  <si>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</si>
  <si>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</si>
  <si>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</si>
  <si>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</si>
  <si>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</si>
  <si>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</si>
  <si>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</si>
  <si>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</si>
  <si>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</si>
  <si>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</si>
  <si>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</si>
  <si>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</si>
  <si>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</si>
  <si>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</si>
  <si>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</si>
  <si>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</si>
  <si>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</si>
  <si>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</si>
  <si>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</si>
  <si>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</si>
  <si>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</si>
  <si>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</si>
  <si>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</si>
  <si>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</si>
  <si>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</si>
  <si>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</si>
  <si>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</si>
  <si>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</si>
  <si>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</si>
  <si>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</si>
  <si>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</si>
  <si>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</si>
  <si>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</si>
  <si>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</si>
  <si>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</si>
  <si>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</si>
  <si>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</si>
  <si>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</si>
  <si>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</si>
  <si>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</si>
  <si>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</si>
  <si>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</si>
  <si>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</si>
  <si>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</si>
  <si>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</si>
  <si>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</si>
  <si>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</si>
  <si>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</si>
  <si>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</si>
  <si>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</si>
  <si>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</si>
  <si>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</si>
  <si>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</si>
  <si>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</si>
  <si>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</si>
  <si>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</si>
  <si>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</si>
  <si>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</si>
  <si>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</si>
  <si>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</si>
  <si>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</si>
  <si>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</si>
  <si>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</si>
  <si>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</si>
  <si>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</si>
  <si>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</si>
  <si>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</si>
  <si>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</si>
  <si>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</si>
  <si>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</si>
  <si>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</si>
  <si>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</si>
  <si>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</si>
  <si>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</si>
  <si>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</si>
  <si>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</si>
  <si>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</si>
  <si>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</si>
  <si>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</si>
  <si>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</si>
  <si>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</si>
  <si>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</si>
  <si>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</si>
  <si>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</si>
  <si>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</si>
  <si>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</si>
  <si>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</si>
  <si>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</si>
  <si>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</si>
  <si>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</si>
  <si>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</si>
  <si>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</si>
  <si>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</si>
  <si>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</si>
  <si>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</si>
  <si>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</si>
  <si>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</si>
  <si>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</si>
  <si>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</si>
  <si>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</si>
  <si>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</si>
  <si>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</si>
  <si>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</si>
  <si>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</si>
  <si>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</si>
  <si>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</si>
  <si>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</si>
  <si>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</si>
  <si>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</si>
  <si>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</si>
  <si>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</si>
  <si>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</si>
  <si>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</si>
  <si>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</si>
  <si>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</si>
  <si>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</si>
  <si>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</si>
  <si>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</si>
  <si>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</si>
  <si>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</si>
  <si>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</si>
  <si>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</si>
  <si>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</si>
  <si>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</si>
  <si>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</si>
  <si>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</si>
  <si>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</si>
  <si>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</si>
  <si>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</si>
  <si>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</si>
  <si>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</si>
  <si>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</si>
  <si>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</si>
  <si>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</si>
  <si>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</si>
  <si>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</si>
  <si>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</si>
  <si>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</si>
  <si>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</si>
  <si>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</si>
  <si>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</si>
  <si>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</si>
  <si>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</si>
  <si>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</si>
  <si>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</si>
  <si>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</si>
  <si>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</si>
  <si>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</si>
  <si>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</si>
  <si>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</si>
  <si>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</si>
  <si>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</si>
  <si>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</si>
  <si>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</si>
  <si>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</si>
  <si>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</si>
  <si>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</si>
  <si>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</si>
  <si>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</si>
  <si>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</si>
  <si>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</si>
  <si>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</si>
  <si>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</si>
  <si>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</si>
  <si>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</si>
  <si>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</si>
  <si>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</si>
  <si>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</si>
  <si>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</si>
  <si>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</si>
  <si>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</si>
  <si>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</si>
  <si>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</si>
  <si>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</si>
  <si>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</si>
  <si>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</si>
  <si>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</si>
  <si>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</si>
  <si>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</si>
  <si>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</si>
  <si>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</si>
  <si>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</si>
  <si>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</si>
  <si>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</si>
  <si>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</si>
  <si>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</si>
  <si>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</si>
  <si>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</si>
  <si>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</si>
  <si>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</si>
  <si>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</si>
  <si>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</si>
  <si>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</si>
  <si>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</si>
  <si>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</si>
  <si>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</si>
  <si>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</si>
  <si>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</si>
  <si>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</si>
  <si>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</si>
  <si>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</si>
  <si>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</si>
  <si>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</si>
  <si>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</si>
  <si>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</si>
  <si>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</si>
  <si>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</si>
  <si>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</si>
  <si>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</si>
  <si>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</si>
  <si>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</si>
  <si>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</si>
  <si>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</si>
  <si>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</si>
  <si>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</si>
  <si>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</si>
  <si>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</si>
  <si>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</si>
  <si>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</si>
  <si>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</si>
  <si>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</si>
  <si>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</si>
  <si>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</si>
  <si>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</si>
  <si>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</si>
  <si>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</si>
  <si>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</si>
  <si>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</si>
  <si>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</si>
  <si>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</si>
  <si>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</si>
  <si>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</si>
  <si>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</si>
  <si>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</si>
  <si>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</si>
  <si>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</si>
  <si>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</si>
  <si>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</si>
  <si>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</si>
  <si>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</si>
  <si>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</si>
  <si>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</si>
  <si>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</si>
  <si>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</si>
  <si>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</si>
  <si>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</si>
  <si>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</si>
  <si>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</si>
  <si>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</si>
  <si>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</si>
  <si>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</si>
  <si>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</si>
  <si>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</si>
  <si>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</si>
  <si>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</si>
  <si>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</si>
  <si>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</si>
  <si>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</si>
  <si>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</si>
  <si>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</si>
  <si>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</si>
  <si>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</si>
  <si>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</si>
  <si>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</si>
  <si>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</si>
  <si>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</si>
  <si>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</si>
  <si>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</si>
  <si>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</si>
  <si>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</si>
  <si>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</si>
  <si>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</si>
  <si>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</si>
  <si>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</si>
  <si>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</si>
  <si>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</si>
  <si>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</si>
  <si>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</si>
  <si>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</si>
  <si>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</si>
  <si>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</si>
  <si>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</si>
  <si>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</si>
  <si>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</si>
  <si>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</si>
  <si>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</si>
  <si>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</si>
  <si>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</si>
  <si>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</si>
  <si>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</si>
  <si>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</si>
  <si>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</si>
  <si>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</si>
  <si>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</si>
  <si>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</si>
  <si>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</si>
  <si>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</si>
  <si>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</si>
  <si>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</si>
  <si>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</si>
  <si>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</si>
  <si>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</si>
  <si>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</si>
  <si>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</si>
  <si>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</si>
  <si>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</si>
  <si>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</si>
  <si>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</si>
  <si>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</si>
  <si>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</si>
  <si>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</si>
  <si>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</si>
  <si>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</si>
  <si>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</si>
  <si>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</si>
  <si>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</si>
  <si>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</si>
  <si>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</si>
  <si>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</si>
  <si>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</si>
  <si>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</si>
  <si>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</si>
  <si>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</si>
  <si>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</si>
  <si>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</si>
  <si>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</si>
  <si>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</si>
  <si>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</si>
  <si>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</si>
  <si>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</si>
  <si>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</si>
  <si>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</si>
  <si>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</si>
  <si>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</si>
  <si>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</si>
  <si>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</si>
  <si>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</si>
  <si>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</si>
  <si>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</si>
  <si>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</si>
  <si>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</si>
  <si>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</si>
  <si>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</si>
  <si>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</si>
  <si>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</si>
  <si>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</si>
  <si>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</si>
  <si>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</si>
  <si>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</si>
  <si>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</si>
  <si>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</si>
  <si>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</si>
  <si>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</si>
  <si>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</si>
  <si>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</si>
  <si>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</si>
  <si>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</si>
  <si>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</si>
  <si>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</si>
  <si>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</si>
  <si>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</si>
  <si>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</si>
  <si>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</si>
  <si>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</si>
  <si>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</si>
  <si>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</si>
  <si>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</si>
  <si>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</si>
  <si>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</si>
  <si>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</si>
  <si>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</si>
  <si>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</si>
  <si>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</si>
  <si>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</si>
  <si>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</si>
  <si>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</si>
  <si>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</si>
  <si>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</si>
  <si>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</si>
  <si>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</si>
  <si>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</si>
  <si>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</si>
  <si>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</si>
  <si>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</si>
  <si>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</si>
  <si>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</si>
  <si>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</si>
  <si>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</si>
  <si>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</si>
  <si>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</si>
  <si>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</si>
  <si>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</si>
  <si>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</si>
  <si>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</si>
  <si>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</si>
  <si>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</si>
  <si>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</si>
  <si>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</si>
  <si>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</si>
  <si>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</si>
  <si>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</si>
  <si>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</si>
  <si>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</si>
  <si>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</si>
  <si>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</si>
  <si>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</si>
  <si>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</si>
  <si>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</si>
  <si>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</si>
  <si>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</si>
  <si>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</si>
  <si>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</si>
  <si>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</si>
  <si>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</si>
  <si>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</si>
  <si>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</si>
  <si>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</si>
  <si>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</si>
  <si>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</si>
  <si>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</si>
  <si>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</si>
  <si>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</si>
  <si>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</si>
  <si>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</si>
  <si>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</si>
  <si>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</si>
  <si>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</si>
  <si>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</si>
  <si>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</si>
  <si>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</si>
  <si>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</si>
  <si>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</si>
  <si>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</si>
  <si>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</si>
  <si>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</si>
  <si>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</si>
  <si>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</si>
  <si>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</si>
  <si>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</si>
  <si>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</si>
  <si>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</si>
  <si>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</si>
  <si>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</si>
  <si>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</si>
  <si>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</si>
  <si>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</si>
  <si>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</si>
  <si>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</si>
  <si>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</si>
  <si>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</si>
  <si>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</si>
  <si>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</si>
  <si>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</si>
  <si>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</si>
  <si>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</si>
  <si>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</si>
  <si>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</si>
  <si>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</si>
  <si>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</si>
  <si>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</si>
  <si>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</si>
  <si>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</si>
  <si>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</si>
  <si>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</si>
  <si>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</si>
  <si>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</si>
  <si>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</si>
  <si>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</si>
  <si>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</si>
  <si>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</si>
  <si>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</si>
  <si>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</si>
  <si>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</si>
  <si>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</si>
  <si>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</si>
  <si>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</si>
  <si>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</si>
  <si>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</si>
  <si>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</si>
  <si>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</si>
  <si>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</si>
  <si>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</si>
  <si>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</si>
  <si>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</si>
  <si>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</si>
  <si>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</si>
  <si>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</si>
  <si>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</si>
  <si>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</si>
  <si>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</si>
  <si>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</si>
  <si>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</si>
  <si>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</si>
  <si>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</si>
  <si>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</si>
  <si>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</si>
  <si>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</si>
  <si>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</si>
  <si>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</si>
  <si>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</si>
  <si>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</si>
  <si>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</si>
  <si>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</si>
  <si>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</si>
  <si>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</si>
  <si>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</si>
  <si>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</si>
  <si>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</si>
  <si>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</si>
  <si>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</si>
  <si>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</si>
  <si>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</si>
  <si>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</si>
  <si>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</si>
  <si>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</si>
  <si>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</si>
  <si>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</si>
  <si>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</si>
  <si>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</si>
  <si>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</si>
  <si>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</si>
  <si>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</si>
  <si>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</si>
  <si>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</si>
  <si>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</si>
  <si>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</si>
  <si>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</si>
  <si>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</si>
  <si>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</si>
  <si>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</si>
  <si>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</si>
  <si>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</si>
  <si>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</si>
  <si>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</si>
  <si>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</si>
  <si>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</si>
  <si>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</si>
  <si>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</si>
  <si>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</si>
  <si>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</si>
  <si>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</si>
  <si>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</si>
  <si>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</si>
  <si>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</si>
  <si>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</si>
  <si>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</si>
  <si>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</si>
  <si>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</si>
  <si>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</si>
  <si>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</si>
  <si>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</si>
  <si>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</si>
  <si>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</si>
  <si>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</si>
  <si>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</si>
  <si>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</si>
  <si>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</si>
  <si>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</si>
  <si>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</si>
  <si>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</si>
  <si>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</si>
  <si>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</si>
  <si>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</si>
  <si>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</si>
  <si>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</si>
  <si>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</si>
  <si>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</si>
  <si>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</si>
  <si>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</si>
  <si>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</si>
  <si>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</si>
  <si>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</si>
  <si>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</si>
  <si>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</si>
  <si>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</si>
  <si>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</si>
  <si>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</si>
  <si>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</si>
  <si>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</si>
  <si>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</si>
  <si>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</si>
  <si>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</si>
  <si>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</si>
  <si>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</si>
  <si>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</si>
  <si>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</si>
  <si>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</si>
  <si>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</si>
  <si>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</si>
  <si>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</si>
  <si>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</si>
  <si>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</si>
  <si>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</si>
  <si>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</si>
  <si>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</si>
  <si>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</si>
  <si>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</si>
  <si>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</si>
  <si>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</si>
  <si>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</si>
  <si>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</si>
  <si>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</si>
  <si>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</si>
  <si>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</si>
  <si>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</si>
  <si>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</si>
  <si>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</si>
  <si>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</si>
  <si>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</si>
  <si>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</si>
  <si>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</si>
  <si>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</si>
  <si>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</si>
  <si>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</si>
  <si>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</si>
  <si>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</si>
  <si>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</si>
  <si>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</si>
  <si>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</si>
  <si>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</si>
  <si>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</si>
  <si>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</si>
  <si>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</si>
  <si>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</si>
  <si>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</si>
  <si>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</si>
  <si>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</si>
  <si>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</si>
  <si>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</si>
  <si>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</si>
  <si>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</si>
  <si>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</si>
  <si>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</si>
  <si>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</si>
  <si>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</si>
  <si>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</si>
  <si>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</si>
  <si>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</si>
  <si>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</si>
  <si>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</si>
  <si>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</si>
  <si>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</si>
  <si>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</si>
  <si>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</si>
  <si>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</si>
  <si>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</si>
  <si>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</si>
  <si>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</si>
  <si>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</si>
  <si>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</si>
  <si>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</si>
  <si>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</si>
  <si>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</si>
  <si>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</si>
  <si>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</si>
  <si>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</si>
  <si>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</si>
  <si>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</si>
  <si>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</si>
  <si>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</si>
  <si>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</si>
  <si>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</si>
  <si>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</si>
  <si>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</si>
  <si>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</si>
  <si>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</si>
  <si>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</si>
  <si>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</si>
  <si>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</si>
  <si>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</si>
  <si>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</si>
  <si>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</si>
  <si>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</si>
  <si>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</si>
  <si>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</si>
  <si>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</si>
  <si>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</si>
  <si>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</si>
  <si>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</si>
  <si>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</si>
  <si>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</si>
  <si>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</si>
  <si>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</si>
  <si>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</si>
  <si>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</si>
  <si>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</si>
  <si>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</si>
  <si>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</si>
  <si>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</si>
  <si>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</si>
  <si>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</si>
  <si>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</si>
  <si>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</si>
  <si>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</si>
  <si>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</si>
  <si>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</si>
  <si>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</si>
  <si>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</si>
  <si>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</si>
  <si>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</si>
  <si>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</si>
  <si>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</si>
  <si>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</si>
  <si>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</si>
  <si>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</si>
  <si>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</si>
  <si>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</si>
  <si>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</si>
  <si>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</si>
  <si>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</si>
  <si>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</si>
  <si>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</si>
  <si>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</si>
  <si>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</si>
  <si>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</si>
  <si>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</si>
  <si>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</si>
  <si>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</si>
  <si>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</si>
  <si>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</si>
  <si>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</si>
  <si>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</si>
  <si>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</si>
  <si>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</si>
  <si>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</si>
  <si>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</si>
  <si>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</si>
  <si>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</si>
  <si>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</si>
  <si>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</si>
  <si>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</si>
  <si>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</si>
  <si>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</si>
  <si>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</si>
  <si>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</si>
  <si>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</si>
  <si>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</si>
  <si>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</si>
  <si>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</si>
  <si>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</si>
  <si>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</si>
  <si>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</si>
  <si>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</si>
  <si>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</si>
  <si>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</si>
  <si>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</si>
  <si>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</si>
  <si>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</si>
  <si>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</si>
  <si>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</si>
  <si>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</si>
  <si>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</si>
  <si>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</si>
  <si>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</si>
  <si>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</si>
  <si>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</si>
  <si>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</si>
  <si>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</si>
  <si>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</si>
  <si>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</si>
  <si>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</si>
  <si>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</si>
  <si>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</si>
  <si>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</si>
  <si>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</si>
  <si>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</si>
  <si>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</si>
  <si>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</si>
  <si>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</si>
  <si>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</si>
  <si>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</si>
  <si>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</si>
  <si>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</si>
  <si>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</si>
  <si>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</si>
  <si>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</si>
  <si>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</si>
  <si>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</si>
  <si>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</si>
  <si>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</si>
  <si>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</si>
  <si>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</si>
  <si>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</si>
  <si>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</si>
  <si>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</si>
  <si>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</si>
  <si>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</si>
  <si>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</si>
  <si>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</si>
  <si>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</si>
  <si>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</si>
  <si>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</si>
  <si>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</si>
  <si>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</si>
  <si>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</si>
  <si>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</si>
  <si>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</si>
  <si>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</si>
  <si>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</si>
  <si>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</si>
  <si>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</si>
  <si>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</si>
  <si>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</si>
  <si>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</si>
  <si>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</si>
  <si>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</si>
  <si>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</si>
  <si>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</si>
  <si>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</si>
  <si>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</si>
  <si>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</si>
  <si>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</si>
  <si>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</si>
  <si>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</si>
  <si>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</si>
  <si>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</si>
  <si>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</si>
  <si>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</si>
  <si>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</si>
  <si>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</si>
  <si>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</si>
  <si>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</si>
  <si>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</si>
  <si>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</si>
  <si>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</si>
  <si>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</si>
  <si>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</si>
  <si>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</si>
  <si>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</si>
  <si>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</si>
  <si>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</si>
  <si>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</si>
  <si>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</si>
  <si>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</si>
  <si>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</si>
  <si>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</si>
  <si>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</si>
  <si>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</si>
  <si>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</si>
  <si>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</si>
  <si>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</si>
  <si>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</si>
  <si>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</si>
  <si>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</si>
  <si>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</si>
  <si>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</si>
  <si>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</si>
  <si>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</si>
  <si>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</si>
  <si>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</si>
  <si>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</si>
  <si>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</si>
  <si>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</si>
  <si>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</si>
  <si>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</si>
  <si>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</si>
  <si>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</si>
  <si>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</si>
  <si>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</si>
  <si>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</si>
  <si>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</si>
  <si>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</si>
  <si>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</si>
  <si>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</si>
  <si>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</si>
  <si>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</si>
  <si>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</si>
  <si>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</si>
  <si>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</si>
  <si>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</si>
  <si>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</si>
  <si>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</si>
  <si>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</si>
  <si>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</si>
  <si>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</si>
  <si>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</si>
  <si>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</si>
  <si>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</si>
  <si>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</si>
  <si>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</si>
  <si>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</si>
  <si>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</si>
  <si>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</si>
  <si>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</si>
  <si>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</si>
  <si>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</si>
  <si>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</si>
  <si>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</si>
  <si>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</si>
  <si>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</si>
  <si>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</si>
  <si>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</si>
  <si>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</si>
  <si>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</si>
  <si>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</si>
  <si>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</si>
  <si>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</si>
  <si>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</si>
  <si>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</si>
  <si>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</si>
  <si>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</si>
  <si>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</si>
  <si>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</si>
  <si>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</si>
  <si>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</si>
  <si>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</si>
  <si>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</si>
  <si>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</si>
  <si>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</si>
  <si>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</si>
  <si>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</si>
  <si>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</si>
  <si>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</si>
  <si>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</si>
  <si>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</si>
  <si>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</si>
  <si>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</si>
  <si>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</si>
  <si>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</si>
  <si>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</si>
  <si>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</si>
  <si>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</si>
  <si>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</si>
  <si>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</si>
  <si>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</si>
  <si>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</si>
  <si>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</si>
  <si>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</si>
  <si>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</si>
  <si>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</si>
  <si>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</si>
  <si>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</si>
  <si>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</si>
  <si>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</si>
  <si>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</si>
  <si>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</si>
  <si>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</si>
  <si>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</si>
  <si>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</si>
  <si>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</si>
  <si>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</si>
  <si>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</si>
  <si>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</si>
  <si>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</si>
  <si>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</si>
  <si>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</si>
  <si>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</si>
  <si>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</si>
  <si>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</si>
  <si>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</si>
  <si>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</si>
  <si>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</si>
  <si>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</si>
  <si>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</si>
  <si>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</si>
  <si>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</si>
  <si>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</si>
  <si>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</si>
  <si>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</si>
  <si>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</si>
  <si>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</si>
  <si>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</si>
  <si>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</si>
  <si>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</si>
  <si>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</si>
  <si>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</si>
  <si>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</si>
  <si>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</si>
  <si>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</si>
  <si>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</si>
  <si>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</si>
  <si>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</si>
  <si>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</si>
  <si>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</si>
  <si>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</si>
  <si>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</si>
  <si>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</si>
  <si>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</si>
  <si>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</si>
  <si>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</si>
  <si>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</si>
  <si>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</si>
  <si>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</si>
  <si>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</si>
  <si>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</si>
  <si>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</si>
  <si>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</si>
  <si>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</si>
  <si>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</si>
  <si>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</si>
  <si>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</si>
  <si>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</si>
  <si>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</si>
  <si>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</si>
  <si>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</si>
  <si>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</si>
  <si>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</si>
  <si>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</si>
  <si>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</si>
  <si>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</si>
  <si>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</si>
  <si>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</si>
  <si>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</si>
  <si>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</si>
  <si>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</si>
  <si>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</si>
  <si>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</si>
  <si>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</si>
  <si>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</si>
  <si>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</si>
  <si>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</si>
  <si>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</si>
  <si>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</si>
  <si>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</si>
  <si>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</si>
  <si>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</si>
  <si>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</si>
  <si>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</si>
  <si>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</si>
  <si>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</si>
  <si>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</si>
  <si>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</si>
  <si>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</si>
  <si>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</si>
  <si>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</si>
  <si>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</si>
  <si>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</si>
  <si>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</si>
  <si>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</si>
  <si>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</si>
  <si>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</si>
  <si>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</si>
  <si>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</si>
  <si>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</si>
  <si>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</si>
  <si>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</si>
  <si>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</si>
  <si>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</si>
  <si>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</si>
  <si>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</si>
  <si>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</si>
  <si>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</si>
  <si>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</si>
  <si>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</si>
  <si>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</si>
  <si>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</si>
  <si>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</si>
  <si>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</si>
  <si>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</si>
  <si>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</si>
  <si>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</si>
  <si>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</si>
  <si>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</si>
  <si>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</si>
  <si>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</si>
  <si>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</si>
  <si>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</si>
  <si>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</si>
  <si>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</si>
  <si>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</si>
  <si>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</si>
  <si>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</si>
  <si>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</si>
  <si>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</si>
  <si>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</si>
  <si>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</si>
  <si>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</si>
  <si>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</si>
  <si>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</si>
  <si>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</si>
  <si>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</si>
  <si>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</si>
  <si>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</si>
  <si>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</si>
  <si>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</si>
  <si>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</si>
  <si>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</si>
  <si>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</si>
  <si>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</si>
  <si>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</si>
  <si>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</si>
  <si>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</si>
  <si>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</si>
  <si>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</si>
  <si>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</si>
  <si>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</si>
  <si>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</si>
  <si>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</si>
  <si>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</si>
  <si>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</si>
  <si>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</si>
  <si>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</si>
  <si>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</si>
  <si>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</si>
  <si>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</si>
  <si>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</si>
  <si>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</si>
  <si>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</si>
  <si>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</si>
  <si>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</si>
  <si>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</si>
  <si>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</si>
  <si>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</si>
  <si>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</si>
  <si>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</si>
  <si>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</si>
  <si>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</si>
  <si>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</si>
  <si>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</si>
  <si>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</si>
  <si>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</si>
  <si>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</si>
  <si>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</si>
  <si>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</si>
  <si>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</si>
  <si>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</si>
  <si>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</si>
  <si>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</si>
  <si>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</si>
  <si>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</si>
  <si>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</si>
  <si>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</si>
  <si>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</si>
  <si>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</si>
  <si>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</si>
  <si>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</si>
  <si>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</si>
  <si>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</si>
  <si>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</si>
  <si>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</si>
  <si>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</si>
  <si>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</si>
  <si>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</si>
  <si>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</si>
  <si>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</si>
  <si>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</si>
  <si>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</si>
  <si>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</si>
  <si>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</si>
  <si>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</si>
  <si>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</si>
  <si>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</si>
  <si>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</si>
  <si>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</si>
  <si>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</si>
  <si>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</si>
  <si>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</si>
  <si>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</si>
  <si>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</si>
  <si>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</si>
  <si>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</si>
  <si>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</si>
  <si>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</si>
  <si>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</si>
  <si>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</si>
  <si>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</si>
  <si>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</si>
  <si>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</si>
  <si>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</si>
  <si>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</si>
  <si>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</si>
  <si>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</si>
  <si>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</si>
  <si>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</si>
  <si>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</si>
  <si>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</si>
  <si>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</si>
  <si>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</si>
  <si>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</si>
  <si>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</si>
  <si>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</si>
  <si>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</si>
  <si>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</si>
  <si>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</si>
  <si>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</si>
  <si>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</si>
  <si>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</si>
  <si>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</si>
  <si>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</si>
  <si>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</si>
  <si>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</si>
  <si>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</si>
  <si>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</si>
  <si>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</si>
  <si>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</si>
  <si>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</si>
  <si>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</si>
  <si>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</si>
  <si>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</si>
  <si>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</si>
  <si>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</si>
  <si>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</si>
  <si>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</si>
  <si>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</si>
  <si>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</si>
  <si>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</si>
  <si>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</si>
  <si>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</si>
  <si>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</si>
  <si>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</si>
  <si>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</si>
  <si>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</si>
  <si>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</si>
  <si>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</si>
  <si>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</si>
  <si>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</si>
  <si>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</si>
  <si>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</si>
  <si>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</si>
  <si>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</si>
  <si>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</si>
  <si>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</si>
  <si>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</si>
  <si>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</si>
  <si>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</si>
  <si>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</si>
  <si>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</si>
  <si>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</si>
  <si>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</si>
  <si>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</si>
  <si>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</si>
  <si>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</si>
  <si>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</si>
  <si>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</si>
  <si>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</si>
  <si>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</si>
  <si>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</si>
  <si>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</si>
  <si>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</si>
  <si>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</si>
  <si>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</si>
  <si>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</si>
  <si>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</si>
  <si>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</si>
  <si>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</si>
  <si>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</si>
  <si>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</si>
  <si>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</si>
  <si>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</si>
  <si>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</si>
  <si>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</si>
  <si>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</si>
  <si>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</si>
  <si>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</si>
  <si>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</si>
  <si>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</si>
  <si>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</si>
  <si>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</si>
  <si>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</si>
  <si>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</si>
  <si>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</si>
  <si>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</si>
  <si>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</si>
  <si>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</si>
  <si>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</si>
  <si>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</si>
  <si>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</si>
  <si>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</si>
  <si>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</si>
  <si>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</si>
  <si>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</si>
  <si>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</si>
  <si>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</si>
  <si>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</si>
  <si>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</si>
  <si>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</si>
  <si>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</si>
  <si>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</si>
  <si>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</si>
  <si>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</si>
  <si>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</si>
  <si>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</si>
  <si>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</si>
  <si>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</si>
  <si>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</si>
  <si>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</si>
  <si>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</si>
  <si>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</si>
  <si>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</si>
  <si>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</si>
  <si>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</si>
  <si>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</si>
  <si>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</si>
  <si>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</si>
  <si>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</si>
  <si>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</si>
  <si>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</si>
  <si>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</si>
  <si>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</si>
  <si>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</si>
  <si>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</si>
  <si>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</si>
  <si>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</si>
  <si>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</si>
  <si>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</si>
  <si>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</si>
  <si>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</si>
  <si>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</si>
  <si>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</si>
  <si>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</si>
  <si>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</si>
  <si>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</si>
  <si>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</si>
  <si>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</si>
  <si>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</si>
  <si>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</si>
  <si>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</si>
  <si>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</si>
  <si>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</si>
  <si>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</si>
  <si>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</si>
  <si>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</si>
  <si>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</si>
  <si>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</si>
  <si>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</si>
  <si>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</si>
  <si>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</si>
  <si>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</si>
  <si>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</si>
  <si>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</si>
  <si>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</si>
  <si>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</si>
  <si>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</si>
  <si>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</si>
  <si>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</si>
  <si>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</si>
  <si>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</si>
  <si>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</si>
  <si>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</si>
  <si>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</si>
  <si>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</si>
  <si>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</si>
  <si>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</si>
  <si>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</si>
  <si>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</si>
  <si>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</si>
  <si>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</si>
  <si>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</si>
  <si>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</si>
  <si>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</si>
  <si>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</si>
  <si>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</si>
  <si>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</si>
  <si>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</si>
  <si>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</si>
  <si>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</si>
  <si>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</si>
  <si>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</si>
  <si>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</si>
  <si>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</si>
  <si>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</si>
  <si>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</si>
  <si>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</si>
  <si>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</si>
  <si>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</si>
  <si>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</si>
  <si>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</si>
  <si>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</si>
  <si>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</si>
  <si>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</si>
  <si>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</si>
  <si>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</si>
  <si>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</si>
  <si>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</si>
  <si>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</si>
  <si>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</si>
  <si>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</si>
  <si>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</si>
  <si>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</si>
  <si>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</si>
  <si>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</si>
  <si>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</si>
  <si>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</si>
  <si>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</si>
  <si>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</si>
  <si>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</si>
  <si>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</si>
  <si>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</si>
  <si>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</si>
  <si>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</si>
  <si>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</si>
  <si>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</si>
  <si>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</si>
  <si>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</si>
  <si>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</si>
  <si>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</si>
  <si>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</si>
  <si>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</si>
  <si>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</si>
  <si>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</si>
  <si>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</si>
  <si>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</si>
  <si>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</si>
  <si>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</si>
  <si>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</si>
  <si>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</si>
  <si>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</si>
  <si>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</si>
  <si>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</si>
  <si>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</si>
  <si>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</si>
  <si>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</si>
  <si>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</si>
  <si>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</si>
  <si>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</si>
  <si>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</si>
  <si>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</si>
  <si>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</si>
  <si>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</si>
  <si>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</si>
  <si>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</si>
  <si>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</si>
  <si>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</si>
  <si>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</si>
  <si>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</si>
  <si>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</si>
  <si>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</si>
  <si>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</si>
  <si>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</si>
  <si>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</si>
  <si>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</si>
  <si>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</si>
  <si>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</si>
  <si>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</si>
  <si>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</si>
  <si>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</si>
  <si>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</si>
  <si>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</si>
  <si>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</si>
  <si>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</si>
  <si>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</si>
  <si>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</si>
  <si>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</si>
  <si>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</si>
  <si>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</si>
  <si>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</si>
  <si>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</si>
  <si>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</si>
  <si>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</si>
  <si>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</si>
  <si>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</si>
  <si>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</si>
  <si>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</si>
  <si>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</si>
  <si>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</si>
  <si>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</si>
  <si>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</si>
  <si>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</si>
  <si>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</si>
  <si>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</si>
  <si>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</si>
  <si>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</si>
  <si>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</si>
  <si>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</si>
  <si>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</si>
  <si>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</si>
  <si>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</si>
  <si>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</si>
  <si>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</si>
  <si>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</si>
  <si>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</si>
  <si>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</si>
  <si>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</si>
  <si>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</si>
  <si>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</si>
  <si>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</si>
  <si>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</si>
  <si>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</si>
  <si>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</si>
  <si>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</si>
  <si>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</si>
  <si>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</si>
  <si>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</si>
  <si>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</si>
  <si>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</si>
  <si>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</si>
  <si>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</si>
  <si>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</si>
  <si>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</si>
  <si>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</si>
  <si>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</si>
  <si>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</si>
  <si>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</si>
  <si>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</si>
  <si>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</si>
  <si>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</si>
  <si>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</si>
  <si>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</si>
  <si>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</si>
  <si>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</si>
  <si>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</si>
  <si>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</si>
  <si>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</si>
  <si>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</si>
  <si>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</si>
  <si>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</si>
  <si>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</si>
  <si>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</si>
  <si>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</si>
  <si>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</si>
  <si>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</si>
  <si>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</si>
  <si>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</si>
  <si>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</si>
  <si>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</si>
  <si>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</si>
  <si>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</si>
  <si>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</si>
  <si>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</si>
  <si>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</si>
  <si>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</si>
  <si>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</si>
  <si>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</si>
  <si>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</si>
  <si>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</si>
  <si>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</si>
  <si>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</si>
  <si>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</si>
  <si>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</si>
  <si>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</si>
  <si>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</si>
  <si>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</si>
  <si>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</si>
  <si>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</si>
  <si>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</si>
  <si>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</si>
  <si>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</si>
  <si>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</si>
  <si>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</si>
  <si>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</si>
  <si>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</si>
  <si>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</si>
  <si>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</si>
  <si>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</si>
  <si>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</si>
  <si>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</si>
  <si>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</si>
  <si>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</si>
  <si>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</si>
  <si>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</si>
  <si>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</si>
  <si>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</si>
  <si>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</si>
  <si>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</si>
  <si>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</si>
  <si>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</si>
  <si>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</si>
  <si>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</si>
  <si>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</si>
  <si>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</si>
  <si>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</si>
  <si>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</si>
  <si>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</si>
  <si>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</si>
  <si>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</si>
  <si>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</si>
  <si>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</si>
  <si>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</si>
  <si>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</si>
  <si>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</si>
  <si>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</si>
  <si>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</si>
  <si>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</si>
  <si>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</si>
  <si>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</si>
  <si>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</si>
  <si>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</si>
  <si>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</si>
  <si>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</si>
  <si>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</si>
  <si>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</si>
  <si>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</si>
  <si>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</si>
  <si>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</si>
  <si>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</si>
  <si>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</si>
  <si>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</si>
  <si>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</si>
  <si>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</si>
  <si>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</si>
  <si>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</si>
  <si>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</si>
  <si>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</si>
  <si>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</si>
  <si>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</si>
  <si>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</si>
  <si>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</si>
  <si>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</si>
  <si>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</si>
  <si>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</si>
  <si>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</si>
  <si>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</si>
  <si>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</si>
  <si>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</si>
  <si>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</si>
  <si>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</si>
  <si>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</si>
  <si>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</si>
  <si>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</si>
  <si>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</si>
  <si>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</si>
  <si>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</si>
  <si>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</si>
  <si>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</si>
  <si>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</si>
  <si>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</si>
  <si>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</si>
  <si>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</si>
  <si>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</si>
  <si>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</si>
  <si>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</si>
  <si>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</si>
  <si>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</si>
  <si>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</si>
  <si>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</si>
  <si>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</si>
  <si>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</si>
  <si>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</si>
  <si>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</si>
  <si>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</si>
  <si>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</si>
  <si>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</si>
  <si>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</si>
  <si>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</si>
  <si>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</si>
  <si>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</si>
  <si>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</si>
  <si>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</si>
  <si>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</si>
  <si>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</si>
  <si>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</si>
  <si>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2017-1-0959-F01DYGJ1</t>
    <phoneticPr fontId="6" type="noConversion"/>
  </si>
  <si>
    <t>欧红伟</t>
  </si>
  <si>
    <t>梁津</t>
  </si>
  <si>
    <t>上海浦东发展银行股份有限公司北京分行</t>
    <phoneticPr fontId="6" type="noConversion"/>
  </si>
  <si>
    <t>抵押</t>
  </si>
  <si>
    <t>房地产抵押价值</t>
  </si>
  <si>
    <t>北京市</t>
  </si>
  <si>
    <r>
      <rPr>
        <sz val="12"/>
        <color theme="9" tint="-0.249977111117893"/>
        <rFont val="宋体"/>
        <family val="3"/>
        <charset val="134"/>
      </rPr>
      <t>昌平区黄平路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号楼商业及地下车库用房</t>
    </r>
    <phoneticPr fontId="6" type="noConversion"/>
  </si>
  <si>
    <t>企业</t>
  </si>
  <si>
    <t>出让</t>
  </si>
  <si>
    <t>是</t>
  </si>
  <si>
    <t>复印件</t>
  </si>
  <si>
    <t>上海浦东发展银行股份有限公司北京分行</t>
    <phoneticPr fontId="6" type="noConversion"/>
  </si>
  <si>
    <r>
      <t>63000</t>
    </r>
    <r>
      <rPr>
        <sz val="10"/>
        <color theme="9" tint="-0.249977111117893"/>
        <rFont val="宋体"/>
        <family val="3"/>
        <charset val="134"/>
      </rPr>
      <t>万元</t>
    </r>
    <phoneticPr fontId="6" type="noConversion"/>
  </si>
  <si>
    <t>商业项目</t>
  </si>
  <si>
    <t>无</t>
  </si>
  <si>
    <t>否</t>
  </si>
  <si>
    <t>现房</t>
  </si>
  <si>
    <t>正常</t>
    <phoneticPr fontId="6" type="noConversion"/>
  </si>
  <si>
    <t>通路</t>
  </si>
  <si>
    <t>通电</t>
  </si>
  <si>
    <t>通上水</t>
  </si>
  <si>
    <t>通下水</t>
  </si>
  <si>
    <t>通讯</t>
  </si>
  <si>
    <t>房屋所有权证》[X京房权证昌字第522077号]及《房屋面积测算技术报告书》</t>
    <phoneticPr fontId="6" type="noConversion"/>
  </si>
  <si>
    <t>《国有土地使用证》[京昌国用（2011出）第00051号]、《房屋所有权证》[X京房权证昌字第522077号]及《宗地图成果报告书》[测号：JCD-11128（变更3）]</t>
    <phoneticPr fontId="6" type="noConversion"/>
  </si>
  <si>
    <t>京昌国用（2011出）第0051号</t>
    <phoneticPr fontId="3" type="noConversion"/>
  </si>
  <si>
    <t>房屋面积测绘报告书</t>
    <phoneticPr fontId="3" type="noConversion"/>
  </si>
  <si>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</si>
  <si>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</si>
  <si>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</si>
  <si>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</si>
  <si>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</si>
  <si>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</si>
  <si>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</si>
  <si>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</si>
  <si>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</si>
  <si>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</si>
  <si>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</si>
  <si>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</si>
  <si>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地上商业-出租部分</t>
    <phoneticPr fontId="3" type="noConversion"/>
  </si>
  <si>
    <t>地上商业-未出租部分</t>
    <phoneticPr fontId="3" type="noConversion"/>
  </si>
  <si>
    <t>估价对象位于回龙观与西三旗商圈之间，周边商业氛围较好，人流量一般，商业繁华度较好</t>
    <phoneticPr fontId="3" type="noConversion"/>
  </si>
  <si>
    <t>估价对象周边有371、462等公交线路并有8号线等，公共交通通达情况；项目自身有停车位、停车便捷程度较好，综合评价交通便捷度较好</t>
    <phoneticPr fontId="3" type="noConversion"/>
  </si>
  <si>
    <t>区域自然环境：南店公园等；人文环境：北京石油管理干部学院；综合评价环境状况较好</t>
    <phoneticPr fontId="3" type="noConversion"/>
  </si>
  <si>
    <t>城市次干道——文华路</t>
    <phoneticPr fontId="3" type="noConversion"/>
  </si>
  <si>
    <t>估价对象所在区域公共配套设施较齐备；综合评价公用设施及基础设施水平较好</t>
    <phoneticPr fontId="3" type="noConversion"/>
  </si>
  <si>
    <t>基础设施水平七通一平；</t>
    <phoneticPr fontId="3" type="noConversion"/>
  </si>
  <si>
    <t>双面临街</t>
  </si>
  <si>
    <t>城市支路——裕民中路</t>
    <phoneticPr fontId="3" type="noConversion"/>
  </si>
  <si>
    <t>3级</t>
    <phoneticPr fontId="3" type="noConversion"/>
  </si>
  <si>
    <t>多面临街</t>
  </si>
  <si>
    <t>批发零售用地</t>
  </si>
  <si>
    <t>宗地容积率</t>
  </si>
  <si>
    <t>不临58条商业街</t>
  </si>
  <si>
    <t>有</t>
  </si>
  <si>
    <t>500-1000米</t>
  </si>
  <si>
    <t>六通一平</t>
  </si>
  <si>
    <t>缺少</t>
  </si>
  <si>
    <t>通热</t>
  </si>
  <si>
    <t>按公示增长率计算</t>
  </si>
  <si>
    <t>一般</t>
  </si>
  <si>
    <t>一般</t>
    <phoneticPr fontId="25" type="noConversion"/>
  </si>
  <si>
    <t>较好</t>
  </si>
  <si>
    <t>宽度290米，深度210米,临街宽度及深度比例较适宜，对土地利用无不利影响</t>
    <phoneticPr fontId="79" type="noConversion"/>
  </si>
  <si>
    <t>宗地形状不规则，但对宗地利用影响较小</t>
    <phoneticPr fontId="79" type="noConversion"/>
  </si>
  <si>
    <t>好</t>
  </si>
  <si>
    <t>成新度</t>
  </si>
  <si>
    <t>收益法-自用地上商业</t>
  </si>
  <si>
    <t>收益法-自用地上商业</t>
    <phoneticPr fontId="16" type="noConversion"/>
  </si>
  <si>
    <t>收益法-自用地下商业</t>
    <phoneticPr fontId="16" type="noConversion"/>
  </si>
  <si>
    <t>收益法-出租地上商业</t>
  </si>
  <si>
    <t>收益法-车库</t>
  </si>
  <si>
    <t>收益法-车库</t>
    <phoneticPr fontId="16" type="noConversion"/>
  </si>
  <si>
    <t>地上商业-出租部分</t>
  </si>
  <si>
    <t>成本法</t>
  </si>
  <si>
    <t>收益法（汇总）</t>
  </si>
  <si>
    <t>需扣减承租人权益</t>
  </si>
  <si>
    <t>全部缴纳</t>
  </si>
  <si>
    <t>未包含在土地购买价格中</t>
  </si>
  <si>
    <t>已包含在土地取得成本中</t>
  </si>
  <si>
    <t>钢混</t>
  </si>
  <si>
    <t>非生产用房</t>
  </si>
  <si>
    <t>押一</t>
  </si>
  <si>
    <t>2层租金单价</t>
  </si>
  <si>
    <t>3层租金单价</t>
  </si>
  <si>
    <t>4层租金单价</t>
  </si>
  <si>
    <t>出租面积</t>
  </si>
  <si>
    <t>未租面积</t>
  </si>
  <si>
    <t>一层面积</t>
  </si>
  <si>
    <t>1层租金单价</t>
  </si>
  <si>
    <t>二层面积</t>
  </si>
  <si>
    <t>三层面积</t>
  </si>
  <si>
    <t>四层面积</t>
  </si>
  <si>
    <t>地下一层</t>
  </si>
  <si>
    <t>地下一层租金单价</t>
  </si>
  <si>
    <t>折算系数</t>
  </si>
  <si>
    <t>基准地价楼层修正系数</t>
  </si>
  <si>
    <t>地上</t>
    <phoneticPr fontId="143" type="noConversion"/>
  </si>
  <si>
    <t>地上单价</t>
    <phoneticPr fontId="143" type="noConversion"/>
  </si>
  <si>
    <t>地上商业-未出租部分</t>
  </si>
  <si>
    <t>地下商业</t>
  </si>
  <si>
    <t>地下商业</t>
    <phoneticPr fontId="7" type="noConversion"/>
  </si>
  <si>
    <t>地下车库</t>
    <phoneticPr fontId="7" type="noConversion"/>
  </si>
  <si>
    <t>收益法-出租地上商业</t>
    <phoneticPr fontId="16" type="noConversion"/>
  </si>
  <si>
    <t>收益法-地下商业</t>
  </si>
  <si>
    <t>收益法-地下商业</t>
    <phoneticPr fontId="16" type="noConversion"/>
  </si>
  <si>
    <t>建筑物/在建建筑物价值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</si>
</sst>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sz val="10"/>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191" fillId="0" borderId="1" xfId="0" applyFont="1" applyBorder="1" applyAlignment="1" applyProtection="1">
      <alignment horizontal="left" vertical="center"/>
      <protection locked="0"/>
    </xf>
    <xf numFmtId="0" fontId="255"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56" fillId="5" borderId="3"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6" fillId="5" borderId="2"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242" fillId="0" borderId="1"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5" borderId="0" xfId="0" applyFill="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21326;&#25151;&#22320;&#20135;3&#21495;&#27004;&#25910;&#20837;&#26126;&#32454;&#65288;&#35780;&#2027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购物中心 (提供评估)"/>
      <sheetName val="Sheet1"/>
    </sheetNames>
    <sheetDataSet>
      <sheetData sheetId="0"/>
      <sheetData sheetId="1">
        <row r="53">
          <cell r="L53">
            <v>2.5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C10" sqref="C10"/>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北京市昌平区黄平路19号院3号楼商业及地下车库用房房地产抵押价值预评估</v>
      </c>
    </row>
    <row r="3" spans="1:2" s="1594" customFormat="1">
      <c r="A3" s="1592" t="s">
        <v>1222</v>
      </c>
      <c r="B3" s="1593" t="str">
        <f>'预评函-封皮'!B40</f>
        <v>上海浦东发展银行股份有限公司北京分行</v>
      </c>
    </row>
    <row r="4" spans="1:2" s="1594" customFormat="1">
      <c r="A4" s="1592" t="s">
        <v>1223</v>
      </c>
      <c r="B4" s="1593" t="str">
        <f ca="1">'预评函-封皮'!B46</f>
        <v>欧红伟（注册号：1120000080)、梁津（注册号：1119970066)</v>
      </c>
    </row>
    <row r="5" spans="1:2" s="1588" customFormat="1" ht="15" thickBot="1">
      <c r="A5" s="1595" t="s">
        <v>1224</v>
      </c>
      <c r="B5" s="1596" t="str">
        <f>'预评函-封皮'!B49</f>
        <v>康正预评字2017-1-0959-F01DYGJ1号</v>
      </c>
    </row>
    <row r="6" spans="1:2" s="1591" customFormat="1" ht="15" thickTop="1">
      <c r="A6" s="1589" t="s">
        <v>1225</v>
      </c>
      <c r="B6" s="1590" t="str">
        <f>'预评函-1'!A4</f>
        <v>受贵公司委托，我公司对北京市昌平区黄平路19号院3号楼商业及地下车库用房房地产抵押价值进行了预评估。</v>
      </c>
    </row>
    <row r="7" spans="1:2" s="1594" customFormat="1">
      <c r="A7" s="1592" t="s">
        <v>1265</v>
      </c>
      <c r="B7" s="1593" t="str">
        <f>'预评函-1'!A7</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65110.92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65110.92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为估价委托人在向办理贷款手续过程中，确定房地产抵押贷款额度提供参考依据而评估房地产抵押价值。</v>
      </c>
    </row>
    <row r="12" spans="1:2" s="1594" customFormat="1">
      <c r="A12" s="1592" t="s">
        <v>1227</v>
      </c>
      <c r="B12" s="1593" t="str">
        <f>'预评函-1'!A15</f>
        <v>2017年10月31日（评估专业人员实地查勘之日）</v>
      </c>
    </row>
    <row r="13" spans="1:2" s="1594" customFormat="1">
      <c r="A13" s="1592" t="s">
        <v>1228</v>
      </c>
      <c r="B13" s="1593" t="str">
        <f>'预评函-1'!A18</f>
        <v>本次估价的“房地产价值”是指在正常市场情况下，在价值时点2017年10月31日，估价对象规划用途为，土地取得方式为出让，出让国有建设用地使用权剩余土地使用年限为，假定未设立法定优先受偿款下的房地产市场价值。</v>
      </c>
    </row>
    <row r="14" spans="1:2" s="1594" customFormat="1">
      <c r="A14" s="1592" t="s">
        <v>1229</v>
      </c>
      <c r="B14" s="1593" t="str">
        <f>'预评函-1'!A19</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142086</v>
      </c>
    </row>
    <row r="21" spans="1:2" s="1594" customFormat="1">
      <c r="A21" s="1592" t="s">
        <v>1236</v>
      </c>
      <c r="B21" s="1593">
        <f ca="1">'预评函-2'!D7</f>
        <v>21822</v>
      </c>
    </row>
    <row r="22" spans="1:2" s="1594" customFormat="1">
      <c r="A22" s="1592" t="s">
        <v>1237</v>
      </c>
      <c r="B22" s="1593" t="str">
        <f ca="1">'预评函-2'!D6</f>
        <v>壹拾肆亿贰仟零捌拾陆万元整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142086</v>
      </c>
    </row>
    <row r="31" spans="1:2" s="1594" customFormat="1">
      <c r="A31" s="1592" t="s">
        <v>1275</v>
      </c>
      <c r="B31" s="1593">
        <f ca="1">'预评函-2'!D15</f>
        <v>21822</v>
      </c>
    </row>
    <row r="32" spans="1:2" s="1594" customFormat="1">
      <c r="A32" s="1592" t="s">
        <v>1242</v>
      </c>
      <c r="B32" s="1593" t="str">
        <f ca="1">'预评函-2'!D14</f>
        <v>壹拾肆亿贰仟零捌拾陆万元整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北京市昌平区黄平路19号院3号楼商业及地下车库用房房地产</v>
      </c>
    </row>
    <row r="42" spans="1:2" s="1594" customFormat="1">
      <c r="A42" s="1592" t="s">
        <v>1289</v>
      </c>
      <c r="B42" s="1593" t="str">
        <f>'预评函-3'!B2</f>
        <v>建筑面积</v>
      </c>
    </row>
    <row r="43" spans="1:2" s="1594" customFormat="1">
      <c r="A43" s="1592" t="s">
        <v>1290</v>
      </c>
      <c r="B43" s="1593">
        <f>'预评函-3'!B4</f>
        <v>65110.920000000006</v>
      </c>
    </row>
    <row r="44" spans="1:2" s="1594" customFormat="1">
      <c r="A44" s="1592" t="s">
        <v>1274</v>
      </c>
      <c r="B44" s="1593" t="str">
        <f>'预评函-3'!C2</f>
        <v>(分摊)土地面积</v>
      </c>
    </row>
    <row r="45" spans="1:2" s="1594" customFormat="1">
      <c r="A45" s="1592" t="s">
        <v>1246</v>
      </c>
      <c r="B45" s="1593">
        <f>'预评函-3'!C4</f>
        <v>17111.18</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建筑物/在建建筑物价值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梁津</v>
      </c>
    </row>
    <row r="73" spans="1:2" s="1588" customFormat="1" ht="15" thickBot="1">
      <c r="A73" s="1595" t="s">
        <v>1264</v>
      </c>
      <c r="B73" s="1596">
        <f ca="1">'预评函-4'!B5</f>
        <v>1119970066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3108</v>
      </c>
      <c r="C17" s="2016"/>
    </row>
    <row r="18" spans="1:3">
      <c r="A18" s="2015" t="s">
        <v>1769</v>
      </c>
      <c r="B18" s="2015" t="s">
        <v>3109</v>
      </c>
      <c r="C18" s="2016"/>
    </row>
    <row r="19" spans="1:3">
      <c r="A19" s="2015" t="s">
        <v>1770</v>
      </c>
      <c r="B19" s="2015" t="s">
        <v>3145</v>
      </c>
      <c r="C19" s="2016"/>
    </row>
    <row r="20" spans="1:3">
      <c r="A20" s="2015" t="s">
        <v>1771</v>
      </c>
      <c r="B20" s="2015" t="s">
        <v>3143</v>
      </c>
      <c r="C20" s="2016"/>
    </row>
    <row r="21" spans="1:3">
      <c r="A21" s="2015" t="s">
        <v>1772</v>
      </c>
      <c r="B21" s="2015" t="s">
        <v>3112</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商业及地下车库用房房地产作为抵押担保物，向办理贷款手续。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9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3" t="s">
        <v>864</v>
      </c>
      <c r="C54" s="2020" t="s">
        <v>1282</v>
      </c>
    </row>
    <row r="55" spans="1:4">
      <c r="A55" s="2999"/>
      <c r="B55" s="2023" t="s">
        <v>865</v>
      </c>
      <c r="C55" s="2020" t="s">
        <v>1283</v>
      </c>
    </row>
    <row r="56" spans="1:4">
      <c r="A56" s="2999"/>
      <c r="B56" s="2023" t="s">
        <v>866</v>
      </c>
      <c r="C56" s="2020" t="s">
        <v>1287</v>
      </c>
    </row>
    <row r="57" spans="1:4">
      <c r="A57" s="2999"/>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C30" sqref="C30:D30"/>
    </sheetView>
  </sheetViews>
  <sheetFormatPr defaultColWidth="10" defaultRowHeight="18" customHeight="1"/>
  <cols>
    <col min="1" max="1" width="14.875" style="2033" customWidth="1"/>
    <col min="2" max="2" width="12.125" style="2033" customWidth="1"/>
    <col min="3" max="3" width="11.5" style="2033" customWidth="1"/>
    <col min="4" max="4" width="13.7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008" t="str">
        <f>IF(B10="北京市","北京市",C10)&amp;F10&amp;IF(结果表!G1="在建","出让国有建设用地使用权及在建建筑物",IF(结果表!G1="土地","出让国有建设用地使用权",))&amp;B9&amp;"预评估"</f>
        <v>北京市昌平区黄平路19号院3号楼商业及地下车库用房房地产抵押价值预评估</v>
      </c>
      <c r="C1" s="3009"/>
      <c r="D1" s="3009"/>
      <c r="E1" s="3009"/>
      <c r="F1" s="3009"/>
      <c r="G1" s="3009"/>
      <c r="H1" s="3009"/>
      <c r="I1" s="301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北京市昌平区黄平路19号院3号楼商业及地下车库用房房地产抵押价值</v>
      </c>
    </row>
    <row r="2" spans="1:19" ht="18" customHeight="1">
      <c r="A2" s="2027" t="s">
        <v>1779</v>
      </c>
      <c r="B2" s="1039" t="s">
        <v>3039</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北京市昌平区黄平路19号院3号楼商业及地下车库用房房地产</v>
      </c>
    </row>
    <row r="3" spans="1:19" ht="18" customHeight="1">
      <c r="A3" s="2036" t="s">
        <v>1780</v>
      </c>
      <c r="B3" s="2037">
        <v>43039</v>
      </c>
      <c r="C3" s="2038" t="s">
        <v>1781</v>
      </c>
      <c r="D3" s="2037">
        <f>B3</f>
        <v>43039</v>
      </c>
      <c r="E3" s="2027"/>
      <c r="F3" s="2027"/>
      <c r="G3" s="2027"/>
      <c r="H3" s="2027"/>
      <c r="I3" s="2027"/>
      <c r="J3" s="2027"/>
      <c r="K3" s="2028"/>
      <c r="L3" s="2029"/>
      <c r="M3" s="2029"/>
      <c r="N3" s="2030"/>
      <c r="O3" s="2031"/>
      <c r="P3" s="2030"/>
      <c r="Q3" s="2030"/>
      <c r="R3" s="2030"/>
      <c r="S3" s="2032"/>
    </row>
    <row r="4" spans="1:19" ht="18" customHeight="1" thickBot="1">
      <c r="A4" s="2039" t="s">
        <v>1782</v>
      </c>
      <c r="B4" s="2040" t="s">
        <v>3040</v>
      </c>
      <c r="C4" s="1037">
        <f ca="1">SUMIF(注册房地产估价师,B4,估价师及机构信息!B3:B24)</f>
        <v>1120000080</v>
      </c>
      <c r="D4" s="2040" t="s">
        <v>3041</v>
      </c>
      <c r="E4" s="1038">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18" customHeight="1" thickTop="1">
      <c r="A5" s="2045" t="s">
        <v>1783</v>
      </c>
      <c r="B5" s="2928" t="s">
        <v>3042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c r="C7" s="2050"/>
      <c r="D7" s="2051"/>
      <c r="E7" s="2035"/>
      <c r="F7" s="2043"/>
      <c r="G7" s="2043"/>
      <c r="H7" s="2043"/>
      <c r="I7" s="2043"/>
      <c r="J7" s="2043"/>
      <c r="K7" s="2054"/>
      <c r="L7" s="2029"/>
      <c r="M7" s="2029"/>
      <c r="N7" s="2030"/>
      <c r="O7" s="2031"/>
      <c r="P7" s="2030"/>
      <c r="Q7" s="2030"/>
      <c r="R7" s="2030"/>
    </row>
    <row r="8" spans="1:19" ht="18" customHeight="1">
      <c r="A8" s="2048" t="s">
        <v>1786</v>
      </c>
      <c r="B8" s="2055" t="s">
        <v>3043</v>
      </c>
      <c r="C8" s="2056"/>
      <c r="D8" s="3011" t="s">
        <v>1787</v>
      </c>
      <c r="E8" s="2057" t="s">
        <v>3044</v>
      </c>
      <c r="F8" s="2058"/>
      <c r="G8" s="2027"/>
      <c r="H8" s="2027"/>
      <c r="I8" s="2027"/>
      <c r="J8" s="2043"/>
      <c r="K8" s="2044"/>
      <c r="L8" s="2029"/>
      <c r="M8" s="2029"/>
      <c r="N8" s="2030"/>
      <c r="O8" s="2031"/>
      <c r="P8" s="2030"/>
      <c r="Q8" s="2030"/>
      <c r="R8" s="2030"/>
    </row>
    <row r="9" spans="1:19" ht="18" customHeight="1" thickBot="1">
      <c r="A9" s="2041" t="s">
        <v>1788</v>
      </c>
      <c r="B9" s="2059" t="s">
        <v>3044</v>
      </c>
      <c r="C9" s="2060"/>
      <c r="D9" s="3012"/>
      <c r="E9" s="2059"/>
      <c r="F9" s="2061"/>
      <c r="G9" s="2062"/>
      <c r="H9" s="2062"/>
      <c r="I9" s="2062"/>
      <c r="J9" s="2043"/>
      <c r="K9" s="2054"/>
      <c r="L9" s="2029"/>
      <c r="M9" s="2029"/>
      <c r="N9" s="2030"/>
      <c r="O9" s="2031"/>
      <c r="P9" s="2030"/>
      <c r="Q9" s="2030"/>
      <c r="R9" s="2030"/>
    </row>
    <row r="10" spans="1:19" ht="18" customHeight="1" thickTop="1">
      <c r="A10" s="2063" t="s">
        <v>1789</v>
      </c>
      <c r="B10" s="2064" t="s">
        <v>3045</v>
      </c>
      <c r="C10" s="2065"/>
      <c r="D10" s="2047"/>
      <c r="E10" s="2066" t="s">
        <v>1790</v>
      </c>
      <c r="F10" s="2067" t="s">
        <v>3046</v>
      </c>
      <c r="G10" s="2068"/>
      <c r="H10" s="2069"/>
      <c r="I10" s="2047"/>
      <c r="J10" s="2043"/>
      <c r="K10" s="2054"/>
      <c r="L10" s="2029"/>
      <c r="M10" s="2029"/>
      <c r="N10" s="2030"/>
      <c r="O10" s="2031"/>
      <c r="P10" s="2030"/>
      <c r="Q10" s="2030"/>
      <c r="R10" s="2030"/>
    </row>
    <row r="11" spans="1:19" ht="18" customHeight="1">
      <c r="A11" s="2070" t="s">
        <v>1791</v>
      </c>
      <c r="B11" s="2071" t="s">
        <v>3047</v>
      </c>
      <c r="C11" s="2072"/>
      <c r="D11" s="2073"/>
      <c r="E11" s="2043"/>
      <c r="F11" s="2043"/>
      <c r="G11" s="2043"/>
      <c r="H11" s="2043"/>
      <c r="I11" s="2043"/>
      <c r="J11" s="2043"/>
      <c r="K11" s="2054"/>
      <c r="L11" s="2029"/>
      <c r="M11" s="2029"/>
      <c r="N11" s="2030"/>
      <c r="O11" s="2031"/>
      <c r="P11" s="2030"/>
      <c r="Q11" s="2030"/>
      <c r="R11" s="2030"/>
    </row>
    <row r="12" spans="1:19" ht="18" customHeight="1">
      <c r="A12" s="2074" t="s">
        <v>1792</v>
      </c>
      <c r="B12" s="2071" t="s">
        <v>3048</v>
      </c>
      <c r="C12" s="2075" t="s">
        <v>1793</v>
      </c>
      <c r="D12" s="2076" t="s">
        <v>1794</v>
      </c>
      <c r="E12" s="2076" t="s">
        <v>1795</v>
      </c>
      <c r="F12" s="2076" t="s">
        <v>1796</v>
      </c>
      <c r="G12" s="2076" t="s">
        <v>1797</v>
      </c>
      <c r="H12" s="2076" t="s">
        <v>1798</v>
      </c>
      <c r="I12" s="2076" t="s">
        <v>1799</v>
      </c>
      <c r="J12" s="2043"/>
      <c r="K12" s="2054"/>
      <c r="L12" s="2029"/>
      <c r="M12" s="2029"/>
      <c r="N12" s="2030"/>
      <c r="O12" s="2031"/>
      <c r="P12" s="2030"/>
      <c r="Q12" s="2030"/>
      <c r="R12" s="2030"/>
    </row>
    <row r="13" spans="1:19" ht="18" customHeight="1">
      <c r="A13" s="2077"/>
      <c r="B13" s="2078"/>
      <c r="C13" s="2079" t="s">
        <v>1800</v>
      </c>
      <c r="D13" s="2080"/>
      <c r="E13" s="2080">
        <v>54309</v>
      </c>
      <c r="F13" s="2080"/>
      <c r="G13" s="2080">
        <v>57961</v>
      </c>
      <c r="H13" s="2080"/>
      <c r="I13" s="1047"/>
      <c r="J13" s="2043"/>
      <c r="K13" s="2054"/>
      <c r="L13" s="2029"/>
      <c r="M13" s="2029"/>
      <c r="N13" s="2030"/>
      <c r="O13" s="2031"/>
      <c r="P13" s="2030"/>
      <c r="Q13" s="2030"/>
      <c r="R13" s="2030"/>
    </row>
    <row r="14" spans="1:19" ht="18" customHeight="1">
      <c r="A14" s="2077"/>
      <c r="B14" s="2078"/>
      <c r="C14" s="2079" t="s">
        <v>1801</v>
      </c>
      <c r="D14" s="1050"/>
      <c r="E14" s="1050">
        <v>40</v>
      </c>
      <c r="F14" s="1050"/>
      <c r="G14" s="1050">
        <v>50</v>
      </c>
      <c r="H14" s="1050"/>
      <c r="I14" s="1050"/>
      <c r="J14" s="2043"/>
      <c r="K14" s="2081"/>
      <c r="L14" s="2029"/>
      <c r="M14" s="2029"/>
      <c r="N14" s="2030"/>
      <c r="O14" s="2031"/>
      <c r="P14" s="2030"/>
      <c r="Q14" s="2030"/>
      <c r="R14" s="2030"/>
    </row>
    <row r="15" spans="1:19" ht="18" customHeight="1">
      <c r="A15" s="2063"/>
      <c r="B15" s="2082"/>
      <c r="C15" s="2079" t="s">
        <v>1802</v>
      </c>
      <c r="D15" s="1049" t="str">
        <f>IF(B12="出让",IF(D13="","",ROUNDDOWN(MIN((D13-$D$3)/365,D14),2)),D14)</f>
        <v/>
      </c>
      <c r="E15" s="1049">
        <f>IF(B12="出让",IF(E13="","",ROUNDDOWN(MIN((E13-$D$3)/365,E14),2)),E14)</f>
        <v>30.87</v>
      </c>
      <c r="F15" s="1049" t="str">
        <f>IF(B12="出让",IF(F13="","",ROUNDDOWN(MIN((F13-$D$3)/365,F14),2)),F14)</f>
        <v/>
      </c>
      <c r="G15" s="1049">
        <f>IF(B12="出让",IF(G13="","",ROUNDDOWN(MIN((G13-$D$3)/365,G14),2)),G14)</f>
        <v>40.880000000000003</v>
      </c>
      <c r="H15" s="1049" t="str">
        <f>IF(B12="出让",IF(H13="","",ROUNDDOWN(MIN((H13-$D$3)/365,H14),2)),H14)</f>
        <v/>
      </c>
      <c r="I15" s="1049" t="str">
        <f>IF(B12="出让",IF(I13="","",ROUNDDOWN(MIN((I13-$D$3)/365,I14),2)),I14)</f>
        <v/>
      </c>
      <c r="J15" s="2043"/>
      <c r="K15" s="2083"/>
      <c r="L15" s="2084"/>
      <c r="M15" s="2084"/>
      <c r="N15" s="2085"/>
      <c r="O15" s="2084"/>
      <c r="P15" s="2085"/>
      <c r="Q15" s="2030"/>
      <c r="R15" s="2030"/>
    </row>
    <row r="16" spans="1:19" ht="30.75" customHeight="1">
      <c r="A16" s="2066" t="s">
        <v>1803</v>
      </c>
      <c r="B16" s="3018"/>
      <c r="C16" s="3019"/>
      <c r="D16" s="3020"/>
      <c r="E16" s="2086" t="s">
        <v>1804</v>
      </c>
      <c r="F16" s="3021"/>
      <c r="G16" s="3022"/>
      <c r="H16" s="3022"/>
      <c r="I16" s="3023"/>
      <c r="J16" s="2030"/>
      <c r="K16" s="2083"/>
      <c r="L16" s="2084"/>
      <c r="M16" s="2084"/>
      <c r="N16" s="2085"/>
      <c r="O16" s="2084"/>
      <c r="P16" s="2085"/>
      <c r="Q16" s="2030"/>
      <c r="R16" s="2030"/>
    </row>
    <row r="17" spans="1:22" ht="18" customHeight="1">
      <c r="A17" s="2087" t="s">
        <v>1805</v>
      </c>
      <c r="B17" s="2036" t="s">
        <v>1806</v>
      </c>
      <c r="C17" s="1054">
        <f>'数据-汇总表'!E3</f>
        <v>65110.920000000006</v>
      </c>
      <c r="D17" s="2088" t="s">
        <v>1807</v>
      </c>
      <c r="E17" s="3024" t="s">
        <v>3063</v>
      </c>
      <c r="F17" s="3025"/>
      <c r="G17" s="3025"/>
      <c r="H17" s="3025"/>
      <c r="I17" s="3026"/>
      <c r="J17" s="2030"/>
      <c r="K17" s="2089"/>
      <c r="L17" s="2084"/>
      <c r="M17" s="2084"/>
      <c r="N17" s="2085"/>
      <c r="O17" s="2084"/>
      <c r="P17" s="2085"/>
      <c r="Q17" s="2030"/>
      <c r="R17" s="2030"/>
      <c r="S17" s="2030"/>
      <c r="T17" s="2030"/>
      <c r="U17" s="2030"/>
      <c r="V17" s="2030"/>
    </row>
    <row r="18" spans="1:22" ht="36" customHeight="1" thickBot="1">
      <c r="A18" s="2090" t="s">
        <v>70</v>
      </c>
      <c r="B18" s="2039" t="s">
        <v>1808</v>
      </c>
      <c r="C18" s="1444">
        <f>'数据-汇总表'!D3</f>
        <v>17111.18</v>
      </c>
      <c r="D18" s="2091" t="s">
        <v>1807</v>
      </c>
      <c r="E18" s="3027" t="s">
        <v>3064</v>
      </c>
      <c r="F18" s="3028"/>
      <c r="G18" s="3028"/>
      <c r="H18" s="3028"/>
      <c r="I18" s="3029"/>
      <c r="J18" s="2030"/>
      <c r="K18" s="2089"/>
      <c r="L18" s="2084"/>
      <c r="M18" s="2084"/>
      <c r="N18" s="2085"/>
      <c r="O18" s="2084"/>
      <c r="P18" s="2085"/>
      <c r="Q18" s="2030"/>
      <c r="R18" s="2030"/>
      <c r="S18" s="2030"/>
      <c r="T18" s="2030"/>
      <c r="U18" s="2030"/>
      <c r="V18" s="2030"/>
    </row>
    <row r="19" spans="1:22" ht="37.5" customHeight="1" thickTop="1" thickBot="1">
      <c r="A19" s="374" t="s">
        <v>1809</v>
      </c>
      <c r="B19" s="353" t="s">
        <v>1810</v>
      </c>
      <c r="C19" s="2092" t="s">
        <v>3049</v>
      </c>
      <c r="D19" s="2093" t="s">
        <v>1811</v>
      </c>
      <c r="E19" s="2094" t="s">
        <v>70</v>
      </c>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1812</v>
      </c>
      <c r="B20" s="3014" t="s">
        <v>1813</v>
      </c>
      <c r="C20" s="3015"/>
      <c r="D20" s="3016" t="s">
        <v>1814</v>
      </c>
      <c r="E20" s="3017"/>
      <c r="F20" s="2098" t="s">
        <v>1815</v>
      </c>
      <c r="G20" s="2043"/>
      <c r="H20" s="2043"/>
      <c r="I20" s="2043"/>
      <c r="J20" s="2043"/>
      <c r="K20" s="3013"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5"/>
      <c r="O20" s="2084"/>
      <c r="P20" s="2085"/>
      <c r="Q20" s="2030"/>
      <c r="R20" s="2030"/>
      <c r="S20" s="2030"/>
      <c r="T20" s="2030"/>
      <c r="U20" s="2030"/>
      <c r="V20" s="2030"/>
    </row>
    <row r="21" spans="1:22" ht="24.75" customHeight="1">
      <c r="A21" s="2097"/>
      <c r="B21" s="2099" t="s">
        <v>1817</v>
      </c>
      <c r="C21" s="2100" t="s">
        <v>3050</v>
      </c>
      <c r="D21" s="2101" t="s">
        <v>1818</v>
      </c>
      <c r="E21" s="2102" t="s">
        <v>3050</v>
      </c>
      <c r="F21" s="2103"/>
      <c r="G21" s="2043"/>
      <c r="H21" s="2043"/>
      <c r="I21" s="2043"/>
      <c r="J21" s="2043"/>
      <c r="K21" s="301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1819</v>
      </c>
      <c r="C22" s="2100" t="s">
        <v>1820</v>
      </c>
      <c r="D22" s="2027"/>
      <c r="E22" s="2027"/>
      <c r="F22" s="2105"/>
      <c r="G22" s="2043"/>
      <c r="H22" s="2043"/>
      <c r="I22" s="2043"/>
      <c r="J22" s="2043"/>
      <c r="K22" s="301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1821</v>
      </c>
      <c r="B23" s="184" t="s">
        <v>1822</v>
      </c>
      <c r="C23" s="2107">
        <v>42247</v>
      </c>
      <c r="D23" s="2108" t="s">
        <v>1822</v>
      </c>
      <c r="E23" s="2109"/>
      <c r="F23" s="2105"/>
      <c r="G23" s="2043"/>
      <c r="H23" s="2043"/>
      <c r="I23" s="2043"/>
      <c r="J23" s="2043"/>
      <c r="K23" s="2110"/>
      <c r="L23" s="749"/>
      <c r="M23" s="2029"/>
      <c r="N23" s="2085"/>
      <c r="O23" s="2084"/>
      <c r="P23" s="2085"/>
      <c r="Q23" s="2030"/>
      <c r="R23" s="2030"/>
      <c r="S23" s="2030"/>
      <c r="T23" s="2030"/>
      <c r="U23" s="2030"/>
      <c r="V23" s="2030"/>
    </row>
    <row r="24" spans="1:22" ht="18" customHeight="1">
      <c r="A24" s="2111"/>
      <c r="B24" s="184" t="s">
        <v>1823</v>
      </c>
      <c r="C24" s="2929" t="s">
        <v>3051</v>
      </c>
      <c r="D24" s="2106" t="s">
        <v>1823</v>
      </c>
      <c r="E24" s="2113"/>
      <c r="F24" s="2105"/>
      <c r="G24" s="2043"/>
      <c r="H24" s="2043"/>
      <c r="I24" s="2043"/>
      <c r="J24" s="2043"/>
      <c r="K24" s="2110"/>
      <c r="L24" s="749"/>
      <c r="M24" s="2029"/>
      <c r="N24" s="2085"/>
      <c r="O24" s="2084"/>
      <c r="P24" s="2085"/>
      <c r="Q24" s="2030"/>
      <c r="R24" s="2030"/>
      <c r="S24" s="2030"/>
      <c r="T24" s="2030"/>
      <c r="U24" s="2030"/>
      <c r="V24" s="2030"/>
    </row>
    <row r="25" spans="1:22" ht="18" customHeight="1">
      <c r="A25" s="2111"/>
      <c r="B25" s="184" t="s">
        <v>1824</v>
      </c>
      <c r="C25" s="2112"/>
      <c r="D25" s="2106" t="s">
        <v>1824</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1825</v>
      </c>
      <c r="C26" s="2116" t="s">
        <v>3052</v>
      </c>
      <c r="D26" s="2117" t="s">
        <v>1826</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01" t="s">
        <v>1827</v>
      </c>
      <c r="B27" s="2063" t="s">
        <v>1828</v>
      </c>
      <c r="C27" s="2120" t="s">
        <v>3053</v>
      </c>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01"/>
      <c r="B28" s="2036" t="s">
        <v>1829</v>
      </c>
      <c r="C28" s="2122" t="s">
        <v>3054</v>
      </c>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01"/>
      <c r="B29" s="2036" t="s">
        <v>1830</v>
      </c>
      <c r="C29" s="2125" t="s">
        <v>3055</v>
      </c>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02"/>
      <c r="B30" s="2036" t="s">
        <v>1831</v>
      </c>
      <c r="C30" s="3003"/>
      <c r="D30" s="3004"/>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05" t="s">
        <v>1832</v>
      </c>
      <c r="B31" s="2127" t="s">
        <v>3056</v>
      </c>
      <c r="C31" s="2128" t="str">
        <f>IF(B31="现房","成新及维护状况正常否",IF(B31="在建","工程状态是否正常",IF(B31="土地","是否闲置","-")))</f>
        <v>成新及维护状况正常否</v>
      </c>
      <c r="D31" s="2129"/>
      <c r="E31" s="2930" t="s">
        <v>3057</v>
      </c>
      <c r="F31" s="2043"/>
      <c r="G31" s="2043"/>
      <c r="H31" s="2043"/>
      <c r="I31" s="2043"/>
      <c r="J31" s="2043"/>
      <c r="K31" s="2052"/>
      <c r="L31" s="2029"/>
      <c r="M31" s="2029"/>
      <c r="N31" s="2030"/>
      <c r="O31" s="2031"/>
      <c r="P31" s="2030"/>
      <c r="Q31" s="2030"/>
      <c r="R31" s="2030"/>
      <c r="S31" s="2030"/>
      <c r="T31" s="2030"/>
      <c r="U31" s="2030"/>
      <c r="V31" s="2030"/>
    </row>
    <row r="32" spans="1:22" ht="18" customHeight="1">
      <c r="A32" s="3006"/>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06"/>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1833</v>
      </c>
      <c r="B34" s="2931" t="s">
        <v>3058</v>
      </c>
      <c r="C34" s="2931" t="s">
        <v>3059</v>
      </c>
      <c r="D34" s="2931" t="s">
        <v>3060</v>
      </c>
      <c r="E34" s="2931" t="s">
        <v>3061</v>
      </c>
      <c r="F34" s="2931" t="s">
        <v>3062</v>
      </c>
      <c r="G34" s="2931" t="s">
        <v>70</v>
      </c>
      <c r="H34" s="2931" t="s">
        <v>70</v>
      </c>
      <c r="I34" s="2043"/>
      <c r="J34" s="2043"/>
      <c r="K34" s="1796">
        <f>COUNTIF(B34:H34,"——")</f>
        <v>2</v>
      </c>
      <c r="L34" s="2075" t="s">
        <v>1834</v>
      </c>
      <c r="M34" s="2075" t="s">
        <v>1835</v>
      </c>
      <c r="N34" s="2075" t="s">
        <v>1836</v>
      </c>
      <c r="O34" s="2075" t="s">
        <v>1837</v>
      </c>
      <c r="P34" s="2075" t="s">
        <v>1838</v>
      </c>
      <c r="Q34" s="2075" t="s">
        <v>1839</v>
      </c>
      <c r="R34" s="2075" t="s">
        <v>1840</v>
      </c>
      <c r="S34" s="3000" t="s">
        <v>1841</v>
      </c>
      <c r="T34" s="2134" t="str">
        <f>NUMBERSTRING(7-K34,1)&amp;"通"</f>
        <v>五通</v>
      </c>
      <c r="U34" s="2030"/>
      <c r="V34" s="2030"/>
    </row>
    <row r="35" spans="1:22" ht="18" customHeight="1">
      <c r="A35" s="2135"/>
      <c r="B35" s="3007" t="s">
        <v>1842</v>
      </c>
      <c r="C35" s="3007"/>
      <c r="D35" s="3007"/>
      <c r="E35" s="3007"/>
      <c r="F35" s="2136">
        <f>C10</f>
        <v>0</v>
      </c>
      <c r="G35" s="2043"/>
      <c r="H35" s="2043"/>
      <c r="I35" s="2043"/>
      <c r="J35" s="2043"/>
      <c r="K35" s="2075"/>
      <c r="L35" s="2075"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00"/>
      <c r="T35" s="48" t="str">
        <f>IF(T34="一通",L35,IF(T34="二通",M35,IF(T34="三通",N35,IF(T34="四通",O35,IF(T34="五通",P35,IF(T34="六通",Q35,R35))))))</f>
        <v>通路、通电、通上水、通下水、通讯</v>
      </c>
      <c r="U35" s="2030"/>
      <c r="V35" s="2030"/>
    </row>
    <row r="36" spans="1:22" ht="18" customHeight="1">
      <c r="A36" s="2137"/>
      <c r="B36" s="2136" t="s">
        <v>1843</v>
      </c>
      <c r="C36" s="2136" t="s">
        <v>1844</v>
      </c>
      <c r="D36" s="2136" t="s">
        <v>1845</v>
      </c>
      <c r="E36" s="2136" t="s">
        <v>1846</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1847</v>
      </c>
      <c r="B37" s="2140" t="s">
        <v>56</v>
      </c>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1848</v>
      </c>
      <c r="B38" s="2142" t="s">
        <v>464</v>
      </c>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5"/>
      <c r="K40" s="667"/>
      <c r="L40" s="2084"/>
      <c r="M40" s="2084"/>
      <c r="N40" s="2085"/>
      <c r="O40" s="2084"/>
      <c r="P40" s="2030"/>
      <c r="Q40" s="2030"/>
      <c r="R40" s="2030"/>
      <c r="S40" s="2030"/>
      <c r="T40" s="2030"/>
      <c r="U40" s="2030"/>
      <c r="V40" s="2030"/>
    </row>
    <row r="41" spans="1:22" ht="18" customHeight="1">
      <c r="A41" s="8" t="s">
        <v>1850</v>
      </c>
      <c r="B41" s="2150"/>
      <c r="C41" s="2151"/>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1851</v>
      </c>
      <c r="B42" s="1796" t="s">
        <v>1852</v>
      </c>
      <c r="C42" s="1796" t="s">
        <v>1853</v>
      </c>
      <c r="D42" s="1796" t="s">
        <v>1854</v>
      </c>
      <c r="E42" s="1796" t="s">
        <v>1855</v>
      </c>
      <c r="F42" s="1796" t="s">
        <v>1856</v>
      </c>
      <c r="G42" s="1796" t="s">
        <v>1857</v>
      </c>
      <c r="H42" s="1796" t="s">
        <v>1858</v>
      </c>
      <c r="I42" s="1796" t="s">
        <v>1859</v>
      </c>
      <c r="J42" s="2152" t="s">
        <v>1860</v>
      </c>
      <c r="K42" s="2076" t="s">
        <v>1861</v>
      </c>
      <c r="L42" s="2076" t="s">
        <v>1862</v>
      </c>
      <c r="M42" s="2076" t="s">
        <v>1863</v>
      </c>
      <c r="N42" s="1796" t="s">
        <v>1864</v>
      </c>
      <c r="O42" s="1796" t="s">
        <v>1865</v>
      </c>
      <c r="P42" s="1796" t="s">
        <v>1866</v>
      </c>
      <c r="Q42" s="2075" t="s">
        <v>1867</v>
      </c>
      <c r="R42" s="2075" t="s">
        <v>1868</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K17" sqref="K17:K1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1874</v>
      </c>
      <c r="AZ2" s="1270"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17111.18</v>
      </c>
      <c r="B3" s="14">
        <f>IF(C3="否",G5-AT5,G5)</f>
        <v>65110.920000000006</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4"/>
      <c r="C5" s="1804"/>
      <c r="D5" s="1807"/>
      <c r="E5" s="16" t="s">
        <v>1</v>
      </c>
      <c r="F5" s="16">
        <f>SUM(F13:F587)</f>
        <v>0</v>
      </c>
      <c r="G5" s="16">
        <f>SUM(G13:G587)</f>
        <v>65110.920000000006</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65110.920000000006</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17111.18</v>
      </c>
      <c r="F6" s="16" t="s">
        <v>1</v>
      </c>
      <c r="G6" s="16" t="s">
        <v>2</v>
      </c>
      <c r="H6" s="20">
        <f>SUMIF(I$12:AB$12,"总值",I6:AB6)</f>
        <v>17111.18</v>
      </c>
      <c r="I6" s="16">
        <f t="shared" ref="I6:AB6" si="2">ROUND($A$3*I5/$B$3,2)</f>
        <v>10151.370000000001</v>
      </c>
      <c r="J6" s="16">
        <f t="shared" si="2"/>
        <v>0</v>
      </c>
      <c r="K6" s="16">
        <f t="shared" si="2"/>
        <v>3711.07</v>
      </c>
      <c r="L6" s="16">
        <f t="shared" si="2"/>
        <v>0</v>
      </c>
      <c r="M6" s="16">
        <f t="shared" si="2"/>
        <v>3248.74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17111.18</v>
      </c>
      <c r="AZ6" s="16" t="s">
        <v>3</v>
      </c>
      <c r="BA6" s="16">
        <f>ROUND($AY$6*BA5/$AZ$5,2)</f>
        <v>17111.18</v>
      </c>
      <c r="BB6" s="16">
        <f>ROUND($AY$6*BB5/$AZ$5,2)</f>
        <v>10151.370000000001</v>
      </c>
      <c r="BC6" s="16">
        <f t="shared" ref="BC6:BH6" si="4">ROUND($AY$6*BC5/$AZ$5,2)</f>
        <v>3711.07</v>
      </c>
      <c r="BD6" s="16">
        <f t="shared" si="4"/>
        <v>3248.74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10" t="s">
        <v>1880</v>
      </c>
      <c r="B7" s="2110" t="s">
        <v>1881</v>
      </c>
      <c r="C7" s="2110" t="s">
        <v>1882</v>
      </c>
      <c r="D7" s="2110" t="s">
        <v>1883</v>
      </c>
      <c r="E7" s="2110" t="s">
        <v>1884</v>
      </c>
      <c r="F7" s="2110"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1887</v>
      </c>
      <c r="AV7" s="23" t="s">
        <v>1888</v>
      </c>
      <c r="AW7" s="2166" t="s">
        <v>1889</v>
      </c>
      <c r="AX7" s="23" t="s">
        <v>1882</v>
      </c>
      <c r="AY7" s="1804"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19"/>
      <c r="K8" s="1819"/>
      <c r="L8" s="1819"/>
      <c r="M8" s="1819"/>
      <c r="N8" s="1819"/>
      <c r="O8" s="1819"/>
      <c r="P8" s="1819"/>
      <c r="Q8" s="1819"/>
      <c r="R8" s="1819"/>
      <c r="S8" s="1819"/>
      <c r="T8" s="1819"/>
      <c r="U8" s="1819"/>
      <c r="V8" s="2186"/>
      <c r="W8" s="1819"/>
      <c r="X8" s="1819"/>
      <c r="Y8" s="1819"/>
      <c r="Z8" s="1819"/>
      <c r="AA8" s="2186"/>
      <c r="AB8" s="2187"/>
      <c r="AC8" s="981" t="s">
        <v>1893</v>
      </c>
      <c r="AD8" s="2188"/>
      <c r="AE8" s="2180"/>
      <c r="AF8" s="1819"/>
      <c r="AG8" s="1819"/>
      <c r="AH8" s="1819"/>
      <c r="AI8" s="1819"/>
      <c r="AJ8" s="1819"/>
      <c r="AK8" s="1819"/>
      <c r="AL8" s="1819"/>
      <c r="AM8" s="1819"/>
      <c r="AN8" s="1819"/>
      <c r="AO8" s="1819"/>
      <c r="AP8" s="1819"/>
      <c r="AQ8" s="1819"/>
      <c r="AR8" s="1819"/>
      <c r="AS8" s="1819"/>
      <c r="AT8" s="1292" t="s">
        <v>1894</v>
      </c>
      <c r="AU8" s="2182" t="s">
        <v>1895</v>
      </c>
      <c r="AV8" s="1292"/>
      <c r="AW8" s="2165"/>
      <c r="AX8" s="1292"/>
      <c r="AY8" s="2166"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2"/>
      <c r="H9" s="2190" t="s">
        <v>1898</v>
      </c>
      <c r="I9" s="2191" t="s">
        <v>3074</v>
      </c>
      <c r="J9" s="981"/>
      <c r="K9" s="2191" t="s">
        <v>3076</v>
      </c>
      <c r="L9" s="981"/>
      <c r="M9" s="2191" t="s">
        <v>3076</v>
      </c>
      <c r="N9" s="981"/>
      <c r="O9" s="2191"/>
      <c r="P9" s="981"/>
      <c r="Q9" s="2191"/>
      <c r="R9" s="981"/>
      <c r="S9" s="2191"/>
      <c r="T9" s="981"/>
      <c r="U9" s="2191"/>
      <c r="V9" s="981"/>
      <c r="W9" s="2191"/>
      <c r="X9" s="2192"/>
      <c r="Y9" s="2191"/>
      <c r="Z9" s="981"/>
      <c r="AA9" s="2191"/>
      <c r="AB9" s="981"/>
      <c r="AC9" s="2183"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93"/>
      <c r="AT9" s="2182"/>
      <c r="AU9" s="2182" t="s">
        <v>1901</v>
      </c>
      <c r="AV9" s="1292"/>
      <c r="AW9" s="2165"/>
      <c r="AX9" s="1292"/>
      <c r="AY9" s="28"/>
      <c r="AZ9" s="28" t="s">
        <v>1891</v>
      </c>
      <c r="BA9" s="2194" t="s">
        <v>1902</v>
      </c>
      <c r="BB9" s="2195"/>
      <c r="BC9" s="1338"/>
      <c r="BD9" s="1338"/>
      <c r="BE9" s="1338"/>
      <c r="BF9" s="1338"/>
      <c r="BG9" s="1338"/>
      <c r="BH9" s="1338"/>
      <c r="BI9" s="1338"/>
      <c r="BJ9" s="1338"/>
      <c r="BK9" s="2196"/>
      <c r="BL9" s="15" t="s">
        <v>1903</v>
      </c>
      <c r="BM9" s="1819"/>
      <c r="BN9" s="2185"/>
      <c r="BO9" s="1819"/>
      <c r="BP9" s="1819"/>
      <c r="BQ9" s="1819"/>
      <c r="BR9" s="1819"/>
      <c r="BS9" s="1819"/>
      <c r="BT9" s="26"/>
    </row>
    <row r="10" spans="1:72" s="2189" customFormat="1" ht="12.75">
      <c r="A10" s="2182"/>
      <c r="B10" s="2182"/>
      <c r="C10" s="2182"/>
      <c r="D10" s="2182"/>
      <c r="E10" s="2182"/>
      <c r="F10" s="2182"/>
      <c r="G10" s="1292"/>
      <c r="H10" s="28"/>
      <c r="I10" s="2191" t="s">
        <v>1378</v>
      </c>
      <c r="J10" s="981"/>
      <c r="K10" s="2197" t="s">
        <v>1378</v>
      </c>
      <c r="L10" s="981"/>
      <c r="M10" s="2197" t="s">
        <v>3077</v>
      </c>
      <c r="N10" s="981"/>
      <c r="O10" s="2197"/>
      <c r="P10" s="981"/>
      <c r="Q10" s="2197"/>
      <c r="R10" s="981"/>
      <c r="S10" s="2197"/>
      <c r="T10" s="981"/>
      <c r="U10" s="2197"/>
      <c r="V10" s="981"/>
      <c r="W10" s="2197"/>
      <c r="X10" s="981"/>
      <c r="Y10" s="2197"/>
      <c r="Z10" s="981"/>
      <c r="AA10" s="2197"/>
      <c r="AB10" s="981"/>
      <c r="AC10" s="1292"/>
      <c r="AD10" s="15" t="s">
        <v>1904</v>
      </c>
      <c r="AE10" s="2198"/>
      <c r="AF10" s="15" t="s">
        <v>1904</v>
      </c>
      <c r="AG10" s="2198"/>
      <c r="AH10" s="15" t="s">
        <v>1905</v>
      </c>
      <c r="AI10" s="2198"/>
      <c r="AJ10" s="15" t="s">
        <v>1905</v>
      </c>
      <c r="AK10" s="2198"/>
      <c r="AL10" s="15" t="s">
        <v>1906</v>
      </c>
      <c r="AM10" s="1298"/>
      <c r="AN10" s="15" t="s">
        <v>1906</v>
      </c>
      <c r="AO10" s="1298"/>
      <c r="AP10" s="15" t="s">
        <v>1907</v>
      </c>
      <c r="AQ10" s="1298"/>
      <c r="AR10" s="15" t="s">
        <v>1907</v>
      </c>
      <c r="AS10" s="1298"/>
      <c r="AT10" s="2182"/>
      <c r="AU10" s="2182"/>
      <c r="AV10" s="1292"/>
      <c r="AW10" s="2165"/>
      <c r="AX10" s="1292"/>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2"/>
      <c r="H11" s="2199"/>
      <c r="I11" s="2202" t="s">
        <v>3075</v>
      </c>
      <c r="J11" s="2203"/>
      <c r="K11" s="2202" t="s">
        <v>3075</v>
      </c>
      <c r="L11" s="2203"/>
      <c r="M11" s="2202" t="s">
        <v>3078</v>
      </c>
      <c r="N11" s="2203"/>
      <c r="O11" s="2202"/>
      <c r="P11" s="2203"/>
      <c r="Q11" s="2202"/>
      <c r="R11" s="2203"/>
      <c r="S11" s="2202"/>
      <c r="T11" s="2203"/>
      <c r="U11" s="2202"/>
      <c r="V11" s="2203"/>
      <c r="W11" s="2202"/>
      <c r="X11" s="2203"/>
      <c r="Y11" s="2202"/>
      <c r="Z11" s="2203"/>
      <c r="AA11" s="2202"/>
      <c r="AB11" s="2203"/>
      <c r="AC11" s="1292"/>
      <c r="AD11" s="2204" t="s">
        <v>1908</v>
      </c>
      <c r="AE11" s="1820"/>
      <c r="AF11" s="2204" t="s">
        <v>1908</v>
      </c>
      <c r="AG11" s="1820"/>
      <c r="AH11" s="2204" t="s">
        <v>1909</v>
      </c>
      <c r="AI11" s="2205"/>
      <c r="AJ11" s="2204" t="s">
        <v>1909</v>
      </c>
      <c r="AK11" s="1820"/>
      <c r="AL11" s="1818"/>
      <c r="AM11" s="1820"/>
      <c r="AN11" s="1818"/>
      <c r="AO11" s="1820"/>
      <c r="AP11" s="1818"/>
      <c r="AQ11" s="1820"/>
      <c r="AR11" s="1818"/>
      <c r="AS11" s="1820"/>
      <c r="AT11" s="2165"/>
      <c r="AU11" s="2182"/>
      <c r="AV11" s="1292"/>
      <c r="AW11" s="2165"/>
      <c r="AX11" s="1292"/>
      <c r="AY11" s="28"/>
      <c r="AZ11" s="28"/>
      <c r="BA11" s="28"/>
      <c r="BB11" s="2187" t="str">
        <f>I10</f>
        <v>商业</v>
      </c>
      <c r="BC11" s="2187" t="str">
        <f>K10</f>
        <v>商业</v>
      </c>
      <c r="BD11" s="2187" t="str">
        <f>M10</f>
        <v>车库—商业</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9"/>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独立商业</v>
      </c>
      <c r="BC12" s="2212" t="str">
        <f>K11</f>
        <v>独立商业</v>
      </c>
      <c r="BD12" s="2212" t="str">
        <f>M11</f>
        <v>车库</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38.25">
      <c r="A13" s="2932" t="s">
        <v>3065</v>
      </c>
      <c r="B13" s="2932" t="s">
        <v>3066</v>
      </c>
      <c r="C13" s="2932" t="s">
        <v>3067</v>
      </c>
      <c r="D13" s="2933" t="s">
        <v>3049</v>
      </c>
      <c r="E13" s="16">
        <f>IF($C$3="是",ROUND($A$3*G13/$B$3,2),ROUND($A$3*(G13-AT13)/$B$3,2))</f>
        <v>3103.92</v>
      </c>
      <c r="F13" s="32"/>
      <c r="G13" s="33">
        <f>H13+AC13+AT13</f>
        <v>11810.92</v>
      </c>
      <c r="H13" s="20">
        <f>SUMIF(I$12:AB$12,"总值",I13:AB13)</f>
        <v>11810.92</v>
      </c>
      <c r="I13" s="2936">
        <v>11810.92</v>
      </c>
      <c r="J13" s="2936"/>
      <c r="K13" s="2936"/>
      <c r="L13" s="2936"/>
      <c r="M13" s="2936"/>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京昌国用（2011出）第0051号</v>
      </c>
      <c r="AW13" s="11" t="str">
        <f t="shared" si="6"/>
        <v>房屋面积测绘报告书</v>
      </c>
      <c r="AX13" s="11" t="str">
        <f t="shared" si="6"/>
        <v>1层</v>
      </c>
      <c r="AY13" s="1807">
        <f>ROUND($AY$6*AZ13/$AZ$5,2)</f>
        <v>3103.92</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38.25">
      <c r="A14" s="2932" t="s">
        <v>3065</v>
      </c>
      <c r="B14" s="2932" t="s">
        <v>3066</v>
      </c>
      <c r="C14" s="2932" t="s">
        <v>3068</v>
      </c>
      <c r="D14" s="2933" t="s">
        <v>3049</v>
      </c>
      <c r="E14" s="16">
        <f>IF($C$3="是",ROUND($A$3*G14/$B$3,2),ROUND($A$3*(G14-AT14)/$B$3,2))</f>
        <v>3165.6</v>
      </c>
      <c r="F14" s="32"/>
      <c r="G14" s="33">
        <f>H14+AC14+AT14</f>
        <v>12045.64</v>
      </c>
      <c r="H14" s="20">
        <f>SUMIF(I$12:AB$12,"总值",I14:AB14)</f>
        <v>12045.64</v>
      </c>
      <c r="I14" s="2936">
        <v>12045.64</v>
      </c>
      <c r="J14" s="2936"/>
      <c r="K14" s="2936"/>
      <c r="L14" s="2936"/>
      <c r="M14" s="2936"/>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京昌国用（2011出）第0051号</v>
      </c>
      <c r="AW14" s="11" t="str">
        <f t="shared" si="6"/>
        <v>房屋面积测绘报告书</v>
      </c>
      <c r="AX14" s="11" t="str">
        <f t="shared" si="6"/>
        <v>2层</v>
      </c>
      <c r="AY14" s="1807">
        <f>ROUND($AY$6*AZ14/$AZ$5,2)</f>
        <v>3165.6</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38.25">
      <c r="A15" s="2932" t="s">
        <v>3065</v>
      </c>
      <c r="B15" s="2932" t="s">
        <v>3066</v>
      </c>
      <c r="C15" s="2932" t="s">
        <v>3069</v>
      </c>
      <c r="D15" s="2933" t="s">
        <v>3049</v>
      </c>
      <c r="E15" s="16">
        <f>IF($C$3="是",ROUND($A$3*G15/$B$3,2),ROUND($A$3*(G15-AT15)/$B$3,2))</f>
        <v>3158.83</v>
      </c>
      <c r="F15" s="32"/>
      <c r="G15" s="33">
        <f>H15+AC15+AT15</f>
        <v>12019.87</v>
      </c>
      <c r="H15" s="20">
        <f>SUMIF(I$12:AB$12,"总值",I15:AB15)</f>
        <v>12019.87</v>
      </c>
      <c r="I15" s="2936">
        <v>12019.87</v>
      </c>
      <c r="J15" s="2936"/>
      <c r="K15" s="2936"/>
      <c r="L15" s="2936"/>
      <c r="M15" s="2936"/>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t="str">
        <f t="shared" si="6"/>
        <v>京昌国用（2011出）第0051号</v>
      </c>
      <c r="AW15" s="11" t="str">
        <f t="shared" si="6"/>
        <v>房屋面积测绘报告书</v>
      </c>
      <c r="AX15" s="11" t="str">
        <f t="shared" si="6"/>
        <v>3层</v>
      </c>
      <c r="AY15" s="1807">
        <f>ROUND($AY$6*AZ15/$AZ$5,2)</f>
        <v>3158.83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38.25">
      <c r="A16" s="2932" t="s">
        <v>3065</v>
      </c>
      <c r="B16" s="2932" t="s">
        <v>3066</v>
      </c>
      <c r="C16" s="2932" t="s">
        <v>3070</v>
      </c>
      <c r="D16" s="2933" t="s">
        <v>3049</v>
      </c>
      <c r="E16" s="16">
        <f>IF($C$3="是",ROUND($A$3*G16/$B$3,2),ROUND($A$3*(G16-AT16)/$B$3,2))</f>
        <v>723.03</v>
      </c>
      <c r="F16" s="32"/>
      <c r="G16" s="33">
        <f>H16+AC16+AT16</f>
        <v>2751.25</v>
      </c>
      <c r="H16" s="20">
        <f>SUMIF(I$12:AB$12,"总值",I16:AB16)</f>
        <v>2751.25</v>
      </c>
      <c r="I16" s="2936">
        <v>2751.25</v>
      </c>
      <c r="J16" s="2936"/>
      <c r="K16" s="2936"/>
      <c r="L16" s="2936"/>
      <c r="M16" s="2936"/>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t="str">
        <f t="shared" si="6"/>
        <v>京昌国用（2011出）第0051号</v>
      </c>
      <c r="AW16" s="11" t="str">
        <f t="shared" si="6"/>
        <v>房屋面积测绘报告书</v>
      </c>
      <c r="AX16" s="11" t="str">
        <f t="shared" si="6"/>
        <v>4层</v>
      </c>
      <c r="AY16" s="1807">
        <f>ROUND($AY$6*AZ16/$AZ$5,2)</f>
        <v>723.03</v>
      </c>
      <c r="AZ16" s="16">
        <f>BA16+BL16</f>
        <v>2751.25</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38.25">
      <c r="A17" s="2932" t="s">
        <v>3065</v>
      </c>
      <c r="B17" s="2932" t="s">
        <v>3066</v>
      </c>
      <c r="C17" s="2934" t="s">
        <v>3071</v>
      </c>
      <c r="D17" s="2933" t="s">
        <v>3049</v>
      </c>
      <c r="E17" s="16">
        <f>IF($C$3="是",ROUND($A$3*G17/$B$3,2),ROUND($A$3*(G17-AT17)/$B$3,2))</f>
        <v>3337.64</v>
      </c>
      <c r="F17" s="32"/>
      <c r="G17" s="33">
        <f>H17+AC17+AT17</f>
        <v>12700.29</v>
      </c>
      <c r="H17" s="20">
        <f>SUMIF(I$12:AB$12,"总值",I17:AB17)</f>
        <v>12700.29</v>
      </c>
      <c r="I17" s="2936"/>
      <c r="J17" s="2936"/>
      <c r="K17" s="2936">
        <v>12700.29</v>
      </c>
      <c r="L17" s="2936"/>
      <c r="M17" s="2936"/>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t="str">
        <f t="shared" si="6"/>
        <v>京昌国用（2011出）第0051号</v>
      </c>
      <c r="AW17" s="11" t="str">
        <f t="shared" si="6"/>
        <v>房屋面积测绘报告书</v>
      </c>
      <c r="AX17" s="11" t="str">
        <f t="shared" si="6"/>
        <v>-1层</v>
      </c>
      <c r="AY17" s="1807">
        <f>ROUND($AY$6*AZ17/$AZ$5,2)</f>
        <v>3337.64</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2932" t="s">
        <v>3065</v>
      </c>
      <c r="B18" s="2932" t="s">
        <v>3066</v>
      </c>
      <c r="C18" s="2934" t="s">
        <v>3072</v>
      </c>
      <c r="D18" s="2935" t="s">
        <v>3049</v>
      </c>
      <c r="E18" s="35">
        <f t="shared" ref="E18:E112" si="7">IF($C$3="是",ROUND($A$3*G18/$B$3,2),ROUND($A$3*(G18-AT18)/$B$3,2))</f>
        <v>373.42</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t="str">
        <f t="shared" ref="AV18:AV112" si="11">A18</f>
        <v>京昌国用（2011出）第0051号</v>
      </c>
      <c r="AW18" s="1796" t="str">
        <f t="shared" ref="AW18:AW112" si="12">B18</f>
        <v>房屋面积测绘报告书</v>
      </c>
      <c r="AX18" s="1796" t="str">
        <f t="shared" ref="AX18:AX112" si="13">C18</f>
        <v>-1夹层</v>
      </c>
      <c r="AY18" s="42">
        <f t="shared" ref="AY18:AY109" si="14">ROUND($AY$6*AZ18/$AZ$5,2)</f>
        <v>373.42</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2932" t="s">
        <v>3065</v>
      </c>
      <c r="B19" s="2932" t="s">
        <v>3066</v>
      </c>
      <c r="C19" s="2934" t="s">
        <v>3073</v>
      </c>
      <c r="D19" s="2935" t="s">
        <v>3049</v>
      </c>
      <c r="E19" s="35">
        <f t="shared" si="7"/>
        <v>3248.74</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t="str">
        <f t="shared" si="11"/>
        <v>京昌国用（2011出）第0051号</v>
      </c>
      <c r="AW19" s="1796" t="str">
        <f t="shared" si="12"/>
        <v>房屋面积测绘报告书</v>
      </c>
      <c r="AX19" s="1796" t="str">
        <f t="shared" si="13"/>
        <v>-2层</v>
      </c>
      <c r="AY19" s="42">
        <f t="shared" si="14"/>
        <v>3248.74</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0" sqref="H3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2"/>
      <c r="C1" s="1392"/>
      <c r="D1" s="1392"/>
      <c r="E1" s="1392"/>
      <c r="F1" s="1392"/>
      <c r="G1" s="1392"/>
      <c r="H1" s="1392"/>
      <c r="I1" s="1392"/>
      <c r="J1" s="1392"/>
      <c r="K1" s="1392"/>
      <c r="L1" s="1392"/>
      <c r="M1" s="1392"/>
      <c r="N1" s="1392"/>
      <c r="O1" s="1392"/>
      <c r="P1" s="1392"/>
    </row>
    <row r="2" spans="1:16" ht="15">
      <c r="A2" s="3041" t="s">
        <v>1938</v>
      </c>
      <c r="B2" s="3041"/>
      <c r="C2" s="3041"/>
      <c r="D2" s="967" t="s">
        <v>1914</v>
      </c>
      <c r="E2" s="2226" t="s">
        <v>1915</v>
      </c>
      <c r="F2" s="1392"/>
      <c r="G2" s="2227"/>
      <c r="H2" s="2228"/>
      <c r="I2" s="2229" t="s">
        <v>1939</v>
      </c>
      <c r="J2" s="1392"/>
      <c r="K2" s="1392"/>
      <c r="L2" s="1392"/>
      <c r="M2" s="1392"/>
      <c r="N2" s="1427"/>
      <c r="O2" s="1392"/>
      <c r="P2" s="1392"/>
    </row>
    <row r="3" spans="1:16" ht="15.75" thickBot="1">
      <c r="A3" s="3042" t="s">
        <v>1912</v>
      </c>
      <c r="B3" s="3042"/>
      <c r="C3" s="3042"/>
      <c r="D3" s="46">
        <f>'数据-基础表'!AY6</f>
        <v>17111.18</v>
      </c>
      <c r="E3" s="46">
        <f>'数据-基础表'!AZ5</f>
        <v>65110.920000000006</v>
      </c>
      <c r="F3" s="1392"/>
      <c r="G3" s="1399"/>
      <c r="H3" s="1247" t="s">
        <v>1913</v>
      </c>
      <c r="I3" s="55">
        <f>ROUND('数据-基础表'!B3/'数据-基础表'!A3,2)</f>
        <v>3.81</v>
      </c>
      <c r="J3" s="1392"/>
      <c r="K3" s="1392"/>
      <c r="L3" s="1392"/>
      <c r="M3" s="1392"/>
      <c r="N3" s="1427"/>
      <c r="O3" s="1392"/>
      <c r="P3" s="1392"/>
    </row>
    <row r="4" spans="1:16" ht="15">
      <c r="A4" s="3043"/>
      <c r="B4" s="3044"/>
      <c r="C4" s="3045"/>
      <c r="D4" s="2230" t="s">
        <v>1914</v>
      </c>
      <c r="E4" s="2231" t="s">
        <v>1915</v>
      </c>
      <c r="F4" s="1392"/>
      <c r="G4" s="2232" t="s">
        <v>1940</v>
      </c>
      <c r="H4" s="1247" t="s">
        <v>1920</v>
      </c>
      <c r="I4" s="55">
        <f>ROUND(SUMIF('数据-基础表'!I9:AS9,"地上",'数据-基础表'!I5:AS5)/'数据-基础表'!A3,2)</f>
        <v>2.2599999999999998</v>
      </c>
      <c r="J4" s="1392"/>
      <c r="K4" s="1392"/>
      <c r="L4" s="1392"/>
      <c r="M4" s="1392"/>
      <c r="N4" s="1427"/>
      <c r="O4" s="1392"/>
      <c r="P4" s="1392"/>
    </row>
    <row r="5" spans="1:16">
      <c r="A5" s="47" t="s">
        <v>1916</v>
      </c>
      <c r="B5" s="3046" t="s">
        <v>1917</v>
      </c>
      <c r="C5" s="3046"/>
      <c r="D5" s="48">
        <f>ROUND($D$3*E5/$E$3,2)</f>
        <v>0</v>
      </c>
      <c r="E5" s="49">
        <f>SUMIF('数据-基础表'!$11:$11,"住宅",'数据-基础表'!$5:$5)</f>
        <v>0</v>
      </c>
      <c r="F5" s="1392"/>
      <c r="G5" s="1399"/>
      <c r="H5" s="1247" t="s">
        <v>1913</v>
      </c>
      <c r="I5" s="55">
        <f>ROUND(E31/D31,2)</f>
        <v>3.81</v>
      </c>
      <c r="J5" s="1392"/>
      <c r="K5" s="1392"/>
      <c r="L5" s="1392"/>
      <c r="M5" s="1392"/>
      <c r="N5" s="1392"/>
      <c r="O5" s="1392"/>
      <c r="P5" s="1392"/>
    </row>
    <row r="6" spans="1:16" ht="15" thickBot="1">
      <c r="A6" s="2233"/>
      <c r="B6" s="3046" t="s">
        <v>1918</v>
      </c>
      <c r="C6" s="3046"/>
      <c r="D6" s="48">
        <f>ROUND($D$3*E6/$E$3,2)</f>
        <v>17111.18</v>
      </c>
      <c r="E6" s="49">
        <f>E3-E5</f>
        <v>65110.920000000006</v>
      </c>
      <c r="F6" s="1392"/>
      <c r="G6" s="2234" t="s">
        <v>1919</v>
      </c>
      <c r="H6" s="1399" t="s">
        <v>1920</v>
      </c>
      <c r="I6" s="939">
        <f>ROUND(F31/D31,2)</f>
        <v>2.2599999999999998</v>
      </c>
      <c r="J6" s="1392"/>
      <c r="K6" s="1392"/>
      <c r="L6" s="1392"/>
      <c r="M6" s="1392"/>
      <c r="N6" s="1392"/>
      <c r="O6" s="1392"/>
      <c r="P6" s="1392"/>
    </row>
    <row r="7" spans="1:16" ht="15">
      <c r="A7" s="3038"/>
      <c r="B7" s="3039"/>
      <c r="C7" s="3040"/>
      <c r="D7" s="2230" t="s">
        <v>1914</v>
      </c>
      <c r="E7" s="2235" t="s">
        <v>1921</v>
      </c>
      <c r="F7" s="1392"/>
      <c r="G7" s="2227" t="s">
        <v>1922</v>
      </c>
      <c r="H7" s="64"/>
      <c r="I7" s="421"/>
      <c r="J7" s="1392"/>
      <c r="K7" s="1392"/>
      <c r="L7" s="1392"/>
      <c r="M7" s="1392"/>
      <c r="N7" s="1392"/>
      <c r="O7" s="1392"/>
      <c r="P7" s="1392"/>
    </row>
    <row r="8" spans="1:16">
      <c r="A8" s="47" t="s">
        <v>1923</v>
      </c>
      <c r="B8" s="50" t="s">
        <v>1924</v>
      </c>
      <c r="C8" s="48" t="s">
        <v>1925</v>
      </c>
      <c r="D8" s="48">
        <f t="shared" ref="D8:D15" si="0">ROUND($D$3*E8/$E$3,2)</f>
        <v>10151.370000000001</v>
      </c>
      <c r="E8" s="51">
        <f>SUMIF('数据-基础表'!BB10:BK10,"地上",'数据-基础表'!BB5:BK5)</f>
        <v>38627.68</v>
      </c>
      <c r="F8" s="1392"/>
      <c r="G8" s="2236"/>
      <c r="H8" s="2236"/>
      <c r="I8" s="1392"/>
      <c r="J8" s="1392"/>
      <c r="K8" s="1392"/>
      <c r="L8" s="1392"/>
      <c r="M8" s="1392"/>
      <c r="N8" s="1392"/>
      <c r="O8" s="1392"/>
      <c r="P8" s="1392"/>
    </row>
    <row r="9" spans="1:16">
      <c r="A9" s="2237"/>
      <c r="B9" s="2238"/>
      <c r="C9" s="48" t="s">
        <v>1926</v>
      </c>
      <c r="D9" s="48">
        <f t="shared" si="0"/>
        <v>0</v>
      </c>
      <c r="E9" s="52">
        <v>0</v>
      </c>
      <c r="F9" s="1392"/>
      <c r="G9" s="2236"/>
      <c r="H9" s="2236"/>
      <c r="I9" s="1392"/>
      <c r="J9" s="1392"/>
      <c r="K9" s="1392"/>
      <c r="L9" s="1392"/>
      <c r="M9" s="1392"/>
      <c r="N9" s="1392"/>
      <c r="O9" s="1392"/>
      <c r="P9" s="1392"/>
    </row>
    <row r="10" spans="1:16">
      <c r="A10" s="2237"/>
      <c r="B10" s="2238"/>
      <c r="C10" s="48" t="s">
        <v>1935</v>
      </c>
      <c r="D10" s="48">
        <f t="shared" si="0"/>
        <v>3711.07</v>
      </c>
      <c r="E10" s="51">
        <f>SUMPRODUCT(('数据-基础表'!BB10:BK10="地下")*('数据-基础表'!BB11:BK11="商业")*('数据-基础表'!BB5:BK5))</f>
        <v>14121.230000000001</v>
      </c>
      <c r="F10" s="1392"/>
      <c r="G10" s="2236"/>
      <c r="H10" s="2236"/>
      <c r="I10" s="1392"/>
      <c r="J10" s="1392"/>
      <c r="K10" s="1392"/>
      <c r="L10" s="1392"/>
      <c r="M10" s="1392"/>
      <c r="N10" s="1392"/>
      <c r="O10" s="1392"/>
      <c r="P10" s="1392"/>
    </row>
    <row r="11" spans="1:16">
      <c r="A11" s="2237"/>
      <c r="B11" s="2238"/>
      <c r="C11" s="48" t="s">
        <v>1927</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1928</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1929</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1941</v>
      </c>
      <c r="D14" s="48">
        <f t="shared" si="0"/>
        <v>3248.74</v>
      </c>
      <c r="E14" s="51">
        <f>SUMPRODUCT(('数据-基础表'!BB10:BK10="地下")*('数据-基础表'!BB11:BK11="车库—商业")*('数据-基础表'!BB5:BK5))</f>
        <v>12362.01</v>
      </c>
      <c r="F14" s="1392"/>
      <c r="G14" s="2236"/>
      <c r="H14" s="2236"/>
      <c r="I14" s="1392"/>
      <c r="J14" s="1392"/>
      <c r="K14" s="1392"/>
      <c r="L14" s="1392"/>
      <c r="M14" s="1392"/>
      <c r="N14" s="1392"/>
      <c r="O14" s="1392"/>
      <c r="P14" s="1392"/>
    </row>
    <row r="15" spans="1:16" ht="15" thickBot="1">
      <c r="A15" s="2237"/>
      <c r="B15" s="2238"/>
      <c r="C15" s="48" t="s">
        <v>1936</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1930</v>
      </c>
      <c r="D16" s="50">
        <f>SUM(D8:D15)</f>
        <v>17111.18</v>
      </c>
      <c r="E16" s="53">
        <f>SUM(E8:E15)</f>
        <v>65110.920000000006</v>
      </c>
      <c r="F16" s="1392"/>
      <c r="G16" s="2236"/>
      <c r="H16" s="2239" t="s">
        <v>1942</v>
      </c>
      <c r="I16" s="2240"/>
      <c r="J16" s="1392"/>
      <c r="K16" s="3035" t="s">
        <v>1942</v>
      </c>
      <c r="L16" s="3036"/>
      <c r="M16" s="3036"/>
      <c r="N16" s="3036"/>
      <c r="O16" s="3036"/>
      <c r="P16" s="3037"/>
    </row>
    <row r="17" spans="1:19" ht="15">
      <c r="A17" s="2241" t="s">
        <v>1943</v>
      </c>
      <c r="B17" s="2242" t="s">
        <v>1944</v>
      </c>
      <c r="C17" s="2243" t="s">
        <v>1945</v>
      </c>
      <c r="D17" s="2244" t="s">
        <v>1933</v>
      </c>
      <c r="E17" s="2245" t="s">
        <v>1934</v>
      </c>
      <c r="F17" s="2246"/>
      <c r="G17" s="2247"/>
      <c r="H17" s="2248" t="s">
        <v>1946</v>
      </c>
      <c r="I17" s="2249" t="s">
        <v>1931</v>
      </c>
      <c r="J17" s="1392"/>
      <c r="K17" s="3032" t="s">
        <v>1947</v>
      </c>
      <c r="L17" s="3033"/>
      <c r="M17" s="3034"/>
      <c r="N17" s="3032" t="s">
        <v>1948</v>
      </c>
      <c r="O17" s="3033"/>
      <c r="P17" s="3034"/>
      <c r="R17" s="2227" t="s">
        <v>1949</v>
      </c>
      <c r="S17" s="64"/>
    </row>
    <row r="18" spans="1:19" ht="15">
      <c r="A18" s="2237"/>
      <c r="B18" s="2250"/>
      <c r="C18" s="2251"/>
      <c r="D18" s="2252"/>
      <c r="E18" s="2253" t="s">
        <v>1950</v>
      </c>
      <c r="F18" s="2254" t="s">
        <v>1951</v>
      </c>
      <c r="G18" s="2255" t="s">
        <v>1952</v>
      </c>
      <c r="H18" s="1262" t="s">
        <v>1953</v>
      </c>
      <c r="I18" s="2256" t="s">
        <v>1954</v>
      </c>
      <c r="J18" s="1392"/>
      <c r="K18" s="1262" t="s">
        <v>1955</v>
      </c>
      <c r="L18" s="2257" t="s">
        <v>1956</v>
      </c>
      <c r="M18" s="1046" t="s">
        <v>1957</v>
      </c>
      <c r="N18" s="1262" t="s">
        <v>1955</v>
      </c>
      <c r="O18" s="2257" t="s">
        <v>1956</v>
      </c>
      <c r="P18" s="1046" t="s">
        <v>1957</v>
      </c>
      <c r="R18" s="1247" t="s">
        <v>1958</v>
      </c>
      <c r="S18" s="1247" t="s">
        <v>1959</v>
      </c>
    </row>
    <row r="19" spans="1:19">
      <c r="A19" s="2258"/>
      <c r="B19" s="50" t="s">
        <v>1932</v>
      </c>
      <c r="C19" s="2937" t="s">
        <v>3079</v>
      </c>
      <c r="D19" s="48">
        <f>ROUND($D$3*E19/$E$3,2)</f>
        <v>7559.6</v>
      </c>
      <c r="E19" s="56">
        <f t="shared" ref="E19:E26" si="1">SUM(F19:G19)</f>
        <v>28765.559999999998</v>
      </c>
      <c r="F19" s="57">
        <f>租金!D12</f>
        <v>28765.559999999998</v>
      </c>
      <c r="G19" s="58"/>
      <c r="H19" s="724">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7559.6</v>
      </c>
      <c r="S19" s="1248">
        <f t="shared" si="5"/>
        <v>28765.559999999998</v>
      </c>
    </row>
    <row r="20" spans="1:19">
      <c r="A20" s="2261"/>
      <c r="B20" s="50" t="s">
        <v>1960</v>
      </c>
      <c r="C20" s="2937" t="s">
        <v>3080</v>
      </c>
      <c r="D20" s="48">
        <f t="shared" ref="D20:D26" si="6">ROUND($D$3*E20/$E$3,2)</f>
        <v>2591.77</v>
      </c>
      <c r="E20" s="56">
        <f t="shared" si="1"/>
        <v>9862.1200000000026</v>
      </c>
      <c r="F20" s="57">
        <f>'数据-基础表'!I13+'数据-基础表'!I14+'数据-基础表'!I15+'数据-基础表'!I16-'数据-汇总表'!F19</f>
        <v>9862.1200000000026</v>
      </c>
      <c r="G20" s="58"/>
      <c r="H20" s="724">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2591.77</v>
      </c>
      <c r="S20" s="1248">
        <f t="shared" si="5"/>
        <v>9862.1200000000026</v>
      </c>
    </row>
    <row r="21" spans="1:19">
      <c r="A21" s="2261"/>
      <c r="B21" s="50" t="s">
        <v>1960</v>
      </c>
      <c r="C21" s="2937" t="s">
        <v>3141</v>
      </c>
      <c r="D21" s="48">
        <f t="shared" si="6"/>
        <v>3711.07</v>
      </c>
      <c r="E21" s="56">
        <f t="shared" si="1"/>
        <v>14121.230000000001</v>
      </c>
      <c r="F21" s="57"/>
      <c r="G21" s="58">
        <f>'数据-基础表'!K5</f>
        <v>14121.230000000001</v>
      </c>
      <c r="H21" s="724">
        <f t="shared" si="7"/>
        <v>0</v>
      </c>
      <c r="I21" s="51">
        <f t="shared" si="2"/>
        <v>0</v>
      </c>
      <c r="J21" s="1392"/>
      <c r="K21" s="1391">
        <f t="shared" si="3"/>
        <v>0</v>
      </c>
      <c r="L21" s="1247">
        <f t="shared" si="4"/>
        <v>0</v>
      </c>
      <c r="M21" s="1403">
        <f t="shared" si="8"/>
        <v>0</v>
      </c>
      <c r="N21" s="2259"/>
      <c r="O21" s="2260"/>
      <c r="P21" s="1403">
        <f t="shared" si="9"/>
        <v>0</v>
      </c>
      <c r="R21" s="1247">
        <f t="shared" si="5"/>
        <v>3711.07</v>
      </c>
      <c r="S21" s="1248">
        <f t="shared" si="5"/>
        <v>14121.230000000001</v>
      </c>
    </row>
    <row r="22" spans="1:19">
      <c r="A22" s="2261"/>
      <c r="B22" s="50" t="s">
        <v>1960</v>
      </c>
      <c r="C22" s="2938" t="s">
        <v>3142</v>
      </c>
      <c r="D22" s="48">
        <f t="shared" si="6"/>
        <v>3248.74</v>
      </c>
      <c r="E22" s="56">
        <f t="shared" si="1"/>
        <v>12362.01</v>
      </c>
      <c r="F22" s="61"/>
      <c r="G22" s="62">
        <f>'数据-基础表'!M19</f>
        <v>12362.01</v>
      </c>
      <c r="H22" s="724">
        <f t="shared" si="7"/>
        <v>0</v>
      </c>
      <c r="I22" s="51">
        <f t="shared" si="2"/>
        <v>0</v>
      </c>
      <c r="J22" s="1392"/>
      <c r="K22" s="1391">
        <f t="shared" si="3"/>
        <v>0</v>
      </c>
      <c r="L22" s="1247">
        <f t="shared" si="4"/>
        <v>0</v>
      </c>
      <c r="M22" s="1403">
        <f t="shared" si="8"/>
        <v>0</v>
      </c>
      <c r="N22" s="2259"/>
      <c r="O22" s="2260"/>
      <c r="P22" s="1403">
        <f t="shared" si="9"/>
        <v>0</v>
      </c>
      <c r="R22" s="1247">
        <f t="shared" si="5"/>
        <v>3248.74</v>
      </c>
      <c r="S22" s="1248">
        <f t="shared" si="5"/>
        <v>12362.01</v>
      </c>
    </row>
    <row r="23" spans="1:19">
      <c r="A23" s="2261"/>
      <c r="B23" s="50" t="s">
        <v>1960</v>
      </c>
      <c r="C23" s="2938"/>
      <c r="D23" s="48">
        <f>ROUND($D$3*E23/$E$3,2)</f>
        <v>0</v>
      </c>
      <c r="E23" s="56">
        <f>SUM(F23:G23)</f>
        <v>0</v>
      </c>
      <c r="F23" s="61"/>
      <c r="G23" s="62"/>
      <c r="H23" s="724">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1960</v>
      </c>
      <c r="C24" s="60"/>
      <c r="D24" s="48">
        <f>ROUND($D$3*E24/$E$3,2)</f>
        <v>0</v>
      </c>
      <c r="E24" s="56">
        <f>SUM(F24:G24)</f>
        <v>0</v>
      </c>
      <c r="F24" s="61"/>
      <c r="G24" s="62"/>
      <c r="H24" s="724">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1961</v>
      </c>
      <c r="D27" s="1393">
        <f>SUM(D19:D26)</f>
        <v>17111.18</v>
      </c>
      <c r="E27" s="1394">
        <f>IF(SUM(E19:E26)='数据-基础表'!BA5,SUM(E19:E26),IF(F27="地上面积有误","面积有误","地下面积有误"))</f>
        <v>65110.920000000006</v>
      </c>
      <c r="F27" s="1393">
        <f>IF(SUM(F19:F26)=E8,SUM(F19:F26),"地上面积有误")</f>
        <v>38627.68</v>
      </c>
      <c r="G27" s="1395">
        <f>SUM(G19:G26)</f>
        <v>26483.24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17111.18</v>
      </c>
      <c r="S27" s="1247">
        <f>IF(SUM(S19:S26)=$E$3,SUM(S19:S26),SUM(S19:S26)&amp;"误差"&amp;ROUND(SUM(S19:S26)-E3,2))</f>
        <v>65110.920000000006</v>
      </c>
    </row>
    <row r="28" spans="1:19">
      <c r="A28" s="2261"/>
      <c r="B28" s="50" t="s">
        <v>1962</v>
      </c>
      <c r="C28" s="1259" t="s">
        <v>1963</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1962</v>
      </c>
      <c r="C29" s="2265"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1965</v>
      </c>
      <c r="D31" s="730">
        <f>D27+D30</f>
        <v>17111.18</v>
      </c>
      <c r="E31" s="730">
        <f>E27+E30</f>
        <v>65110.920000000006</v>
      </c>
      <c r="F31" s="731">
        <f>F27+F30</f>
        <v>38627.68</v>
      </c>
      <c r="G31" s="732">
        <f>G27+G30</f>
        <v>26483.24</v>
      </c>
      <c r="H31" s="1392"/>
      <c r="I31" s="1392"/>
      <c r="J31" s="1392"/>
      <c r="K31" s="1392"/>
      <c r="L31" s="1392"/>
      <c r="M31" s="1392"/>
      <c r="N31" s="1392"/>
      <c r="O31" s="1392"/>
      <c r="P31" s="1392"/>
    </row>
    <row r="32" spans="1:19">
      <c r="A32" s="2232"/>
      <c r="B32" s="2232" t="s">
        <v>1966</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8" activePane="bottomRight" state="frozen"/>
      <selection activeCell="C50" sqref="C50"/>
      <selection pane="topRight" activeCell="C50" sqref="C50"/>
      <selection pane="bottomLeft" activeCell="C50" sqref="C50"/>
      <selection pane="bottomRight" activeCell="J12" sqref="A9:J1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3"/>
      <c r="C1" s="1582"/>
      <c r="D1" s="2271"/>
      <c r="E1" s="1582"/>
      <c r="F1" s="1582"/>
      <c r="G1" s="1582"/>
      <c r="H1" s="1582"/>
      <c r="I1" s="1582"/>
      <c r="J1" s="1582"/>
      <c r="K1" s="169"/>
      <c r="L1" s="169"/>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1968</v>
      </c>
      <c r="B2" s="1266">
        <f>项目基本情况!D3</f>
        <v>43039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1975</v>
      </c>
      <c r="B5" s="2288" t="s">
        <v>1976</v>
      </c>
      <c r="C5" s="2289" t="s">
        <v>1977</v>
      </c>
      <c r="D5" s="2290" t="s">
        <v>1978</v>
      </c>
      <c r="E5" s="1268" t="s">
        <v>1979</v>
      </c>
      <c r="F5" s="2291" t="s">
        <v>1980</v>
      </c>
      <c r="G5" s="1268" t="s">
        <v>1981</v>
      </c>
      <c r="H5" s="1268" t="s">
        <v>1982</v>
      </c>
      <c r="I5" s="1268" t="s">
        <v>1983</v>
      </c>
      <c r="J5" s="2292" t="s">
        <v>1984</v>
      </c>
      <c r="K5" s="2293" t="s">
        <v>1985</v>
      </c>
      <c r="L5" s="2294" t="s">
        <v>1986</v>
      </c>
      <c r="M5" s="2295" t="s">
        <v>1987</v>
      </c>
      <c r="N5" s="2296" t="s">
        <v>3106</v>
      </c>
      <c r="O5" s="2294" t="s">
        <v>1988</v>
      </c>
      <c r="P5" s="2297" t="s">
        <v>1989</v>
      </c>
      <c r="Q5" s="69" t="s">
        <v>1990</v>
      </c>
      <c r="R5" s="2298" t="s">
        <v>1991</v>
      </c>
      <c r="S5" s="2299" t="s">
        <v>1992</v>
      </c>
      <c r="T5" s="2300" t="s">
        <v>1993</v>
      </c>
      <c r="U5" s="1267" t="s">
        <v>1994</v>
      </c>
      <c r="V5" s="1268" t="s">
        <v>1995</v>
      </c>
      <c r="W5" s="1268" t="s">
        <v>1996</v>
      </c>
      <c r="X5" s="71"/>
      <c r="Y5" s="70" t="s">
        <v>1997</v>
      </c>
      <c r="Z5" s="2301" t="s">
        <v>1994</v>
      </c>
      <c r="AA5" s="1268" t="s">
        <v>1995</v>
      </c>
      <c r="AB5" s="1268" t="s">
        <v>1996</v>
      </c>
      <c r="AC5" s="71"/>
      <c r="AD5" s="71" t="s">
        <v>1997</v>
      </c>
      <c r="AE5" s="1267" t="s">
        <v>1998</v>
      </c>
      <c r="AF5" s="1268" t="s">
        <v>1999</v>
      </c>
      <c r="AG5" s="70" t="s">
        <v>2000</v>
      </c>
      <c r="AH5" s="1267" t="s">
        <v>2001</v>
      </c>
      <c r="AI5" s="2301" t="s">
        <v>2002</v>
      </c>
      <c r="AJ5" s="2301" t="s">
        <v>2003</v>
      </c>
      <c r="AK5" s="1268" t="s">
        <v>2004</v>
      </c>
      <c r="AL5" s="1268" t="s">
        <v>2005</v>
      </c>
      <c r="AM5" s="70" t="s">
        <v>2006</v>
      </c>
      <c r="AN5" s="2302" t="s">
        <v>2007</v>
      </c>
      <c r="AO5" s="2075" t="s">
        <v>2008</v>
      </c>
      <c r="AP5" s="1249" t="s">
        <v>2009</v>
      </c>
      <c r="AQ5" s="2303" t="s">
        <v>2010</v>
      </c>
      <c r="AR5" s="2303"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4" t="str">
        <f>'数据-汇总表'!C19</f>
        <v>地上商业-出租部分</v>
      </c>
      <c r="B6" s="2305" t="str">
        <f>IF(A6=0,"","经营性")</f>
        <v>经营性</v>
      </c>
      <c r="C6" s="2306" t="s">
        <v>1378</v>
      </c>
      <c r="D6" s="1051">
        <f>SUMIF(项目基本情况!D$12:I$12,C6,项目基本情况!D$14:I$14)</f>
        <v>40</v>
      </c>
      <c r="E6" s="1048">
        <f>IF(B6="","",SUMIF(项目基本情况!D$12:I$12,C6,项目基本情况!D$13:I$13))</f>
        <v>54309</v>
      </c>
      <c r="F6" s="72">
        <f>SUMIF(项目基本情况!D$12:I$12,C6,项目基本情况!D$15:I$15)</f>
        <v>30.87</v>
      </c>
      <c r="G6" s="73">
        <f>IF(ISERROR(ROUND(POWER(1+H6,D6-F6)*(POWER(1+H6,F6)-1)/(POWER(1+H6,D6)-1),3)),0,ROUND(POWER(1+H6,D6-F6)*(POWER(1+H6,F6)-1)/(POWER(1+H6,D6)-1),3))</f>
        <v>0.90700000000000003</v>
      </c>
      <c r="H6" s="803">
        <v>0.05</v>
      </c>
      <c r="I6" s="803">
        <v>5.5E-2</v>
      </c>
      <c r="J6" s="74">
        <v>8.5000000000000006E-2</v>
      </c>
      <c r="K6" s="1251">
        <f>SUMIF('数据-汇总表'!C$19:C$33,A6,'数据-汇总表'!E$19:E$33)</f>
        <v>28765.559999999998</v>
      </c>
      <c r="L6" s="804">
        <v>4500</v>
      </c>
      <c r="M6" s="75">
        <f t="shared" ref="M6:M14" si="0">ROUND(K6*L6/10000,0)</f>
        <v>12945</v>
      </c>
      <c r="N6" s="802">
        <f>ROUND(1-(2017-2012)/60,2)</f>
        <v>0.92</v>
      </c>
      <c r="O6" s="75" t="str">
        <f>IF($N$5="成新度","——",ROUND(M6*N6,0))</f>
        <v>——</v>
      </c>
      <c r="P6" s="76" t="str">
        <f>IF($N$5="成新度","——",M6-O6)</f>
        <v>——</v>
      </c>
      <c r="Q6" s="805">
        <v>0.25</v>
      </c>
      <c r="R6" s="77">
        <f ca="1">SUMIF('数据-汇总表'!C$19:C$33,A6,'数据-汇总表'!R$19:R$27)</f>
        <v>7559.6</v>
      </c>
      <c r="S6" s="54">
        <f>IF('数据-汇总表'!$I$17="按面积比例",SUMIF('数据-汇总表'!C$19:C$33,A6,'数据-汇总表'!K$19:K$33),SUMIF('数据-汇总表'!C$19:C$33,A6,'数据-汇总表'!N$19:N$33))</f>
        <v>0</v>
      </c>
      <c r="T6" s="1443">
        <f>ROUND($L$14*S6/10000,0)</f>
        <v>0</v>
      </c>
      <c r="U6" s="78">
        <f>[1]Sheet1!$L$53</f>
        <v>2.5</v>
      </c>
      <c r="V6" s="79">
        <v>0.05</v>
      </c>
      <c r="W6" s="79">
        <v>0</v>
      </c>
      <c r="X6" s="1261"/>
      <c r="Y6" s="80">
        <v>0.92</v>
      </c>
      <c r="Z6" s="81">
        <f>ROUND(U7*(1+V7)^AF6,1)</f>
        <v>5.7</v>
      </c>
      <c r="AA6" s="74">
        <v>0.04</v>
      </c>
      <c r="AB6" s="74">
        <v>0.05</v>
      </c>
      <c r="AC6" s="1261"/>
      <c r="AD6" s="82">
        <f>ROUND(1-(2028-2012)/60,2)</f>
        <v>0.73</v>
      </c>
      <c r="AE6" s="1262">
        <f ca="1">IF(AN6="",0,SUMIF(INDIRECT("'"&amp;AN6&amp;"'"&amp;"!E:E"),$AE$5,INDIRECT("'"&amp;AN6&amp;"'"&amp;"!F:F")))</f>
        <v>30.87</v>
      </c>
      <c r="AF6" s="1805">
        <v>10.86</v>
      </c>
      <c r="AG6" s="147">
        <f ca="1">IF(AF6="",0,AE6-AF6)</f>
        <v>20.010000000000002</v>
      </c>
      <c r="AH6" s="83"/>
      <c r="AI6" s="85">
        <v>365</v>
      </c>
      <c r="AJ6" s="86"/>
      <c r="AK6" s="87">
        <v>1E-3</v>
      </c>
      <c r="AL6" s="88">
        <v>2.5000000000000001E-4</v>
      </c>
      <c r="AM6" s="89">
        <v>0.01</v>
      </c>
      <c r="AN6" s="2307" t="s">
        <v>3110</v>
      </c>
      <c r="AO6" s="55">
        <f ca="1">SUMIF(INDIRECT("'"&amp;AN6&amp;"'"&amp;"!A:A"),"总价",INDIRECT("'"&amp;AN6&amp;"'"&amp;"!B:B"))</f>
        <v>71061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地上商业-未出租部分</v>
      </c>
      <c r="B7" s="2305" t="str">
        <f t="shared" ref="B7:B13" si="1">IF(A7=0,"","经营性")</f>
        <v>经营性</v>
      </c>
      <c r="C7" s="2306" t="s">
        <v>1378</v>
      </c>
      <c r="D7" s="1051">
        <f>SUMIF(项目基本情况!D$12:I$12,C7,项目基本情况!D$14:I$14)</f>
        <v>40</v>
      </c>
      <c r="E7" s="1048">
        <f>IF(B7="","",SUMIF(项目基本情况!D$12:I$12,C7,项目基本情况!D$13:I$13))</f>
        <v>54309</v>
      </c>
      <c r="F7" s="72">
        <f>SUMIF(项目基本情况!D$12:I$12,C7,项目基本情况!D$15:I$15)</f>
        <v>30.87</v>
      </c>
      <c r="G7" s="73">
        <f t="shared" ref="G7:G11" si="2">IF(ISERROR(ROUND(POWER(1+H7,D7-F7)*(POWER(1+H7,F7)-1)/(POWER(1+H7,D7)-1),3)),0,ROUND(POWER(1+H7,D7-F7)*(POWER(1+H7,F7)-1)/(POWER(1+H7,D7)-1),3))</f>
        <v>0.90700000000000003</v>
      </c>
      <c r="H7" s="803">
        <v>0.05</v>
      </c>
      <c r="I7" s="803">
        <v>5.5E-2</v>
      </c>
      <c r="J7" s="74">
        <v>8.5000000000000006E-2</v>
      </c>
      <c r="K7" s="1251">
        <f>SUMIF('数据-汇总表'!C$19:C$33,A7,'数据-汇总表'!E$19:E$33)</f>
        <v>9862.1200000000026</v>
      </c>
      <c r="L7" s="804">
        <v>4500</v>
      </c>
      <c r="M7" s="75">
        <f t="shared" si="0"/>
        <v>4438</v>
      </c>
      <c r="N7" s="802">
        <f t="shared" ref="N7:N9" si="3">ROUND(1-(2017-2012)/60,2)</f>
        <v>0.92</v>
      </c>
      <c r="O7" s="75" t="str">
        <f t="shared" ref="O7:O14" si="4">IF($N$5="成新度","——",ROUND(M7*N7,0))</f>
        <v>——</v>
      </c>
      <c r="P7" s="76" t="str">
        <f t="shared" ref="P7:P14" si="5">IF($N$5="成新度","——",M7-O7)</f>
        <v>——</v>
      </c>
      <c r="Q7" s="805">
        <v>0.25</v>
      </c>
      <c r="R7" s="77">
        <f ca="1">SUMIF('数据-汇总表'!C$19:C$33,A7,'数据-汇总表'!R$19:R$27)</f>
        <v>2591.77</v>
      </c>
      <c r="S7" s="54">
        <f>IF('数据-汇总表'!$I$17="按面积比例",SUMIF('数据-汇总表'!C$19:C$33,A7,'数据-汇总表'!K$19:K$33),SUMIF('数据-汇总表'!C$19:C$33,A7,'数据-汇总表'!N$19:N$33))</f>
        <v>0</v>
      </c>
      <c r="T7" s="1443">
        <f t="shared" ref="T7:T13" si="6">ROUND($L$14*S7/10000,0)</f>
        <v>0</v>
      </c>
      <c r="U7" s="78">
        <f>租金!J7</f>
        <v>3.7</v>
      </c>
      <c r="V7" s="79">
        <v>0.04</v>
      </c>
      <c r="W7" s="79">
        <v>0.05</v>
      </c>
      <c r="X7" s="1261"/>
      <c r="Y7" s="80">
        <v>0.92</v>
      </c>
      <c r="Z7" s="81"/>
      <c r="AA7" s="74"/>
      <c r="AB7" s="74"/>
      <c r="AC7" s="1261"/>
      <c r="AD7" s="82"/>
      <c r="AE7" s="1262">
        <f t="shared" ref="AE7:AE13" ca="1" si="7">IF(AN7="",0,SUMIF(INDIRECT("'"&amp;AN7&amp;"'"&amp;"!E:E"),$AE$5,INDIRECT("'"&amp;AN7&amp;"'"&amp;"!F:F")))</f>
        <v>0</v>
      </c>
      <c r="AF7" s="1805"/>
      <c r="AG7" s="147">
        <f t="shared" ref="AG7:AG13" si="8">IF(AF7="",0,AE7-AF7)</f>
        <v>0</v>
      </c>
      <c r="AH7" s="83"/>
      <c r="AI7" s="85">
        <v>365</v>
      </c>
      <c r="AJ7" s="86"/>
      <c r="AK7" s="87">
        <v>1E-3</v>
      </c>
      <c r="AL7" s="88">
        <v>2.5000000000000001E-4</v>
      </c>
      <c r="AM7" s="89">
        <v>0.01</v>
      </c>
      <c r="AN7" s="2307" t="s">
        <v>3107</v>
      </c>
      <c r="AO7" s="55">
        <f t="shared" ref="AO7:AO13" ca="1" si="9">SUMIF(INDIRECT("'"&amp;AN7&amp;"'"&amp;"!A:A"),"总价",INDIRECT("'"&amp;AN7&amp;"'"&amp;"!B:B"))</f>
        <v>2842</v>
      </c>
      <c r="AP7" s="2308">
        <f t="shared" ref="AP7:AP13" si="10">IF(C7="住宅",K7*L7,0)</f>
        <v>0</v>
      </c>
      <c r="AQ7" s="55">
        <f t="shared" ref="AQ7:AQ13" si="11">ROUND($L$14*$N$14*S7/10000,0)</f>
        <v>0</v>
      </c>
      <c r="AR7" s="55">
        <f t="shared" ref="AR7:AR13" si="12">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t="str">
        <f>'数据-汇总表'!C21</f>
        <v>地下商业</v>
      </c>
      <c r="B8" s="2305" t="str">
        <f t="shared" si="1"/>
        <v>经营性</v>
      </c>
      <c r="C8" s="2306" t="s">
        <v>1378</v>
      </c>
      <c r="D8" s="1051">
        <f>SUMIF(项目基本情况!D$12:I$12,C8,项目基本情况!D$14:I$14)</f>
        <v>40</v>
      </c>
      <c r="E8" s="1048">
        <f>IF(B8="","",SUMIF(项目基本情况!D$12:I$12,C8,项目基本情况!D$13:I$13))</f>
        <v>54309</v>
      </c>
      <c r="F8" s="72">
        <f>SUMIF(项目基本情况!D$12:I$12,C8,项目基本情况!D$15:I$15)</f>
        <v>30.87</v>
      </c>
      <c r="G8" s="73">
        <f t="shared" si="2"/>
        <v>0.90700000000000003</v>
      </c>
      <c r="H8" s="803">
        <v>0.05</v>
      </c>
      <c r="I8" s="803">
        <v>5.5E-2</v>
      </c>
      <c r="J8" s="74">
        <v>8.5000000000000006E-2</v>
      </c>
      <c r="K8" s="1251">
        <f>SUMIF('数据-汇总表'!C$19:C$33,A8,'数据-汇总表'!E$19:E$33)</f>
        <v>14121.230000000001</v>
      </c>
      <c r="L8" s="804">
        <v>4500</v>
      </c>
      <c r="M8" s="75">
        <f>ROUND(K8*L8/10000,0)</f>
        <v>6355</v>
      </c>
      <c r="N8" s="802">
        <f t="shared" si="3"/>
        <v>0.92</v>
      </c>
      <c r="O8" s="75" t="str">
        <f t="shared" si="4"/>
        <v>——</v>
      </c>
      <c r="P8" s="76" t="str">
        <f t="shared" si="5"/>
        <v>——</v>
      </c>
      <c r="Q8" s="805">
        <v>0.25</v>
      </c>
      <c r="R8" s="77">
        <f ca="1">SUMIF('数据-汇总表'!C$19:C$33,A8,'数据-汇总表'!R$19:R$27)</f>
        <v>3711.07</v>
      </c>
      <c r="S8" s="54">
        <f>IF('数据-汇总表'!$I$17="按面积比例",SUMIF('数据-汇总表'!C$19:C$33,A8,'数据-汇总表'!K$19:K$33),SUMIF('数据-汇总表'!C$19:C$33,A8,'数据-汇总表'!N$19:N$33))</f>
        <v>0</v>
      </c>
      <c r="T8" s="1443">
        <f t="shared" si="6"/>
        <v>0</v>
      </c>
      <c r="U8" s="806">
        <f>租金!G11</f>
        <v>2</v>
      </c>
      <c r="V8" s="807">
        <v>0.04</v>
      </c>
      <c r="W8" s="807">
        <v>0.05</v>
      </c>
      <c r="X8" s="1261"/>
      <c r="Y8" s="80">
        <v>0.92</v>
      </c>
      <c r="Z8" s="81"/>
      <c r="AA8" s="74"/>
      <c r="AB8" s="74"/>
      <c r="AC8" s="1261"/>
      <c r="AD8" s="82"/>
      <c r="AE8" s="1262">
        <f t="shared" ca="1" si="7"/>
        <v>30.87</v>
      </c>
      <c r="AF8" s="1805"/>
      <c r="AG8" s="147">
        <f t="shared" si="8"/>
        <v>0</v>
      </c>
      <c r="AH8" s="808"/>
      <c r="AI8" s="85">
        <v>365</v>
      </c>
      <c r="AJ8" s="86"/>
      <c r="AK8" s="87">
        <v>1E-3</v>
      </c>
      <c r="AL8" s="88">
        <v>2.5000000000000001E-4</v>
      </c>
      <c r="AM8" s="89">
        <v>0.01</v>
      </c>
      <c r="AN8" s="2307" t="s">
        <v>3144</v>
      </c>
      <c r="AO8" s="55">
        <f t="shared" ca="1" si="9"/>
        <v>19841</v>
      </c>
      <c r="AP8" s="2308">
        <f t="shared" si="10"/>
        <v>0</v>
      </c>
      <c r="AQ8" s="55">
        <f t="shared" si="11"/>
        <v>0</v>
      </c>
      <c r="AR8" s="55">
        <f t="shared" si="12"/>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t="str">
        <f>'数据-汇总表'!C22</f>
        <v>地下车库</v>
      </c>
      <c r="B9" s="2305" t="str">
        <f t="shared" si="1"/>
        <v>经营性</v>
      </c>
      <c r="C9" s="2306" t="s">
        <v>3078</v>
      </c>
      <c r="D9" s="1051">
        <f>SUMIF(项目基本情况!D$12:I$12,C9,项目基本情况!D$14:I$14)</f>
        <v>50</v>
      </c>
      <c r="E9" s="1048">
        <f>IF(B9="","",SUMIF(项目基本情况!D$12:I$12,C9,项目基本情况!D$13:I$13))</f>
        <v>57961</v>
      </c>
      <c r="F9" s="72">
        <f>SUMIF(项目基本情况!D$12:I$12,C9,项目基本情况!D$15:I$15)</f>
        <v>40.880000000000003</v>
      </c>
      <c r="G9" s="73">
        <f t="shared" si="2"/>
        <v>0.93</v>
      </c>
      <c r="H9" s="803">
        <v>0.04</v>
      </c>
      <c r="I9" s="803">
        <v>4.4999999999999998E-2</v>
      </c>
      <c r="J9" s="74">
        <v>8.5000000000000006E-2</v>
      </c>
      <c r="K9" s="1251">
        <f>SUMIF('数据-汇总表'!C$19:C$33,A9,'数据-汇总表'!E$19:E$33)</f>
        <v>12362.01</v>
      </c>
      <c r="L9" s="804">
        <v>3000</v>
      </c>
      <c r="M9" s="75">
        <f t="shared" si="0"/>
        <v>3709</v>
      </c>
      <c r="N9" s="802">
        <f t="shared" si="3"/>
        <v>0.92</v>
      </c>
      <c r="O9" s="75" t="str">
        <f t="shared" si="4"/>
        <v>——</v>
      </c>
      <c r="P9" s="76" t="str">
        <f t="shared" si="5"/>
        <v>——</v>
      </c>
      <c r="Q9" s="805">
        <v>0.15</v>
      </c>
      <c r="R9" s="77">
        <f ca="1">SUMIF('数据-汇总表'!C$19:C$33,A9,'数据-汇总表'!R$19:R$27)</f>
        <v>3248.74</v>
      </c>
      <c r="S9" s="54">
        <f>IF('数据-汇总表'!$I$17="按面积比例",SUMIF('数据-汇总表'!C$19:C$33,A9,'数据-汇总表'!K$19:K$33),SUMIF('数据-汇总表'!C$19:C$33,A9,'数据-汇总表'!N$19:N$33))</f>
        <v>0</v>
      </c>
      <c r="T9" s="1443">
        <f t="shared" si="6"/>
        <v>0</v>
      </c>
      <c r="U9" s="78">
        <v>650</v>
      </c>
      <c r="V9" s="79">
        <v>2.5000000000000001E-2</v>
      </c>
      <c r="W9" s="79">
        <v>0.05</v>
      </c>
      <c r="X9" s="1261"/>
      <c r="Y9" s="80">
        <v>0.92</v>
      </c>
      <c r="Z9" s="81"/>
      <c r="AA9" s="74"/>
      <c r="AB9" s="74"/>
      <c r="AC9" s="1261"/>
      <c r="AD9" s="82"/>
      <c r="AE9" s="1262">
        <f t="shared" ca="1" si="7"/>
        <v>0</v>
      </c>
      <c r="AF9" s="1805"/>
      <c r="AG9" s="147">
        <f t="shared" si="8"/>
        <v>0</v>
      </c>
      <c r="AH9" s="83">
        <f>ROUND('数据-汇总表'!G22/35,0)</f>
        <v>353</v>
      </c>
      <c r="AI9" s="85">
        <v>12</v>
      </c>
      <c r="AJ9" s="86"/>
      <c r="AK9" s="87">
        <v>1E-3</v>
      </c>
      <c r="AL9" s="88">
        <v>2.5000000000000001E-4</v>
      </c>
      <c r="AM9" s="89">
        <v>0.01</v>
      </c>
      <c r="AN9" s="2307" t="s">
        <v>3111</v>
      </c>
      <c r="AO9" s="55">
        <f t="shared" ca="1" si="9"/>
        <v>2222</v>
      </c>
      <c r="AP9" s="2308">
        <f t="shared" si="10"/>
        <v>0</v>
      </c>
      <c r="AQ9" s="55">
        <f t="shared" si="11"/>
        <v>0</v>
      </c>
      <c r="AR9" s="55">
        <f t="shared" si="12"/>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7"/>
        <v>0</v>
      </c>
      <c r="AF10" s="1805"/>
      <c r="AG10" s="147">
        <f t="shared" si="8"/>
        <v>0</v>
      </c>
      <c r="AH10" s="83"/>
      <c r="AI10" s="85"/>
      <c r="AJ10" s="86"/>
      <c r="AK10" s="87"/>
      <c r="AL10" s="88"/>
      <c r="AM10" s="89"/>
      <c r="AN10" s="2307"/>
      <c r="AO10" s="55" t="e">
        <f t="shared" ca="1" si="9"/>
        <v>#REF!</v>
      </c>
      <c r="AP10" s="2308">
        <f t="shared" si="10"/>
        <v>0</v>
      </c>
      <c r="AQ10" s="55">
        <f t="shared" si="11"/>
        <v>0</v>
      </c>
      <c r="AR10" s="55">
        <f t="shared" si="12"/>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7"/>
        <v>0</v>
      </c>
      <c r="AF11" s="1805"/>
      <c r="AG11" s="147">
        <f t="shared" si="8"/>
        <v>0</v>
      </c>
      <c r="AH11" s="83"/>
      <c r="AI11" s="85"/>
      <c r="AJ11" s="86"/>
      <c r="AK11" s="94"/>
      <c r="AL11" s="95"/>
      <c r="AM11" s="96"/>
      <c r="AN11" s="2307"/>
      <c r="AO11" s="55" t="e">
        <f t="shared" ca="1" si="9"/>
        <v>#REF!</v>
      </c>
      <c r="AP11" s="2308">
        <f t="shared" si="10"/>
        <v>0</v>
      </c>
      <c r="AQ11" s="55">
        <f t="shared" si="11"/>
        <v>0</v>
      </c>
      <c r="AR11" s="55">
        <f t="shared" si="12"/>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7"/>
        <v>0</v>
      </c>
      <c r="AF12" s="1805"/>
      <c r="AG12" s="147">
        <f t="shared" si="8"/>
        <v>0</v>
      </c>
      <c r="AH12" s="83"/>
      <c r="AI12" s="85"/>
      <c r="AJ12" s="86"/>
      <c r="AK12" s="94"/>
      <c r="AL12" s="95"/>
      <c r="AM12" s="96"/>
      <c r="AN12" s="2307"/>
      <c r="AO12" s="55" t="e">
        <f t="shared" ca="1" si="9"/>
        <v>#REF!</v>
      </c>
      <c r="AP12" s="2308">
        <f t="shared" si="10"/>
        <v>0</v>
      </c>
      <c r="AQ12" s="55">
        <f t="shared" si="11"/>
        <v>0</v>
      </c>
      <c r="AR12" s="55">
        <f t="shared" si="12"/>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7"/>
        <v>0</v>
      </c>
      <c r="AF13" s="1805"/>
      <c r="AG13" s="147">
        <f t="shared" si="8"/>
        <v>0</v>
      </c>
      <c r="AH13" s="83"/>
      <c r="AI13" s="85"/>
      <c r="AJ13" s="86"/>
      <c r="AK13" s="87"/>
      <c r="AL13" s="88"/>
      <c r="AM13" s="89"/>
      <c r="AN13" s="2307"/>
      <c r="AO13" s="55" t="e">
        <f t="shared" ca="1" si="9"/>
        <v>#REF!</v>
      </c>
      <c r="AP13" s="2308">
        <f t="shared" si="10"/>
        <v>0</v>
      </c>
      <c r="AQ13" s="55">
        <f t="shared" si="11"/>
        <v>0</v>
      </c>
      <c r="AR13" s="55">
        <f t="shared" si="12"/>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2012</v>
      </c>
      <c r="B14" s="2305" t="s">
        <v>2013</v>
      </c>
      <c r="C14" s="2310" t="s">
        <v>2012</v>
      </c>
      <c r="D14" s="1051"/>
      <c r="E14" s="1048"/>
      <c r="F14" s="72"/>
      <c r="G14" s="73"/>
      <c r="H14" s="1250"/>
      <c r="I14" s="1250"/>
      <c r="J14" s="1250"/>
      <c r="K14" s="1251">
        <f>SUMIF('数据-汇总表'!C$19:C$33,A14,'数据-汇总表'!E$19:E$33)</f>
        <v>0</v>
      </c>
      <c r="L14" s="91"/>
      <c r="M14" s="75">
        <f t="shared" si="0"/>
        <v>0</v>
      </c>
      <c r="N14" s="92"/>
      <c r="O14" s="75" t="str">
        <f t="shared" si="4"/>
        <v>——</v>
      </c>
      <c r="P14" s="76" t="str">
        <f t="shared" si="5"/>
        <v>——</v>
      </c>
      <c r="Q14" s="1254"/>
      <c r="R14" s="77"/>
      <c r="S14" s="54"/>
      <c r="T14" s="1443"/>
      <c r="U14" s="724"/>
      <c r="V14" s="1256"/>
      <c r="W14" s="1256"/>
      <c r="X14" s="1257"/>
      <c r="Y14" s="1258"/>
      <c r="Z14" s="1259"/>
      <c r="AA14" s="1260"/>
      <c r="AB14" s="1260"/>
      <c r="AC14" s="1261"/>
      <c r="AD14" s="1257"/>
      <c r="AE14" s="1262"/>
      <c r="AF14" s="55"/>
      <c r="AG14" s="147"/>
      <c r="AH14" s="1262"/>
      <c r="AI14" s="1816"/>
      <c r="AJ14" s="774"/>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2014</v>
      </c>
      <c r="B15" s="2305" t="s">
        <v>2013</v>
      </c>
      <c r="C15" s="2310"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4"/>
      <c r="V15" s="1256"/>
      <c r="W15" s="1256"/>
      <c r="X15" s="1257"/>
      <c r="Y15" s="1258"/>
      <c r="Z15" s="1259"/>
      <c r="AA15" s="1260"/>
      <c r="AB15" s="1260"/>
      <c r="AC15" s="1261"/>
      <c r="AD15" s="1257"/>
      <c r="AE15" s="1262"/>
      <c r="AF15" s="55"/>
      <c r="AG15" s="147"/>
      <c r="AH15" s="1262"/>
      <c r="AI15" s="1816"/>
      <c r="AJ15" s="774"/>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2016</v>
      </c>
      <c r="B16" s="97"/>
      <c r="C16" s="1005"/>
      <c r="D16" s="2312"/>
      <c r="E16" s="97"/>
      <c r="F16" s="97"/>
      <c r="G16" s="98">
        <f>ROUND(SUMPRODUCT(G6:G13,K6:K13)/SUMPRODUCT((G6:G13&gt;0)*(K6:K13)),3)</f>
        <v>0.91100000000000003</v>
      </c>
      <c r="H16" s="99">
        <f>ROUND(SUMPRODUCT(H6:H13,K6:K13)/SUMPRODUCT((H6:H13&gt;0)*(K6:K13)),3)</f>
        <v>4.8000000000000001E-2</v>
      </c>
      <c r="I16" s="100"/>
      <c r="J16" s="100"/>
      <c r="K16" s="101">
        <f>SUM(K6:K15)</f>
        <v>65110.920000000006</v>
      </c>
      <c r="L16" s="102">
        <f>ROUND(M16*10000/SUM(K6:K14),0)</f>
        <v>4215</v>
      </c>
      <c r="M16" s="102">
        <f>SUM(M6:M14)</f>
        <v>27447</v>
      </c>
      <c r="N16" s="103">
        <f>ROUND(SUMPRODUCT(M6:M14,N6:N14)/M16,3)</f>
        <v>0.92</v>
      </c>
      <c r="O16" s="102">
        <f>SUM(O6:O14)</f>
        <v>0</v>
      </c>
      <c r="P16" s="102">
        <f>SUM(P6:P14)</f>
        <v>0</v>
      </c>
      <c r="Q16" s="104">
        <f>ROUND(SUMPRODUCT(Q6:Q13,K6:K13)/SUMPRODUCT((Q6:Q13&gt;0)*(K6:K13)),2)</f>
        <v>0.23</v>
      </c>
      <c r="R16" s="1255">
        <f ca="1">SUM(R6:R13)</f>
        <v>17111.18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3"/>
      <c r="C17" s="1582"/>
      <c r="D17" s="2271"/>
      <c r="E17" s="2271"/>
      <c r="F17" s="1582"/>
      <c r="G17" s="1582"/>
      <c r="H17" s="1582"/>
      <c r="I17" s="1582"/>
      <c r="J17" s="1582"/>
      <c r="K17" s="169"/>
      <c r="L17" s="169"/>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8"/>
      <c r="C18" s="2275"/>
      <c r="D18" s="2276"/>
      <c r="E18" s="2275"/>
      <c r="F18" s="2275"/>
      <c r="G18" s="2275"/>
      <c r="H18" s="2275"/>
      <c r="I18" s="2275"/>
      <c r="J18" s="2275"/>
      <c r="K18" s="169"/>
      <c r="L18" s="169"/>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2018</v>
      </c>
      <c r="B19" s="112">
        <v>0</v>
      </c>
      <c r="C19" s="2275" t="s">
        <v>2019</v>
      </c>
      <c r="D19" s="2276"/>
      <c r="E19" s="2275"/>
      <c r="F19" s="2275"/>
      <c r="G19" s="2275"/>
      <c r="H19" s="2275"/>
      <c r="I19" s="2275"/>
      <c r="J19" s="2275"/>
      <c r="K19" s="169"/>
      <c r="L19" s="169"/>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2020</v>
      </c>
      <c r="B20" s="113">
        <v>2.5</v>
      </c>
      <c r="C20" s="2275" t="s">
        <v>2021</v>
      </c>
      <c r="D20" s="2276"/>
      <c r="E20" s="2275"/>
      <c r="F20" s="2275"/>
      <c r="G20" s="2275"/>
      <c r="H20" s="2275"/>
      <c r="I20" s="2275"/>
      <c r="J20" s="2275"/>
      <c r="K20" s="169"/>
      <c r="L20" s="169"/>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2022</v>
      </c>
      <c r="B21" s="113">
        <v>2.5</v>
      </c>
      <c r="C21" s="2275"/>
      <c r="D21" s="2276"/>
      <c r="E21" s="2275"/>
      <c r="F21" s="2275"/>
      <c r="G21" s="2275"/>
      <c r="H21" s="2275"/>
      <c r="I21" s="2275"/>
      <c r="J21" s="2275"/>
      <c r="K21" s="169"/>
      <c r="L21" s="169"/>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2023</v>
      </c>
      <c r="B22" s="114">
        <f>B19+B20</f>
        <v>2.5</v>
      </c>
      <c r="C22" s="2275"/>
      <c r="D22" s="2276"/>
      <c r="E22" s="2275"/>
      <c r="F22" s="2275"/>
      <c r="G22" s="2275"/>
      <c r="H22" s="2275"/>
      <c r="I22" s="2275"/>
      <c r="J22" s="2275"/>
      <c r="K22" s="169"/>
      <c r="L22" s="169"/>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2024</v>
      </c>
      <c r="B23" s="114">
        <f>B19+B21</f>
        <v>2.5</v>
      </c>
      <c r="C23" s="2275"/>
      <c r="D23" s="2276"/>
      <c r="E23" s="2275"/>
      <c r="F23" s="2275"/>
      <c r="G23" s="2275"/>
      <c r="H23" s="2275"/>
      <c r="I23" s="2275"/>
      <c r="J23" s="2275"/>
      <c r="K23" s="169"/>
      <c r="L23" s="169"/>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2025</v>
      </c>
      <c r="B24" s="115">
        <f>B20-B21</f>
        <v>0</v>
      </c>
      <c r="C24" s="2275"/>
      <c r="D24" s="2276"/>
      <c r="E24" s="2275"/>
      <c r="F24" s="2275"/>
      <c r="G24" s="2275"/>
      <c r="H24" s="2275"/>
      <c r="I24" s="2275"/>
      <c r="J24" s="2275"/>
      <c r="K24" s="169"/>
      <c r="L24" s="169"/>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9"/>
      <c r="L25" s="169"/>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2026</v>
      </c>
      <c r="B26" s="2318" t="s">
        <v>2027</v>
      </c>
      <c r="C26" s="2319" t="s">
        <v>2028</v>
      </c>
      <c r="D26" s="2276"/>
      <c r="E26" s="2275"/>
      <c r="F26" s="2275"/>
      <c r="G26" s="2275"/>
      <c r="H26" s="2275"/>
      <c r="I26" s="2275"/>
      <c r="J26" s="2275"/>
      <c r="K26" s="169"/>
      <c r="L26" s="169"/>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2029</v>
      </c>
      <c r="B27" s="116">
        <v>160</v>
      </c>
      <c r="C27" s="1765" t="s">
        <v>2030</v>
      </c>
      <c r="D27" s="2321"/>
      <c r="E27" s="1427"/>
      <c r="F27" s="1427"/>
      <c r="G27" s="2275"/>
      <c r="H27" s="2275"/>
      <c r="I27" s="2275"/>
      <c r="J27" s="2275"/>
      <c r="K27" s="169"/>
      <c r="L27" s="169"/>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2031</v>
      </c>
      <c r="B28" s="119">
        <v>200</v>
      </c>
      <c r="C28" s="2324"/>
      <c r="D28" s="2321"/>
      <c r="E28" s="1427"/>
      <c r="F28" s="1427"/>
      <c r="G28" s="2275"/>
      <c r="H28" s="2275"/>
      <c r="I28" s="2275"/>
      <c r="J28" s="2275"/>
      <c r="K28" s="169"/>
      <c r="L28" s="169"/>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2032</v>
      </c>
      <c r="B29" s="121">
        <f>ROUND(200*K16/10000,0)</f>
        <v>1302</v>
      </c>
      <c r="C29" s="1765" t="s">
        <v>2033</v>
      </c>
      <c r="D29" s="2321"/>
      <c r="E29" s="1427"/>
      <c r="F29" s="1427"/>
      <c r="G29" s="2275"/>
      <c r="H29" s="2275"/>
      <c r="I29" s="2275"/>
      <c r="J29" s="2275"/>
      <c r="K29" s="169"/>
      <c r="L29" s="169"/>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2034</v>
      </c>
      <c r="B30" s="725">
        <v>200</v>
      </c>
      <c r="C30" s="2324"/>
      <c r="D30" s="2321"/>
      <c r="E30" s="1427"/>
      <c r="F30" s="1427"/>
      <c r="G30" s="2275"/>
      <c r="H30" s="2275"/>
      <c r="I30" s="2275"/>
      <c r="J30" s="2275"/>
      <c r="K30" s="169"/>
      <c r="L30" s="169"/>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2035</v>
      </c>
      <c r="B31" s="120">
        <f>B30-B32</f>
        <v>200</v>
      </c>
      <c r="C31" s="1765"/>
      <c r="D31" s="2321"/>
      <c r="E31" s="1427"/>
      <c r="F31" s="1427"/>
      <c r="G31" s="2275"/>
      <c r="H31" s="2275"/>
      <c r="I31" s="2275"/>
      <c r="J31" s="2275"/>
      <c r="K31" s="169"/>
      <c r="L31" s="169"/>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2036</v>
      </c>
      <c r="B32" s="726">
        <v>0</v>
      </c>
      <c r="C32" s="2324"/>
      <c r="D32" s="2276"/>
      <c r="E32" s="2275"/>
      <c r="F32" s="2275"/>
      <c r="G32" s="2275"/>
      <c r="H32" s="2275"/>
      <c r="I32" s="2275"/>
      <c r="J32" s="2275"/>
      <c r="K32" s="169"/>
      <c r="L32" s="169"/>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2037</v>
      </c>
      <c r="B33" s="727">
        <v>0.05</v>
      </c>
      <c r="C33" s="1764" t="s">
        <v>2038</v>
      </c>
      <c r="D33" s="2276"/>
      <c r="E33" s="2275"/>
      <c r="F33" s="2275"/>
      <c r="G33" s="2275"/>
      <c r="H33" s="2275"/>
      <c r="I33" s="2275"/>
      <c r="J33" s="2275"/>
      <c r="K33" s="169"/>
      <c r="L33" s="169"/>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2039</v>
      </c>
      <c r="B34" s="122">
        <v>0</v>
      </c>
      <c r="C34" s="1764" t="s">
        <v>2040</v>
      </c>
      <c r="D34" s="2276" t="s">
        <v>2041</v>
      </c>
      <c r="E34" s="733"/>
      <c r="F34" s="2275"/>
      <c r="G34" s="2275"/>
      <c r="H34" s="2275"/>
      <c r="I34" s="2275"/>
      <c r="J34" s="2275"/>
      <c r="K34" s="169"/>
      <c r="L34" s="169"/>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2042</v>
      </c>
      <c r="B35" s="119">
        <v>200</v>
      </c>
      <c r="C35" s="1764" t="s">
        <v>2043</v>
      </c>
      <c r="D35" s="2321"/>
      <c r="E35" s="1427"/>
      <c r="F35" s="1427"/>
      <c r="G35" s="2275"/>
      <c r="H35" s="2275"/>
      <c r="I35" s="2275"/>
      <c r="J35" s="2275"/>
      <c r="K35" s="169"/>
      <c r="L35" s="169"/>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2044</v>
      </c>
      <c r="B36" s="123">
        <v>1.4999999999999999E-2</v>
      </c>
      <c r="C36" s="1764" t="s">
        <v>2045</v>
      </c>
      <c r="D36" s="2276"/>
      <c r="E36" s="2275"/>
      <c r="F36" s="2275"/>
      <c r="G36" s="2275"/>
      <c r="H36" s="2275"/>
      <c r="I36" s="2275"/>
      <c r="J36" s="2275"/>
      <c r="K36" s="169"/>
      <c r="L36" s="169"/>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2046</v>
      </c>
      <c r="B37" s="124">
        <v>0.01</v>
      </c>
      <c r="C37" s="1764" t="s">
        <v>2047</v>
      </c>
      <c r="D37" s="2276"/>
      <c r="E37" s="2275"/>
      <c r="F37" s="2275"/>
      <c r="G37" s="2275"/>
      <c r="H37" s="2275"/>
      <c r="I37" s="2275"/>
      <c r="J37" s="2275"/>
      <c r="K37" s="169"/>
      <c r="L37" s="169"/>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2048</v>
      </c>
      <c r="B38" s="122">
        <v>0.02</v>
      </c>
      <c r="C38" s="1764" t="s">
        <v>2047</v>
      </c>
      <c r="D38" s="2276"/>
      <c r="E38" s="2275"/>
      <c r="F38" s="2275"/>
      <c r="G38" s="2275"/>
      <c r="H38" s="2275"/>
      <c r="I38" s="2275"/>
      <c r="J38" s="2275"/>
      <c r="K38" s="169"/>
      <c r="L38" s="169"/>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2049</v>
      </c>
      <c r="B39" s="363">
        <f ca="1">存贷款利率!I1</f>
        <v>1.4999999999999999E-2</v>
      </c>
      <c r="C39" s="1764"/>
      <c r="D39" s="2276"/>
      <c r="E39" s="2275"/>
      <c r="F39" s="2275"/>
      <c r="G39" s="2275"/>
      <c r="H39" s="2275"/>
      <c r="I39" s="2275"/>
      <c r="J39" s="2275"/>
      <c r="K39" s="169"/>
      <c r="L39" s="169"/>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2050</v>
      </c>
      <c r="B40" s="1300">
        <f ca="1">存贷款利率!G1</f>
        <v>4.7500000000000001E-2</v>
      </c>
      <c r="C40" s="1764" t="s">
        <v>2051</v>
      </c>
      <c r="D40" s="1582"/>
      <c r="E40" s="2276"/>
      <c r="F40" s="2275"/>
      <c r="G40" s="2275"/>
      <c r="H40" s="2275"/>
      <c r="I40" s="2275"/>
      <c r="J40" s="2275"/>
      <c r="K40" s="169"/>
      <c r="L40" s="169"/>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2052</v>
      </c>
      <c r="B41" s="125">
        <f>B42+B43</f>
        <v>5.5000000000000007E-2</v>
      </c>
      <c r="C41" s="1765"/>
      <c r="D41" s="1582"/>
      <c r="E41" s="2276"/>
      <c r="F41" s="2275"/>
      <c r="G41" s="2275"/>
      <c r="H41" s="2275"/>
      <c r="I41" s="2275"/>
      <c r="J41" s="2275"/>
      <c r="K41" s="169"/>
      <c r="L41" s="169"/>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2053</v>
      </c>
      <c r="B42" s="126">
        <v>0.05</v>
      </c>
      <c r="C42" s="2329">
        <f>IF(B2&lt;DATE(2016,5,1),0,B42)</f>
        <v>0.05</v>
      </c>
      <c r="D42" s="2276"/>
      <c r="E42" s="2275"/>
      <c r="F42" s="2275"/>
      <c r="G42" s="2275"/>
      <c r="H42" s="2275"/>
      <c r="I42" s="2275"/>
      <c r="J42" s="2275"/>
      <c r="K42" s="169"/>
      <c r="L42" s="169"/>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2054</v>
      </c>
      <c r="B43" s="127">
        <f>B42*(B44+B45+B46)+B47</f>
        <v>5.000000000000001E-3</v>
      </c>
      <c r="C43" s="1765"/>
      <c r="D43" s="2276"/>
      <c r="E43" s="2275"/>
      <c r="F43" s="2275"/>
      <c r="G43" s="2275"/>
      <c r="H43" s="2275"/>
      <c r="I43" s="2275"/>
      <c r="J43" s="2275"/>
      <c r="K43" s="169"/>
      <c r="L43" s="169"/>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2055</v>
      </c>
      <c r="B44" s="128">
        <v>0.05</v>
      </c>
      <c r="C44" s="1764" t="s">
        <v>2056</v>
      </c>
      <c r="D44" s="2276"/>
      <c r="E44" s="2275"/>
      <c r="F44" s="2275"/>
      <c r="G44" s="2275"/>
      <c r="H44" s="2275"/>
      <c r="I44" s="2275"/>
      <c r="J44" s="2275"/>
      <c r="K44" s="169"/>
      <c r="L44" s="169"/>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2057</v>
      </c>
      <c r="B45" s="126">
        <v>0.03</v>
      </c>
      <c r="C45" s="1765" t="s">
        <v>2058</v>
      </c>
      <c r="D45" s="2276"/>
      <c r="E45" s="2275"/>
      <c r="F45" s="2275"/>
      <c r="G45" s="2275"/>
      <c r="H45" s="2275"/>
      <c r="I45" s="2275"/>
      <c r="J45" s="2275"/>
      <c r="K45" s="169"/>
      <c r="L45" s="169"/>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2059</v>
      </c>
      <c r="B46" s="126">
        <v>0.02</v>
      </c>
      <c r="C46" s="1765" t="s">
        <v>2060</v>
      </c>
      <c r="D46" s="2276"/>
      <c r="E46" s="2275"/>
      <c r="F46" s="2275"/>
      <c r="G46" s="2275"/>
      <c r="H46" s="2275"/>
      <c r="I46" s="2275"/>
      <c r="J46" s="2275"/>
      <c r="K46" s="169"/>
      <c r="L46" s="169"/>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2061</v>
      </c>
      <c r="B47" s="129">
        <v>0</v>
      </c>
      <c r="C47" s="1765" t="s">
        <v>2062</v>
      </c>
      <c r="D47" s="2276"/>
      <c r="E47" s="2275"/>
      <c r="F47" s="2275"/>
      <c r="G47" s="2275"/>
      <c r="H47" s="2275"/>
      <c r="I47" s="2275"/>
      <c r="J47" s="2275"/>
      <c r="K47" s="169"/>
      <c r="L47" s="169"/>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2063</v>
      </c>
      <c r="B48" s="130">
        <v>0.03</v>
      </c>
      <c r="C48" s="1772" t="s">
        <v>2064</v>
      </c>
      <c r="D48" s="2276"/>
      <c r="E48" s="2275"/>
      <c r="F48" s="2275"/>
      <c r="G48" s="2275"/>
      <c r="H48" s="2275"/>
      <c r="I48" s="2275"/>
      <c r="J48" s="2275"/>
      <c r="K48" s="169"/>
      <c r="L48" s="169"/>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2065</v>
      </c>
      <c r="B49" s="126">
        <v>5.0000000000000001E-4</v>
      </c>
      <c r="C49" s="1772" t="s">
        <v>2066</v>
      </c>
      <c r="D49" s="2276"/>
      <c r="E49" s="2275"/>
      <c r="F49" s="2275"/>
      <c r="G49" s="2275"/>
      <c r="H49" s="2275"/>
      <c r="I49" s="2275"/>
      <c r="J49" s="2275"/>
      <c r="K49" s="169"/>
      <c r="L49" s="169"/>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2067</v>
      </c>
      <c r="B50" s="131">
        <v>1.2E-2</v>
      </c>
      <c r="C50" s="1427"/>
      <c r="D50" s="2276"/>
      <c r="E50" s="2275"/>
      <c r="F50" s="2275"/>
      <c r="G50" s="2275"/>
      <c r="H50" s="2275"/>
      <c r="I50" s="2275"/>
      <c r="J50" s="2275"/>
      <c r="K50" s="169"/>
      <c r="L50" s="169"/>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2068</v>
      </c>
      <c r="B51" s="132">
        <v>0.12</v>
      </c>
      <c r="C51" s="1427"/>
      <c r="D51" s="2276"/>
      <c r="E51" s="2275"/>
      <c r="F51" s="2275"/>
      <c r="G51" s="2275"/>
      <c r="H51" s="2275"/>
      <c r="I51" s="2275"/>
      <c r="J51" s="2275"/>
      <c r="K51" s="169"/>
      <c r="L51" s="169"/>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2069</v>
      </c>
      <c r="B52" s="133">
        <f>SUMIF(A54:A63,B53,B54:B63)</f>
        <v>1.5</v>
      </c>
      <c r="C52" s="1427"/>
      <c r="D52" s="2276"/>
      <c r="E52" s="2275"/>
      <c r="F52" s="2275"/>
      <c r="G52" s="2275"/>
      <c r="H52" s="2275"/>
      <c r="I52" s="2275"/>
      <c r="J52" s="2275"/>
      <c r="K52" s="169"/>
      <c r="L52" s="169"/>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2070</v>
      </c>
      <c r="B53" s="2334" t="s">
        <v>56</v>
      </c>
      <c r="C53" s="1427" t="s">
        <v>2071</v>
      </c>
      <c r="D53" s="2335" t="s">
        <v>2072</v>
      </c>
      <c r="E53" s="2275"/>
      <c r="F53" s="2275"/>
      <c r="G53" s="2275"/>
      <c r="H53" s="2275"/>
      <c r="I53" s="2275"/>
      <c r="J53" s="2275"/>
      <c r="K53" s="169"/>
      <c r="L53" s="169"/>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2073</v>
      </c>
      <c r="B54" s="84"/>
      <c r="C54" s="1427">
        <v>30</v>
      </c>
      <c r="D54" s="2276"/>
      <c r="E54" s="2275"/>
      <c r="F54" s="2275"/>
      <c r="G54" s="2275"/>
      <c r="H54" s="2275"/>
      <c r="I54" s="2275"/>
      <c r="J54" s="2275"/>
      <c r="K54" s="169"/>
      <c r="L54" s="169"/>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2074</v>
      </c>
      <c r="B55" s="84"/>
      <c r="C55" s="1427">
        <v>24</v>
      </c>
      <c r="D55" s="2276"/>
      <c r="E55" s="2275"/>
      <c r="F55" s="2275"/>
      <c r="G55" s="2275"/>
      <c r="H55" s="2275"/>
      <c r="I55" s="2337"/>
      <c r="J55" s="2275"/>
      <c r="K55" s="169"/>
      <c r="L55" s="169"/>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2075</v>
      </c>
      <c r="B56" s="84"/>
      <c r="C56" s="1427">
        <v>18</v>
      </c>
      <c r="D56" s="2276"/>
      <c r="E56" s="2275"/>
      <c r="F56" s="2275"/>
      <c r="G56" s="2275"/>
      <c r="H56" s="2275"/>
      <c r="I56" s="2275"/>
      <c r="J56" s="2275"/>
      <c r="K56" s="169"/>
      <c r="L56" s="169"/>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2076</v>
      </c>
      <c r="B57" s="84"/>
      <c r="C57" s="1427">
        <v>12</v>
      </c>
      <c r="D57" s="2276"/>
      <c r="E57" s="2275"/>
      <c r="F57" s="2275"/>
      <c r="G57" s="2275"/>
      <c r="H57" s="2275"/>
      <c r="I57" s="2275"/>
      <c r="J57" s="2275"/>
      <c r="K57" s="169"/>
      <c r="L57" s="169"/>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2077</v>
      </c>
      <c r="B58" s="84"/>
      <c r="C58" s="1427">
        <v>3</v>
      </c>
      <c r="D58" s="2276"/>
      <c r="E58" s="2275"/>
      <c r="F58" s="2275"/>
      <c r="G58" s="2275"/>
      <c r="H58" s="2275"/>
      <c r="I58" s="2275"/>
      <c r="J58" s="2275"/>
      <c r="K58" s="169"/>
      <c r="L58" s="169"/>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2078</v>
      </c>
      <c r="B59" s="84">
        <v>1.5</v>
      </c>
      <c r="C59" s="1427">
        <v>1.5</v>
      </c>
      <c r="D59" s="2276"/>
      <c r="E59" s="2275"/>
      <c r="F59" s="2275"/>
      <c r="G59" s="2275"/>
      <c r="H59" s="2275"/>
      <c r="I59" s="2275"/>
      <c r="J59" s="2275"/>
      <c r="K59" s="169"/>
      <c r="L59" s="169"/>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2079</v>
      </c>
      <c r="B60" s="84"/>
      <c r="C60" s="2275"/>
      <c r="D60" s="2276"/>
      <c r="E60" s="2275"/>
      <c r="F60" s="2275"/>
      <c r="G60" s="2275"/>
      <c r="H60" s="2275"/>
      <c r="I60" s="2275"/>
      <c r="J60" s="2275"/>
      <c r="K60" s="169"/>
      <c r="L60" s="169"/>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2080</v>
      </c>
      <c r="B61" s="84"/>
      <c r="C61" s="2275"/>
      <c r="D61" s="2276"/>
      <c r="E61" s="2275"/>
      <c r="F61" s="2275"/>
      <c r="G61" s="2275"/>
      <c r="H61" s="2275"/>
      <c r="I61" s="2275"/>
      <c r="J61" s="2275"/>
      <c r="K61" s="169"/>
      <c r="L61" s="169"/>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2081</v>
      </c>
      <c r="B62" s="84"/>
      <c r="C62" s="2275"/>
      <c r="D62" s="2276"/>
      <c r="E62" s="2275"/>
      <c r="F62" s="2275"/>
      <c r="G62" s="2275"/>
      <c r="H62" s="2275"/>
      <c r="I62" s="2275"/>
      <c r="J62" s="2275"/>
      <c r="K62" s="169"/>
      <c r="L62" s="169"/>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2082</v>
      </c>
      <c r="B63" s="134"/>
      <c r="C63" s="2275"/>
      <c r="D63" s="2276"/>
      <c r="E63" s="2275"/>
      <c r="F63" s="2275"/>
      <c r="G63" s="2275"/>
      <c r="H63" s="2275"/>
      <c r="I63" s="2275"/>
      <c r="J63" s="2275"/>
      <c r="K63" s="169"/>
      <c r="L63" s="169"/>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39"/>
      <c r="D64" s="2340"/>
      <c r="K64" s="799"/>
      <c r="L64" s="799"/>
    </row>
    <row r="65" spans="1:12" s="964" customFormat="1">
      <c r="A65" s="2339"/>
      <c r="D65" s="2340"/>
      <c r="K65" s="799"/>
      <c r="L65" s="799"/>
    </row>
    <row r="66" spans="1:12" s="964" customFormat="1">
      <c r="A66" s="2339"/>
      <c r="D66" s="2340"/>
      <c r="K66" s="799"/>
      <c r="L66" s="799"/>
    </row>
    <row r="67" spans="1:12" s="964" customFormat="1">
      <c r="A67" s="2339"/>
      <c r="D67" s="2340"/>
      <c r="K67" s="799"/>
      <c r="L67" s="799"/>
    </row>
    <row r="68" spans="1:12" s="964" customFormat="1">
      <c r="A68" s="2339"/>
      <c r="D68" s="2340"/>
      <c r="K68" s="799"/>
      <c r="L68" s="799"/>
    </row>
    <row r="69" spans="1:12" s="964" customFormat="1">
      <c r="A69" s="2339"/>
      <c r="D69" s="2340"/>
      <c r="K69" s="799"/>
      <c r="L69" s="799"/>
    </row>
    <row r="70" spans="1:12" s="964" customFormat="1">
      <c r="A70" s="2339"/>
      <c r="D70" s="2340"/>
      <c r="K70" s="799"/>
      <c r="L70" s="799"/>
    </row>
    <row r="71" spans="1:12" s="964" customFormat="1">
      <c r="A71" s="2339"/>
      <c r="D71" s="2340"/>
      <c r="K71" s="799"/>
      <c r="L71" s="799"/>
    </row>
    <row r="72" spans="1:12" s="964" customFormat="1">
      <c r="A72" s="2339"/>
      <c r="D72" s="2340"/>
      <c r="K72" s="799"/>
      <c r="L72" s="799"/>
    </row>
    <row r="73" spans="1:12" s="964" customFormat="1">
      <c r="A73" s="2339"/>
      <c r="D73" s="2340"/>
      <c r="K73" s="799"/>
      <c r="L73" s="799"/>
    </row>
    <row r="74" spans="1:12" s="964" customFormat="1">
      <c r="A74" s="2339"/>
      <c r="D74" s="2340"/>
      <c r="K74" s="799"/>
      <c r="L74" s="799"/>
    </row>
    <row r="75" spans="1:12" s="964" customFormat="1">
      <c r="A75" s="2339"/>
      <c r="D75" s="2340"/>
      <c r="K75" s="799"/>
      <c r="L75" s="799"/>
    </row>
    <row r="76" spans="1:12" s="964" customFormat="1">
      <c r="A76" s="2339"/>
      <c r="D76" s="2340"/>
      <c r="K76" s="799"/>
      <c r="L76" s="799"/>
    </row>
    <row r="77" spans="1:12" s="964" customFormat="1">
      <c r="A77" s="2339"/>
      <c r="D77" s="2340"/>
      <c r="K77" s="799"/>
      <c r="L77" s="799"/>
    </row>
    <row r="78" spans="1:12" s="964" customFormat="1">
      <c r="A78" s="2339"/>
      <c r="D78" s="2340"/>
      <c r="K78" s="799"/>
      <c r="L78" s="799"/>
    </row>
    <row r="79" spans="1:12" s="964" customFormat="1">
      <c r="A79" s="2339"/>
      <c r="D79" s="2340"/>
      <c r="K79" s="799"/>
      <c r="L79" s="799"/>
    </row>
    <row r="80" spans="1:12" s="964" customFormat="1">
      <c r="A80" s="2339"/>
      <c r="D80" s="2340"/>
      <c r="K80" s="799"/>
      <c r="L80" s="799"/>
    </row>
    <row r="81" spans="1:12" s="964" customFormat="1">
      <c r="A81" s="2339"/>
      <c r="D81" s="2340"/>
      <c r="K81" s="799"/>
      <c r="L81" s="799"/>
    </row>
    <row r="82" spans="1:12" s="964" customFormat="1">
      <c r="A82" s="2339"/>
      <c r="D82" s="2340"/>
      <c r="K82" s="799"/>
      <c r="L82" s="799"/>
    </row>
    <row r="83" spans="1:12" s="964" customFormat="1">
      <c r="A83" s="2339"/>
      <c r="D83" s="2340"/>
      <c r="K83" s="799"/>
      <c r="L83" s="799"/>
    </row>
    <row r="84" spans="1:12" s="964" customFormat="1">
      <c r="A84" s="2339"/>
      <c r="D84" s="2340"/>
      <c r="K84" s="799"/>
      <c r="L84" s="799"/>
    </row>
    <row r="85" spans="1:12" s="964" customFormat="1">
      <c r="A85" s="2339"/>
      <c r="D85" s="2340"/>
      <c r="K85" s="799"/>
      <c r="L85" s="799"/>
    </row>
    <row r="86" spans="1:12" s="964" customFormat="1">
      <c r="A86" s="2339"/>
      <c r="D86" s="2340"/>
      <c r="K86" s="799"/>
      <c r="L86" s="799"/>
    </row>
    <row r="87" spans="1:12" s="964" customFormat="1">
      <c r="A87" s="2339"/>
      <c r="D87" s="2340"/>
      <c r="K87" s="799"/>
      <c r="L87" s="799"/>
    </row>
    <row r="88" spans="1:12" s="964" customFormat="1">
      <c r="A88" s="2339"/>
      <c r="D88" s="2340"/>
      <c r="K88" s="799"/>
      <c r="L88" s="799"/>
    </row>
    <row r="89" spans="1:12" s="964" customFormat="1">
      <c r="A89" s="2339"/>
      <c r="D89" s="2340"/>
      <c r="K89" s="799"/>
      <c r="L89" s="799"/>
    </row>
    <row r="90" spans="1:12" s="964" customFormat="1">
      <c r="A90" s="2339"/>
      <c r="D90" s="2340"/>
      <c r="K90" s="799"/>
      <c r="L90" s="799"/>
    </row>
    <row r="91" spans="1:12" s="964" customFormat="1">
      <c r="A91" s="2339"/>
      <c r="D91" s="2340"/>
      <c r="K91" s="799"/>
      <c r="L91" s="799"/>
    </row>
    <row r="92" spans="1:12" s="964" customFormat="1">
      <c r="A92" s="2339"/>
      <c r="D92" s="2340"/>
      <c r="K92" s="799"/>
      <c r="L92" s="799"/>
    </row>
    <row r="93" spans="1:12" s="964" customFormat="1">
      <c r="A93" s="2339"/>
      <c r="D93" s="2340"/>
      <c r="K93" s="799"/>
      <c r="L93" s="799"/>
    </row>
    <row r="94" spans="1:12" s="964" customFormat="1">
      <c r="A94" s="2339"/>
      <c r="D94" s="2340"/>
      <c r="K94" s="799"/>
      <c r="L94" s="799"/>
    </row>
    <row r="95" spans="1:12" s="964" customFormat="1">
      <c r="A95" s="2339"/>
      <c r="D95" s="2340"/>
      <c r="K95" s="799"/>
      <c r="L95" s="799"/>
    </row>
    <row r="96" spans="1:12" s="964" customFormat="1">
      <c r="A96" s="2339"/>
      <c r="D96" s="2340"/>
      <c r="K96" s="799"/>
      <c r="L96" s="799"/>
    </row>
    <row r="97" spans="1:12" s="964" customFormat="1">
      <c r="A97" s="2339"/>
      <c r="D97" s="2340"/>
      <c r="K97" s="799"/>
      <c r="L97" s="799"/>
    </row>
    <row r="98" spans="1:12" s="964" customFormat="1">
      <c r="A98" s="2339"/>
      <c r="D98" s="2340"/>
      <c r="K98" s="799"/>
      <c r="L98" s="799"/>
    </row>
    <row r="99" spans="1:12" s="964" customFormat="1">
      <c r="A99" s="2339"/>
      <c r="D99" s="2340"/>
      <c r="K99" s="799"/>
      <c r="L99" s="799"/>
    </row>
    <row r="100" spans="1:12" s="964" customFormat="1">
      <c r="A100" s="2339"/>
      <c r="D100" s="2340"/>
      <c r="K100" s="799"/>
      <c r="L100" s="799"/>
    </row>
    <row r="101" spans="1:12" s="964" customFormat="1">
      <c r="A101" s="2339"/>
      <c r="D101" s="2340"/>
      <c r="K101" s="799"/>
      <c r="L101" s="799"/>
    </row>
    <row r="102" spans="1:12" s="964" customFormat="1">
      <c r="A102" s="2339"/>
      <c r="D102" s="2340"/>
      <c r="K102" s="799"/>
      <c r="L102" s="799"/>
    </row>
    <row r="103" spans="1:12" s="964" customFormat="1">
      <c r="A103" s="2339"/>
      <c r="D103" s="2340"/>
      <c r="K103" s="799"/>
      <c r="L103" s="799"/>
    </row>
    <row r="104" spans="1:12" s="964" customFormat="1">
      <c r="A104" s="2339"/>
      <c r="D104" s="2340"/>
      <c r="K104" s="799"/>
      <c r="L104" s="799"/>
    </row>
    <row r="105" spans="1:12" s="964" customFormat="1">
      <c r="A105" s="2339"/>
      <c r="D105" s="2340"/>
      <c r="K105" s="799"/>
      <c r="L105" s="799"/>
    </row>
    <row r="106" spans="1:12" s="964" customFormat="1">
      <c r="A106" s="2339"/>
      <c r="D106" s="2340"/>
      <c r="K106" s="799"/>
      <c r="L106" s="799"/>
    </row>
    <row r="107" spans="1:12" s="964" customFormat="1">
      <c r="A107" s="2339"/>
      <c r="D107" s="2340"/>
      <c r="K107" s="799"/>
      <c r="L107" s="799"/>
    </row>
    <row r="108" spans="1:12" s="964" customFormat="1">
      <c r="A108" s="2339"/>
      <c r="D108" s="2340"/>
      <c r="K108" s="799"/>
      <c r="L108" s="799"/>
    </row>
    <row r="109" spans="1:12" s="964" customFormat="1">
      <c r="A109" s="2339"/>
      <c r="D109" s="2340"/>
      <c r="K109" s="799"/>
      <c r="L109" s="799"/>
    </row>
    <row r="110" spans="1:12" s="964" customFormat="1">
      <c r="A110" s="2339"/>
      <c r="D110" s="2340"/>
      <c r="K110" s="799"/>
      <c r="L110" s="799"/>
    </row>
    <row r="111" spans="1:12" s="964" customFormat="1">
      <c r="A111" s="2339"/>
      <c r="D111" s="2340"/>
      <c r="K111" s="799"/>
      <c r="L111" s="799"/>
    </row>
    <row r="112" spans="1:12" s="964" customFormat="1">
      <c r="A112" s="2339"/>
      <c r="D112" s="2340"/>
      <c r="K112" s="799"/>
      <c r="L112" s="799"/>
    </row>
    <row r="113" spans="1:12" s="964" customFormat="1">
      <c r="A113" s="2339"/>
      <c r="D113" s="2340"/>
      <c r="K113" s="799"/>
      <c r="L113" s="799"/>
    </row>
    <row r="114" spans="1:12" s="964" customFormat="1">
      <c r="A114" s="2339"/>
      <c r="D114" s="2340"/>
      <c r="K114" s="799"/>
      <c r="L114" s="799"/>
    </row>
    <row r="115" spans="1:12" s="964" customFormat="1">
      <c r="A115" s="2339"/>
      <c r="D115" s="2340"/>
      <c r="K115" s="799"/>
      <c r="L115" s="799"/>
    </row>
    <row r="116" spans="1:12" s="964" customFormat="1">
      <c r="A116" s="2339"/>
      <c r="D116" s="2340"/>
      <c r="K116" s="799"/>
      <c r="L116" s="799"/>
    </row>
    <row r="117" spans="1:12" s="964" customFormat="1">
      <c r="A117" s="2339"/>
      <c r="D117" s="2340"/>
      <c r="K117" s="799"/>
      <c r="L117" s="799"/>
    </row>
    <row r="118" spans="1:12" s="964" customFormat="1">
      <c r="A118" s="2339"/>
      <c r="D118" s="2340"/>
      <c r="K118" s="799"/>
      <c r="L118" s="799"/>
    </row>
    <row r="119" spans="1:12" s="964" customFormat="1">
      <c r="A119" s="2339"/>
      <c r="D119" s="2340"/>
      <c r="K119" s="799"/>
      <c r="L119" s="799"/>
    </row>
    <row r="120" spans="1:12" s="964" customFormat="1">
      <c r="A120" s="2339"/>
      <c r="D120" s="2340"/>
      <c r="K120" s="799"/>
      <c r="L120" s="799"/>
    </row>
    <row r="121" spans="1:12" s="964" customFormat="1">
      <c r="A121" s="2339"/>
      <c r="D121" s="2340"/>
      <c r="K121" s="799"/>
      <c r="L121" s="799"/>
    </row>
    <row r="122" spans="1:12" s="964" customFormat="1">
      <c r="A122" s="2339"/>
      <c r="D122" s="2340"/>
      <c r="K122" s="799"/>
      <c r="L122" s="799"/>
    </row>
    <row r="123" spans="1:12" s="964" customFormat="1">
      <c r="A123" s="2339"/>
      <c r="D123" s="2340"/>
      <c r="K123" s="799"/>
      <c r="L123" s="799"/>
    </row>
    <row r="124" spans="1:12" s="964" customFormat="1">
      <c r="A124" s="2339"/>
      <c r="D124" s="2340"/>
      <c r="K124" s="799"/>
      <c r="L124" s="799"/>
    </row>
    <row r="125" spans="1:12" s="964" customFormat="1">
      <c r="A125" s="2339"/>
      <c r="D125" s="2340"/>
      <c r="K125" s="799"/>
      <c r="L125" s="799"/>
    </row>
    <row r="126" spans="1:12" s="964" customFormat="1">
      <c r="A126" s="2339"/>
      <c r="D126" s="2340"/>
      <c r="K126" s="799"/>
      <c r="L126" s="799"/>
    </row>
    <row r="127" spans="1:12" s="964" customFormat="1">
      <c r="A127" s="2339"/>
      <c r="D127" s="2340"/>
      <c r="K127" s="799"/>
      <c r="L127" s="799"/>
    </row>
    <row r="128" spans="1:12" s="964" customFormat="1">
      <c r="A128" s="2339"/>
      <c r="D128" s="2340"/>
      <c r="K128" s="799"/>
      <c r="L128" s="799"/>
    </row>
    <row r="129" spans="1:12" s="964" customFormat="1">
      <c r="A129" s="2339"/>
      <c r="D129" s="2340"/>
      <c r="K129" s="799"/>
      <c r="L129" s="799"/>
    </row>
    <row r="130" spans="1:12" s="964" customFormat="1">
      <c r="A130" s="2339"/>
      <c r="D130" s="2340"/>
      <c r="K130" s="799"/>
      <c r="L130" s="799"/>
    </row>
    <row r="131" spans="1:12" s="964" customFormat="1">
      <c r="A131" s="2339"/>
      <c r="D131" s="2340"/>
      <c r="K131" s="799"/>
      <c r="L131" s="799"/>
    </row>
    <row r="132" spans="1:12" s="964" customFormat="1">
      <c r="A132" s="2339"/>
      <c r="D132" s="2340"/>
      <c r="K132" s="799"/>
      <c r="L132" s="799"/>
    </row>
    <row r="133" spans="1:12" s="964" customFormat="1">
      <c r="A133" s="2339"/>
      <c r="D133" s="2340"/>
      <c r="K133" s="799"/>
      <c r="L133" s="799"/>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18"/>
  <sheetViews>
    <sheetView topLeftCell="A4" workbookViewId="0">
      <selection activeCell="J19" sqref="J19"/>
    </sheetView>
  </sheetViews>
  <sheetFormatPr defaultRowHeight="13.5"/>
  <sheetData>
    <row r="6" spans="3:10">
      <c r="D6" t="s">
        <v>3126</v>
      </c>
      <c r="E6" t="s">
        <v>3127</v>
      </c>
      <c r="J6" s="2954" t="s">
        <v>3138</v>
      </c>
    </row>
    <row r="7" spans="3:10">
      <c r="C7" t="s">
        <v>3128</v>
      </c>
      <c r="D7">
        <v>10171.01</v>
      </c>
      <c r="E7">
        <f>'数据-基础表'!I13-租金!D7</f>
        <v>1639.9099999999999</v>
      </c>
      <c r="F7" t="s">
        <v>3129</v>
      </c>
      <c r="G7">
        <v>5</v>
      </c>
      <c r="J7" s="2955">
        <f>ROUND(SUMPRODUCT(E7:E10*G7:G10/E12),1)</f>
        <v>3.7</v>
      </c>
    </row>
    <row r="8" spans="3:10">
      <c r="C8" t="s">
        <v>3130</v>
      </c>
      <c r="D8">
        <v>3896.8299999999995</v>
      </c>
      <c r="E8">
        <f>'数据-基础表'!I14-租金!D8</f>
        <v>8148.8099999999995</v>
      </c>
      <c r="F8" t="s">
        <v>3123</v>
      </c>
      <c r="G8">
        <f>ROUND($G$7*H15,1)</f>
        <v>3.5</v>
      </c>
    </row>
    <row r="9" spans="3:10">
      <c r="C9" t="s">
        <v>3131</v>
      </c>
      <c r="D9">
        <v>11946.47</v>
      </c>
      <c r="E9">
        <f>'数据-基础表'!I15-租金!D9</f>
        <v>73.400000000001455</v>
      </c>
      <c r="F9" t="s">
        <v>3124</v>
      </c>
      <c r="G9">
        <f t="shared" ref="G9:G11" si="0">ROUND($G$7*H16,1)</f>
        <v>3</v>
      </c>
    </row>
    <row r="10" spans="3:10">
      <c r="C10" t="s">
        <v>3132</v>
      </c>
      <c r="D10">
        <v>2751.25</v>
      </c>
      <c r="E10">
        <f>'数据-基础表'!I16-租金!D10</f>
        <v>0</v>
      </c>
      <c r="F10" t="s">
        <v>3125</v>
      </c>
      <c r="G10">
        <f t="shared" si="0"/>
        <v>2.5</v>
      </c>
    </row>
    <row r="11" spans="3:10">
      <c r="C11" t="s">
        <v>3133</v>
      </c>
      <c r="D11">
        <v>13178.725</v>
      </c>
      <c r="E11">
        <f>'数据-基础表'!K5-租金!D11</f>
        <v>942.50500000000102</v>
      </c>
      <c r="F11" t="s">
        <v>3134</v>
      </c>
      <c r="G11">
        <f t="shared" si="0"/>
        <v>2</v>
      </c>
    </row>
    <row r="12" spans="3:10">
      <c r="C12" s="2954" t="s">
        <v>3137</v>
      </c>
      <c r="D12">
        <f>SUM(D7:D10)</f>
        <v>28765.559999999998</v>
      </c>
      <c r="E12">
        <f>SUM(E7:E10)</f>
        <v>9862.1200000000008</v>
      </c>
    </row>
    <row r="13" spans="3:10">
      <c r="F13" t="s">
        <v>3135</v>
      </c>
      <c r="G13" t="s">
        <v>3136</v>
      </c>
    </row>
    <row r="14" spans="3:10">
      <c r="F14">
        <v>1</v>
      </c>
      <c r="G14">
        <v>1.8629</v>
      </c>
      <c r="H14">
        <v>1</v>
      </c>
    </row>
    <row r="15" spans="3:10">
      <c r="F15">
        <v>2</v>
      </c>
      <c r="G15">
        <v>1.3371999999999999</v>
      </c>
      <c r="H15">
        <v>0.7</v>
      </c>
    </row>
    <row r="16" spans="3:10">
      <c r="F16">
        <v>3</v>
      </c>
      <c r="G16">
        <v>1.0788</v>
      </c>
      <c r="H16">
        <v>0.6</v>
      </c>
    </row>
    <row r="17" spans="6:8">
      <c r="F17">
        <v>4</v>
      </c>
      <c r="G17">
        <v>0.86560000000000004</v>
      </c>
      <c r="H17">
        <v>0.5</v>
      </c>
    </row>
    <row r="18" spans="6:8">
      <c r="F18">
        <v>-1</v>
      </c>
      <c r="G18">
        <v>0.7</v>
      </c>
      <c r="H18">
        <v>0.4</v>
      </c>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2419"/>
    <col min="3" max="4" width="12.625" style="2419" customWidth="1"/>
    <col min="5" max="9" width="12.625" style="2419"/>
    <col min="10" max="11" width="12.625" style="796" customWidth="1"/>
    <col min="12" max="12" width="12.625" style="796"/>
    <col min="13" max="13" width="14.125" style="796" bestFit="1" customWidth="1"/>
    <col min="14" max="26" width="12.625" style="796"/>
    <col min="27" max="35" width="12.625" style="2418"/>
    <col min="36" max="16384" width="12.625" style="2419"/>
  </cols>
  <sheetData>
    <row r="1" spans="1:12" ht="21.75" customHeight="1" thickBot="1">
      <c r="A1" s="2224" t="s">
        <v>2116</v>
      </c>
      <c r="B1" s="2413"/>
      <c r="C1" s="2414"/>
      <c r="D1" s="2413"/>
      <c r="E1" s="2413"/>
      <c r="F1" s="2415" t="s">
        <v>2117</v>
      </c>
      <c r="G1" s="2071" t="s">
        <v>3056</v>
      </c>
      <c r="H1" s="2416" t="str">
        <f>IF(G1="现房","——","估价对象范围")</f>
        <v>——</v>
      </c>
      <c r="I1" s="2417"/>
    </row>
    <row r="2" spans="1:12" ht="21.75" customHeight="1" thickBot="1">
      <c r="A2" s="3080" t="str">
        <f>项目基本情况!S2</f>
        <v>北京市昌平区黄平路19号院3号楼商业及地下车库用房房地产</v>
      </c>
      <c r="B2" s="3081"/>
      <c r="C2" s="3081"/>
      <c r="D2" s="3081"/>
      <c r="E2" s="3081"/>
      <c r="F2" s="3081"/>
      <c r="G2" s="3081"/>
      <c r="H2" s="3081"/>
      <c r="I2" s="3082"/>
    </row>
    <row r="3" spans="1:12" ht="12.75">
      <c r="A3" s="3084" t="s">
        <v>2118</v>
      </c>
      <c r="B3" s="3085"/>
      <c r="C3" s="3085"/>
      <c r="D3" s="3085"/>
      <c r="E3" s="3085"/>
      <c r="F3" s="3085"/>
      <c r="G3" s="3085"/>
      <c r="H3" s="3085"/>
      <c r="I3" s="3085"/>
    </row>
    <row r="4" spans="1:12" ht="14.25">
      <c r="A4" s="2420" t="s">
        <v>2119</v>
      </c>
      <c r="B4" s="2421" t="s">
        <v>2120</v>
      </c>
      <c r="C4" s="2422" t="s">
        <v>3114</v>
      </c>
      <c r="D4" s="2422" t="s">
        <v>3115</v>
      </c>
      <c r="E4" s="3077" t="s">
        <v>2121</v>
      </c>
      <c r="F4" s="3078"/>
      <c r="G4" s="3078"/>
      <c r="H4" s="3078"/>
      <c r="I4" s="308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2122</v>
      </c>
      <c r="B5" s="3000">
        <v>25</v>
      </c>
      <c r="C5" s="3063"/>
      <c r="D5" s="3083"/>
      <c r="E5" s="140" t="s">
        <v>2123</v>
      </c>
      <c r="F5" s="2424"/>
      <c r="G5" s="2424"/>
      <c r="H5" s="2424"/>
      <c r="I5" s="1832"/>
    </row>
    <row r="6" spans="1:12" ht="12.75">
      <c r="A6" s="3060"/>
      <c r="B6" s="3000"/>
      <c r="C6" s="3064"/>
      <c r="D6" s="3083"/>
      <c r="E6" s="140" t="s">
        <v>2124</v>
      </c>
      <c r="F6" s="2424"/>
      <c r="G6" s="2424"/>
      <c r="H6" s="2424"/>
      <c r="I6" s="1832"/>
    </row>
    <row r="7" spans="1:12" ht="12.75">
      <c r="A7" s="3060"/>
      <c r="B7" s="3000"/>
      <c r="C7" s="3065"/>
      <c r="D7" s="3083"/>
      <c r="E7" s="140" t="s">
        <v>2125</v>
      </c>
      <c r="F7" s="2424"/>
      <c r="G7" s="2424"/>
      <c r="H7" s="2424"/>
      <c r="I7" s="1832"/>
    </row>
    <row r="8" spans="1:12" ht="12.75">
      <c r="A8" s="3060" t="s">
        <v>2126</v>
      </c>
      <c r="B8" s="3000">
        <v>15</v>
      </c>
      <c r="C8" s="3063"/>
      <c r="D8" s="3083"/>
      <c r="E8" s="140" t="s">
        <v>2127</v>
      </c>
      <c r="F8" s="2424"/>
      <c r="G8" s="2424"/>
      <c r="H8" s="2424"/>
      <c r="I8" s="1832"/>
    </row>
    <row r="9" spans="1:12" ht="12.75">
      <c r="A9" s="3060"/>
      <c r="B9" s="3000"/>
      <c r="C9" s="3065"/>
      <c r="D9" s="3083"/>
      <c r="E9" s="140" t="s">
        <v>2128</v>
      </c>
      <c r="F9" s="2424"/>
      <c r="G9" s="2424"/>
      <c r="H9" s="2424"/>
      <c r="I9" s="1832"/>
    </row>
    <row r="10" spans="1:12" ht="12.75">
      <c r="A10" s="3060" t="s">
        <v>2129</v>
      </c>
      <c r="B10" s="3000">
        <v>15</v>
      </c>
      <c r="C10" s="3063"/>
      <c r="D10" s="3083"/>
      <c r="E10" s="140" t="s">
        <v>2130</v>
      </c>
      <c r="F10" s="2424"/>
      <c r="G10" s="2424"/>
      <c r="H10" s="2424"/>
      <c r="I10" s="1832"/>
    </row>
    <row r="11" spans="1:12" ht="12.75">
      <c r="A11" s="3060"/>
      <c r="B11" s="3000"/>
      <c r="C11" s="3065"/>
      <c r="D11" s="3083"/>
      <c r="E11" s="140" t="s">
        <v>2131</v>
      </c>
      <c r="F11" s="2424"/>
      <c r="G11" s="2424"/>
      <c r="H11" s="2424"/>
      <c r="I11" s="1832"/>
    </row>
    <row r="12" spans="1:12" ht="12.75">
      <c r="A12" s="3060" t="s">
        <v>2132</v>
      </c>
      <c r="B12" s="3000">
        <v>15</v>
      </c>
      <c r="C12" s="3063"/>
      <c r="D12" s="3083"/>
      <c r="E12" s="140" t="s">
        <v>2133</v>
      </c>
      <c r="F12" s="2424"/>
      <c r="G12" s="2424"/>
      <c r="H12" s="2424"/>
      <c r="I12" s="1832"/>
    </row>
    <row r="13" spans="1:12" ht="12.75">
      <c r="A13" s="3060"/>
      <c r="B13" s="3000"/>
      <c r="C13" s="3065"/>
      <c r="D13" s="3083"/>
      <c r="E13" s="140" t="s">
        <v>2134</v>
      </c>
      <c r="F13" s="2424"/>
      <c r="G13" s="2424"/>
      <c r="H13" s="2424"/>
      <c r="I13" s="1832"/>
    </row>
    <row r="14" spans="1:12" ht="12.75">
      <c r="A14" s="3060" t="s">
        <v>2135</v>
      </c>
      <c r="B14" s="3000">
        <v>30</v>
      </c>
      <c r="C14" s="3063">
        <v>8</v>
      </c>
      <c r="D14" s="3083">
        <v>2</v>
      </c>
      <c r="E14" s="140" t="s">
        <v>2136</v>
      </c>
      <c r="F14" s="2424"/>
      <c r="G14" s="2424"/>
      <c r="H14" s="2424"/>
      <c r="I14" s="1832"/>
    </row>
    <row r="15" spans="1:12" ht="12.75">
      <c r="A15" s="3060"/>
      <c r="B15" s="3000"/>
      <c r="C15" s="3064"/>
      <c r="D15" s="3083"/>
      <c r="E15" s="140" t="s">
        <v>2137</v>
      </c>
      <c r="F15" s="2424"/>
      <c r="G15" s="2424"/>
      <c r="H15" s="2424"/>
      <c r="I15" s="1832"/>
    </row>
    <row r="16" spans="1:12" ht="12.75">
      <c r="A16" s="3060"/>
      <c r="B16" s="3000"/>
      <c r="C16" s="3065"/>
      <c r="D16" s="3083"/>
      <c r="E16" s="140" t="s">
        <v>2138</v>
      </c>
      <c r="F16" s="2424"/>
      <c r="G16" s="2424"/>
      <c r="H16" s="2424"/>
      <c r="I16" s="1832"/>
    </row>
    <row r="17" spans="1:35" ht="15">
      <c r="A17" s="2425" t="s">
        <v>2139</v>
      </c>
      <c r="B17" s="64"/>
      <c r="C17" s="141">
        <f>SUM(C5:C16)</f>
        <v>8</v>
      </c>
      <c r="D17" s="141">
        <f>SUM(D5:D16)</f>
        <v>2</v>
      </c>
      <c r="E17" s="138"/>
      <c r="F17" s="138"/>
      <c r="G17" s="138"/>
      <c r="H17" s="138"/>
      <c r="I17" s="138"/>
      <c r="K17" s="2423"/>
      <c r="L17" s="2426" t="s">
        <v>2140</v>
      </c>
      <c r="M17" s="2426" t="s">
        <v>2141</v>
      </c>
    </row>
    <row r="18" spans="1:35" ht="15.75" thickBot="1">
      <c r="A18" s="2427" t="s">
        <v>2142</v>
      </c>
      <c r="B18" s="2428"/>
      <c r="C18" s="142">
        <f>ROUND(C17/SUM(C17:D17),2)</f>
        <v>0.8</v>
      </c>
      <c r="D18" s="142">
        <f>1-C18</f>
        <v>0.19999999999999996</v>
      </c>
      <c r="E18" s="138"/>
      <c r="F18" s="138"/>
      <c r="G18" s="138"/>
      <c r="H18" s="138"/>
      <c r="I18" s="138"/>
      <c r="K18" s="2423" t="s">
        <v>2143</v>
      </c>
      <c r="L18" s="2423">
        <f>IF(C1="",'数据-汇总表'!E3,SUMIF(项目类型,C1,'数据-汇总表'!E17:E26)+SUMIF(项目类型,C1,'数据-汇总表'!I17:I26))</f>
        <v>65110.920000000006</v>
      </c>
      <c r="M18" s="2423">
        <f>IF(C1="",'数据-汇总表'!E3,SUMIF(项目类型,C1,'数据-汇总表'!E17:E26))</f>
        <v>65110.920000000006</v>
      </c>
    </row>
    <row r="19" spans="1:35" ht="15">
      <c r="A19" s="2429" t="s">
        <v>2144</v>
      </c>
      <c r="B19" s="2430" t="s">
        <v>2145</v>
      </c>
      <c r="C19" s="143">
        <f ca="1">SUMIF(INDIRECT("'"&amp;C4&amp;"'"&amp;"!A:A"),结果表!B19,INDIRECT("'"&amp;C4&amp;"'"&amp;"!B:B"))</f>
        <v>153616</v>
      </c>
      <c r="D19" s="144">
        <f ca="1">SUMIF(INDIRECT("'"&amp;D4&amp;"'"&amp;"!A:A"),结果表!B19,INDIRECT("'"&amp;D4&amp;"'"&amp;"!B:B"))</f>
        <v>95966</v>
      </c>
      <c r="E19" s="2429" t="s">
        <v>2146</v>
      </c>
      <c r="F19" s="2430" t="s">
        <v>2145</v>
      </c>
      <c r="G19" s="145">
        <f ca="1">ROUND(C19*$C$18+D19*$D$18,0)</f>
        <v>142086</v>
      </c>
      <c r="H19" s="2431" t="s">
        <v>2147</v>
      </c>
      <c r="I19" s="138"/>
      <c r="K19" s="2423" t="s">
        <v>2148</v>
      </c>
      <c r="L19" s="2423">
        <f>IF(C1="",'数据-汇总表'!D3,SUMIF(项目类型,C1,'数据-汇总表'!D17:D26)+SUMIF(项目类型,C1,'数据-汇总表'!H17:H27))</f>
        <v>17111.18</v>
      </c>
      <c r="M19" s="2423">
        <f>IF(C1="",'数据-汇总表'!D3,SUMIF(项目类型,C1,'数据-汇总表'!D17:D26))</f>
        <v>17111.18</v>
      </c>
    </row>
    <row r="20" spans="1:35" ht="15">
      <c r="A20" s="2432"/>
      <c r="B20" s="1247" t="s">
        <v>2149</v>
      </c>
      <c r="C20" s="146">
        <f ca="1">SUMIF(INDIRECT("'"&amp;C4&amp;"'"&amp;"!A:A"),结果表!B20,INDIRECT("'"&amp;C4&amp;"'"&amp;"!B:B"))</f>
        <v>23593</v>
      </c>
      <c r="D20" s="147">
        <f ca="1">SUMIF(INDIRECT("'"&amp;D4&amp;"'"&amp;"!A:A"),结果表!B20,INDIRECT("'"&amp;D4&amp;"'"&amp;"!B:B"))</f>
        <v>14739</v>
      </c>
      <c r="E20" s="2432"/>
      <c r="F20" s="1247" t="s">
        <v>2149</v>
      </c>
      <c r="G20" s="148">
        <f ca="1">ROUND(C20*$C$18+D20*$D$18,0)</f>
        <v>21822</v>
      </c>
      <c r="H20" s="980" t="s">
        <v>2150</v>
      </c>
      <c r="I20" s="138"/>
    </row>
    <row r="21" spans="1:35" ht="15" customHeight="1" thickBot="1">
      <c r="A21" s="1000"/>
      <c r="B21" s="2433" t="s">
        <v>2151</v>
      </c>
      <c r="C21" s="790">
        <f ca="1">ROUND(C19*10000/L19,0)</f>
        <v>89775</v>
      </c>
      <c r="D21" s="791">
        <f ca="1">ROUND(D19*10000/L19,0)</f>
        <v>56084</v>
      </c>
      <c r="E21" s="1000"/>
      <c r="F21" s="2433" t="s">
        <v>2151</v>
      </c>
      <c r="G21" s="149">
        <f ca="1">ROUND(G19*10000/L19,0)</f>
        <v>83037</v>
      </c>
      <c r="H21" s="2434" t="s">
        <v>2150</v>
      </c>
      <c r="I21" s="138"/>
    </row>
    <row r="22" spans="1:35" ht="15" thickBot="1">
      <c r="A22" s="2279" t="s">
        <v>2152</v>
      </c>
      <c r="B22" s="2435"/>
      <c r="C22" s="2436"/>
      <c r="D22" s="792">
        <f ca="1">IF(C19&lt;D19,D19/C19-1,C19/D19-1)</f>
        <v>0.60073359314757302</v>
      </c>
      <c r="E22" s="138"/>
      <c r="F22" s="138"/>
      <c r="G22" s="138"/>
      <c r="H22" s="138"/>
      <c r="I22" s="138"/>
    </row>
    <row r="23" spans="1:35" ht="13.5" thickBot="1">
      <c r="A23" s="2413"/>
      <c r="B23" s="2413"/>
      <c r="C23" s="2413"/>
      <c r="D23" s="2413"/>
      <c r="E23" s="138"/>
      <c r="F23" s="138"/>
      <c r="G23" s="138"/>
      <c r="H23" s="138"/>
      <c r="I23" s="138"/>
    </row>
    <row r="24" spans="1:35" ht="14.25">
      <c r="A24" s="3054" t="s">
        <v>2153</v>
      </c>
      <c r="B24" s="2430" t="s">
        <v>2145</v>
      </c>
      <c r="C24" s="145">
        <f>IF(B30=0,0,D30)</f>
        <v>0</v>
      </c>
      <c r="D24" s="2437"/>
      <c r="E24" s="138"/>
      <c r="F24" s="138"/>
      <c r="G24" s="138"/>
      <c r="H24" s="138"/>
      <c r="I24" s="138"/>
    </row>
    <row r="25" spans="1:35" ht="14.25">
      <c r="A25" s="3055"/>
      <c r="B25" s="1247"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3" t="s">
        <v>2158</v>
      </c>
      <c r="B30" s="153">
        <f>SUM(B27:B29)</f>
        <v>0</v>
      </c>
      <c r="C30" s="153" t="e">
        <f>ROUND(D30*10000/B30,0)</f>
        <v>#DIV/0!</v>
      </c>
      <c r="D30" s="153">
        <f>SUM(D27:D29)</f>
        <v>0</v>
      </c>
      <c r="E30" s="138"/>
      <c r="F30" s="138"/>
      <c r="G30" s="138"/>
      <c r="H30" s="138"/>
      <c r="I30" s="138"/>
    </row>
    <row r="31" spans="1:35" s="2441" customFormat="1" ht="15" thickBot="1">
      <c r="A31" s="2440"/>
      <c r="B31" s="2440"/>
      <c r="C31" s="2440"/>
      <c r="D31" s="2440"/>
      <c r="E31" s="138"/>
      <c r="F31" s="138"/>
      <c r="G31" s="138"/>
      <c r="H31" s="138"/>
      <c r="I31" s="138"/>
      <c r="J31" s="796"/>
      <c r="K31" s="796"/>
      <c r="L31" s="796"/>
      <c r="M31" s="796"/>
      <c r="N31" s="796"/>
      <c r="O31" s="796"/>
      <c r="P31" s="796"/>
      <c r="Q31" s="796"/>
      <c r="R31" s="796"/>
      <c r="S31" s="796"/>
      <c r="T31" s="796"/>
      <c r="U31" s="796"/>
      <c r="V31" s="796"/>
      <c r="W31" s="796"/>
      <c r="X31" s="796"/>
      <c r="Y31" s="796"/>
      <c r="Z31" s="796"/>
      <c r="AA31" s="2418"/>
      <c r="AB31" s="2418"/>
      <c r="AC31" s="2418"/>
      <c r="AD31" s="2418"/>
      <c r="AE31" s="2418"/>
      <c r="AF31" s="2418"/>
      <c r="AG31" s="2418"/>
      <c r="AH31" s="2418"/>
      <c r="AI31" s="2418"/>
    </row>
    <row r="32" spans="1:35" ht="15.75" thickBot="1">
      <c r="A32" s="2442" t="s">
        <v>2159</v>
      </c>
      <c r="B32" s="2443"/>
      <c r="C32" s="154">
        <f ca="1">IF(D32="总价",G19-C24,G20-C25)</f>
        <v>142086</v>
      </c>
      <c r="D32" s="2444" t="s">
        <v>2160</v>
      </c>
      <c r="E32" s="138"/>
      <c r="F32" s="138"/>
      <c r="G32" s="138"/>
      <c r="H32" s="138"/>
      <c r="I32" s="138"/>
    </row>
    <row r="33" spans="1:15" ht="15">
      <c r="A33" s="957" t="s">
        <v>2161</v>
      </c>
      <c r="B33" s="2445"/>
      <c r="C33" s="2446"/>
      <c r="D33" s="2447"/>
      <c r="E33" s="2448" t="s">
        <v>2162</v>
      </c>
      <c r="F33" s="2449" t="str">
        <f>IF(D32="楼面单价","取值（单价）","取值（总价）")</f>
        <v>取值（总价）</v>
      </c>
      <c r="G33" s="138"/>
      <c r="H33" s="138"/>
      <c r="I33" s="138"/>
    </row>
    <row r="34" spans="1:15" ht="15">
      <c r="A34" s="2450"/>
      <c r="B34" s="2451" t="s">
        <v>2163</v>
      </c>
      <c r="C34" s="158" t="e">
        <f ca="1">IF(C33="自定义",F34,C32-C35)</f>
        <v>#REF!</v>
      </c>
      <c r="D34" s="1055" t="e">
        <f ca="1">IF(C33="自定义",ROUND(C34/C32,3),IF(C33="收益比率",SUMIF(INDIRECT("'"&amp;D33&amp;"'"&amp;"!b:b"),"土地收益比率",INDIRECT("'"&amp;D33&amp;"'"&amp;"!c:c")),SUMIF(INDIRECT("'"&amp;D33&amp;"'"&amp;"!b:b"),"土地成本比率",INDIRECT("'"&amp;D33&amp;"'"&amp;"!c:c"))))</f>
        <v>#REF!</v>
      </c>
      <c r="E34" s="2452" t="s">
        <v>2164</v>
      </c>
      <c r="F34" s="1737"/>
      <c r="G34" s="138"/>
      <c r="H34" s="138"/>
      <c r="I34" s="138"/>
    </row>
    <row r="35" spans="1:15" ht="15.75" thickBot="1">
      <c r="A35" s="2453"/>
      <c r="B35" s="2454"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2166</v>
      </c>
      <c r="F35" s="164"/>
      <c r="G35" s="138"/>
      <c r="H35" s="138"/>
      <c r="I35" s="138"/>
    </row>
    <row r="36" spans="1:15" ht="15.75" thickBot="1">
      <c r="A36" s="3072" t="s">
        <v>2167</v>
      </c>
      <c r="B36" s="2456" t="s">
        <v>2168</v>
      </c>
      <c r="C36" s="155"/>
      <c r="D36" s="2457"/>
      <c r="E36" s="2458"/>
      <c r="F36" s="2459"/>
      <c r="G36" s="138"/>
      <c r="H36" s="138"/>
      <c r="I36" s="138"/>
    </row>
    <row r="37" spans="1:15" ht="15.75" thickBot="1">
      <c r="A37" s="3073"/>
      <c r="B37" s="2265" t="s">
        <v>2169</v>
      </c>
      <c r="C37" s="157"/>
      <c r="D37" s="1392"/>
      <c r="E37" s="1392"/>
      <c r="F37" s="2459"/>
      <c r="G37" s="138"/>
      <c r="H37" s="138"/>
      <c r="I37" s="138"/>
    </row>
    <row r="38" spans="1:15" ht="15.75" thickBot="1">
      <c r="A38" s="3074"/>
      <c r="B38" s="2460" t="s">
        <v>2170</v>
      </c>
      <c r="C38" s="728"/>
      <c r="D38" s="2461" t="s">
        <v>2171</v>
      </c>
      <c r="E38" s="1392"/>
      <c r="F38" s="2459"/>
      <c r="G38" s="138"/>
      <c r="H38" s="138"/>
      <c r="I38" s="138"/>
    </row>
    <row r="39" spans="1:15" ht="15">
      <c r="A39" s="2432" t="s">
        <v>2172</v>
      </c>
      <c r="B39" s="2462" t="s">
        <v>2173</v>
      </c>
      <c r="C39" s="2463" t="s">
        <v>2174</v>
      </c>
      <c r="D39" s="2463" t="s">
        <v>2175</v>
      </c>
      <c r="E39" s="2464" t="s">
        <v>2176</v>
      </c>
      <c r="F39" s="2459"/>
      <c r="G39" s="138"/>
      <c r="H39" s="138"/>
      <c r="I39" s="138"/>
    </row>
    <row r="40" spans="1:15" ht="14.25">
      <c r="A40" s="2465" t="s">
        <v>2177</v>
      </c>
      <c r="B40" s="159"/>
      <c r="C40" s="160"/>
      <c r="D40" s="160"/>
      <c r="E40" s="161"/>
      <c r="F40" s="2459"/>
      <c r="G40" s="138"/>
      <c r="H40" s="138"/>
      <c r="I40" s="138"/>
    </row>
    <row r="41" spans="1:15" ht="14.25">
      <c r="A41" s="2465" t="s">
        <v>2178</v>
      </c>
      <c r="B41" s="159"/>
      <c r="C41" s="160"/>
      <c r="D41" s="160"/>
      <c r="E41" s="161"/>
      <c r="F41" s="2459"/>
      <c r="G41" s="138"/>
      <c r="H41" s="138"/>
      <c r="I41" s="138"/>
    </row>
    <row r="42" spans="1:15" ht="15" thickBot="1">
      <c r="A42" s="2466"/>
      <c r="B42" s="162"/>
      <c r="C42" s="163"/>
      <c r="D42" s="163"/>
      <c r="E42" s="164"/>
      <c r="F42" s="2459"/>
      <c r="G42" s="138"/>
      <c r="H42" s="138"/>
      <c r="I42" s="138"/>
    </row>
    <row r="43" spans="1:15" ht="12.75">
      <c r="A43" s="2165"/>
      <c r="B43" s="2165"/>
      <c r="C43" s="2165"/>
      <c r="D43" s="2165"/>
      <c r="E43" s="2165"/>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051" t="s">
        <v>2181</v>
      </c>
      <c r="B45" s="3052"/>
      <c r="C45" s="3053"/>
      <c r="D45" s="165">
        <f ca="1">ROUND(H101*F45,0)</f>
        <v>142086</v>
      </c>
      <c r="E45" s="166" t="s">
        <v>2182</v>
      </c>
      <c r="F45" s="167">
        <v>1</v>
      </c>
      <c r="G45" s="168" t="s">
        <v>2183</v>
      </c>
      <c r="H45" s="138"/>
      <c r="I45" s="138"/>
      <c r="J45" s="3111" t="s">
        <v>2184</v>
      </c>
      <c r="K45" s="3111"/>
      <c r="L45" s="3111"/>
      <c r="M45" s="3111"/>
      <c r="N45" s="3111"/>
      <c r="O45" s="3111"/>
    </row>
    <row r="46" spans="1:15" ht="14.25" customHeight="1">
      <c r="A46" s="3048" t="s">
        <v>2185</v>
      </c>
      <c r="B46" s="3049"/>
      <c r="C46" s="3049"/>
      <c r="D46" s="3049"/>
      <c r="E46" s="3049"/>
      <c r="F46" s="3049"/>
      <c r="G46" s="3050"/>
      <c r="H46" s="2475"/>
      <c r="I46" s="169"/>
      <c r="J46" s="1810">
        <v>1</v>
      </c>
      <c r="K46" s="3111" t="s">
        <v>2186</v>
      </c>
      <c r="L46" s="3111"/>
      <c r="M46" s="3131"/>
      <c r="N46" s="3131"/>
      <c r="O46" s="3131"/>
    </row>
    <row r="47" spans="1:15" ht="12" customHeight="1">
      <c r="A47" s="170" t="s">
        <v>2187</v>
      </c>
      <c r="B47" s="171"/>
      <c r="C47" s="172"/>
      <c r="D47" s="173" t="s">
        <v>2188</v>
      </c>
      <c r="E47" s="24" t="s">
        <v>2189</v>
      </c>
      <c r="F47" s="174" t="s">
        <v>2190</v>
      </c>
      <c r="G47" s="175" t="s">
        <v>2191</v>
      </c>
      <c r="H47" s="2475"/>
      <c r="I47" s="169"/>
      <c r="J47" s="1810">
        <v>2</v>
      </c>
      <c r="K47" s="3111" t="s">
        <v>2192</v>
      </c>
      <c r="L47" s="3111"/>
      <c r="M47" s="3132">
        <f>'数据-取费表'!B2</f>
        <v>43039</v>
      </c>
      <c r="N47" s="3132"/>
      <c r="O47" s="3132"/>
    </row>
    <row r="48" spans="1:15" ht="25.5">
      <c r="A48" s="3079" t="s">
        <v>2193</v>
      </c>
      <c r="B48" s="3062"/>
      <c r="C48" s="3062"/>
      <c r="D48" s="140">
        <f>IF(H48="情况1",0,IF(H48="情况2",D52,IF(H48="情况3",D53,IF(H48="情况4",D54))))</f>
        <v>0</v>
      </c>
      <c r="E48" s="1799" t="str">
        <f>IF(H48="情况4","(销售额-原购置价)×税（费）率","销售额×税（费）率")</f>
        <v>销售额×税（费）率</v>
      </c>
      <c r="F48" s="176" t="str">
        <f>IF(H48="情况1","免征",'数据-取费表'!B41)</f>
        <v>免征</v>
      </c>
      <c r="G48" s="2476" t="s">
        <v>2194</v>
      </c>
      <c r="H48" s="2477" t="s">
        <v>2195</v>
      </c>
      <c r="I48" s="2475"/>
      <c r="J48" s="1810">
        <v>3</v>
      </c>
      <c r="K48" s="3111" t="s">
        <v>2196</v>
      </c>
      <c r="L48" s="3111"/>
      <c r="M48" s="3133">
        <f ca="1">H101</f>
        <v>142086</v>
      </c>
      <c r="N48" s="3133"/>
      <c r="O48" s="3133"/>
    </row>
    <row r="49" spans="1:35" ht="25.5" customHeight="1">
      <c r="A49" s="177" t="s">
        <v>2197</v>
      </c>
      <c r="B49" s="3047" t="s">
        <v>2198</v>
      </c>
      <c r="C49" s="3047"/>
      <c r="D49" s="178">
        <v>0</v>
      </c>
      <c r="E49" s="23" t="s">
        <v>2199</v>
      </c>
      <c r="F49" s="28" t="s">
        <v>34</v>
      </c>
      <c r="G49" s="3117"/>
      <c r="H49" s="138"/>
      <c r="I49" s="2478"/>
      <c r="J49" s="1810">
        <v>4</v>
      </c>
      <c r="K49" s="3111" t="str">
        <f>IF(项目基本情况!E8="房地产抵押价值","房地产抵押价值","抵押担保权已注销时的房地产抵押价值")</f>
        <v>房地产抵押价值</v>
      </c>
      <c r="L49" s="3111"/>
      <c r="M49" s="3133">
        <f ca="1">IF(项目基本情况!E8="房地产抵押价值",H107,H109)</f>
        <v>142086</v>
      </c>
      <c r="N49" s="3133"/>
      <c r="O49" s="3133"/>
    </row>
    <row r="50" spans="1:35" ht="25.5" customHeight="1">
      <c r="A50" s="179"/>
      <c r="B50" s="3047" t="s">
        <v>2200</v>
      </c>
      <c r="C50" s="3047"/>
      <c r="D50" s="180"/>
      <c r="E50" s="31"/>
      <c r="F50" s="181"/>
      <c r="G50" s="3118"/>
      <c r="H50" s="138"/>
      <c r="I50" s="2478"/>
      <c r="J50" s="3111" t="s">
        <v>2201</v>
      </c>
      <c r="K50" s="3111"/>
      <c r="L50" s="3111"/>
      <c r="M50" s="3111"/>
      <c r="N50" s="3111"/>
      <c r="O50" s="3111"/>
    </row>
    <row r="51" spans="1:35" ht="12" customHeight="1">
      <c r="A51" s="182"/>
      <c r="B51" s="3047" t="s">
        <v>2202</v>
      </c>
      <c r="C51" s="3047"/>
      <c r="D51" s="183"/>
      <c r="E51" s="30"/>
      <c r="F51" s="181"/>
      <c r="G51" s="3119"/>
      <c r="H51" s="138"/>
      <c r="I51" s="2478"/>
      <c r="J51" s="2479" t="s">
        <v>2203</v>
      </c>
      <c r="K51" s="3111" t="s">
        <v>2204</v>
      </c>
      <c r="L51" s="3111"/>
      <c r="M51" s="2479" t="s">
        <v>2205</v>
      </c>
      <c r="N51" s="2479" t="s">
        <v>2206</v>
      </c>
      <c r="O51" s="2479" t="s">
        <v>2207</v>
      </c>
    </row>
    <row r="52" spans="1:35" ht="24" customHeight="1">
      <c r="A52" s="184" t="s">
        <v>2208</v>
      </c>
      <c r="B52" s="3047" t="s">
        <v>2209</v>
      </c>
      <c r="C52" s="3047"/>
      <c r="D52" s="183">
        <f ca="1">ROUND(D45*'数据-取费表'!B41/(1+'数据-取费表'!C42),0)</f>
        <v>7443</v>
      </c>
      <c r="E52" s="11" t="s">
        <v>2210</v>
      </c>
      <c r="F52" s="185">
        <f>'数据-取费表'!B41</f>
        <v>5.5000000000000007E-2</v>
      </c>
      <c r="G52" s="2480"/>
      <c r="H52" s="138"/>
      <c r="I52" s="2478"/>
      <c r="J52" s="1810">
        <v>1</v>
      </c>
      <c r="K52" s="3112" t="s">
        <v>2211</v>
      </c>
      <c r="L52" s="3112"/>
      <c r="M52" s="1752">
        <f>D48</f>
        <v>0</v>
      </c>
      <c r="N52" s="1810" t="str">
        <f>E48</f>
        <v>销售额×税（费）率</v>
      </c>
      <c r="O52" s="1753" t="str">
        <f>F48</f>
        <v>免征</v>
      </c>
    </row>
    <row r="53" spans="1:35" ht="12" customHeight="1">
      <c r="A53" s="184" t="s">
        <v>2212</v>
      </c>
      <c r="B53" s="3070" t="s">
        <v>2213</v>
      </c>
      <c r="C53" s="3071"/>
      <c r="D53" s="183">
        <f ca="1">ROUND(D45*'数据-取费表'!B41/(1+'数据-取费表'!C42),0)</f>
        <v>7443</v>
      </c>
      <c r="E53" s="11" t="s">
        <v>2210</v>
      </c>
      <c r="F53" s="185">
        <f>'数据-取费表'!B41</f>
        <v>5.5000000000000007E-2</v>
      </c>
      <c r="G53" s="2480"/>
      <c r="H53" s="138"/>
      <c r="I53" s="2478"/>
      <c r="J53" s="1810">
        <v>2</v>
      </c>
      <c r="K53" s="3112" t="s">
        <v>2214</v>
      </c>
      <c r="L53" s="3112"/>
      <c r="M53" s="1752">
        <f t="shared" ref="M53:O54" ca="1" si="0">D55</f>
        <v>71</v>
      </c>
      <c r="N53" s="1810" t="str">
        <f t="shared" si="0"/>
        <v>销售额×税（费）率</v>
      </c>
      <c r="O53" s="1753">
        <f t="shared" si="0"/>
        <v>5.0000000000000001E-4</v>
      </c>
    </row>
    <row r="54" spans="1:35" ht="12" customHeight="1">
      <c r="A54" s="184" t="s">
        <v>2215</v>
      </c>
      <c r="B54" s="3070" t="s">
        <v>2216</v>
      </c>
      <c r="C54" s="3071"/>
      <c r="D54" s="183">
        <f ca="1">C68</f>
        <v>7443</v>
      </c>
      <c r="E54" s="30" t="s">
        <v>2217</v>
      </c>
      <c r="F54" s="185">
        <f>'数据-取费表'!B41</f>
        <v>5.5000000000000007E-2</v>
      </c>
      <c r="G54" s="2480"/>
      <c r="H54" s="2481"/>
      <c r="I54" s="2478"/>
      <c r="J54" s="1810">
        <v>3</v>
      </c>
      <c r="K54" s="3112" t="s">
        <v>2218</v>
      </c>
      <c r="L54" s="3112"/>
      <c r="M54" s="1752">
        <f t="shared" ca="1" si="0"/>
        <v>80549</v>
      </c>
      <c r="N54" s="1810" t="str">
        <f t="shared" si="0"/>
        <v>增值额×税（费）率</v>
      </c>
      <c r="O54" s="1754" t="str">
        <f t="shared" si="0"/>
        <v>——</v>
      </c>
    </row>
    <row r="55" spans="1:35" ht="24" customHeight="1">
      <c r="A55" s="3061" t="s">
        <v>2219</v>
      </c>
      <c r="B55" s="3062"/>
      <c r="C55" s="3062"/>
      <c r="D55" s="186">
        <f ca="1">IF(H55="个人住宅",0,ROUND(D45*I55,0))</f>
        <v>71</v>
      </c>
      <c r="E55" s="11" t="s">
        <v>2220</v>
      </c>
      <c r="F55" s="185">
        <f>IF(H55="正常",I55,"免征")</f>
        <v>5.0000000000000001E-4</v>
      </c>
      <c r="G55" s="2480"/>
      <c r="H55" s="2477" t="s">
        <v>2221</v>
      </c>
      <c r="I55" s="187">
        <f>'数据-取费表'!B49</f>
        <v>5.0000000000000001E-4</v>
      </c>
      <c r="J55" s="1810" t="str">
        <f>IF(H59="非个人房产","",4)</f>
        <v/>
      </c>
      <c r="K55" s="3112" t="str">
        <f>IF(H59="非个人房产","——","个人所得税")</f>
        <v>——</v>
      </c>
      <c r="L55" s="3112"/>
      <c r="M55" s="1755" t="str">
        <f>D59</f>
        <v>——</v>
      </c>
      <c r="N55" s="1808" t="str">
        <f>E59</f>
        <v>——</v>
      </c>
      <c r="O55" s="1756" t="str">
        <f>F59</f>
        <v>——</v>
      </c>
    </row>
    <row r="56" spans="1:35" ht="24.75">
      <c r="A56" s="3061" t="s">
        <v>2222</v>
      </c>
      <c r="B56" s="3062"/>
      <c r="C56" s="3062"/>
      <c r="D56" s="186">
        <f ca="1">IF(H56="个人住宅",D57,D58)</f>
        <v>80549</v>
      </c>
      <c r="E56" s="11" t="s">
        <v>2223</v>
      </c>
      <c r="F56" s="185" t="str">
        <f>IF(H56="正常",F58,"免征")</f>
        <v>——</v>
      </c>
      <c r="G56" s="2482" t="s">
        <v>2224</v>
      </c>
      <c r="H56" s="2483" t="s">
        <v>2221</v>
      </c>
      <c r="I56" s="2484"/>
      <c r="J56" s="1810" t="str">
        <f>IF(项目基本情况!K6="上海银行",IF(J55="",4,J55+1),"")</f>
        <v/>
      </c>
      <c r="K56" s="3135" t="str">
        <f>IF(项目基本情况!K6="上海银行","其他处置费用","")</f>
        <v/>
      </c>
      <c r="L56" s="3136"/>
      <c r="M56" s="1752" t="str">
        <f>IF(项目基本情况!K6="上海银行",M69,"")</f>
        <v/>
      </c>
      <c r="N56" s="3138" t="str">
        <f>IF(项目基本情况!K6="上海银行","包含处置中涉及的律师、诉讼、拍卖、评估等费用","")</f>
        <v/>
      </c>
      <c r="O56" s="3139"/>
    </row>
    <row r="57" spans="1:35" ht="12.75">
      <c r="A57" s="184" t="s">
        <v>2197</v>
      </c>
      <c r="B57" s="3077" t="s">
        <v>2225</v>
      </c>
      <c r="C57" s="3086"/>
      <c r="D57" s="188">
        <v>0</v>
      </c>
      <c r="E57" s="23" t="s">
        <v>2199</v>
      </c>
      <c r="F57" s="156"/>
      <c r="G57" s="2480"/>
      <c r="H57" s="2484"/>
      <c r="I57" s="2484"/>
      <c r="J57" s="3112">
        <f>IF(AND(J55="",J56=""),4,IF(项目基本情况!K6="上海银行",结果表!J56+1,结果表!J55+1))</f>
        <v>4</v>
      </c>
      <c r="K57" s="3112" t="s">
        <v>2226</v>
      </c>
      <c r="L57" s="2485" t="s">
        <v>2227</v>
      </c>
      <c r="M57" s="1757"/>
      <c r="N57" s="1758">
        <f ca="1">SUMIF(M52:M56,"&lt;9e307")</f>
        <v>80620</v>
      </c>
      <c r="O57" s="2486"/>
      <c r="P57" s="1751">
        <f ca="1">N57/M49</f>
        <v>0.56740284053319823</v>
      </c>
    </row>
    <row r="58" spans="1:35" ht="24.75">
      <c r="A58" s="184" t="s">
        <v>2208</v>
      </c>
      <c r="B58" s="3077" t="s">
        <v>2228</v>
      </c>
      <c r="C58" s="3078"/>
      <c r="D58" s="186">
        <f ca="1">IF(H58="转让取得",C81,C97)</f>
        <v>80549</v>
      </c>
      <c r="E58" s="11" t="s">
        <v>2223</v>
      </c>
      <c r="F58" s="24" t="s">
        <v>34</v>
      </c>
      <c r="G58" s="2480"/>
      <c r="H58" s="2483" t="s">
        <v>2229</v>
      </c>
      <c r="I58" s="2484"/>
      <c r="J58" s="3112"/>
      <c r="K58" s="3112"/>
      <c r="L58" s="2485" t="s">
        <v>2230</v>
      </c>
      <c r="M58" s="1759"/>
      <c r="N58" s="2487" t="str">
        <f ca="1">NUMBERSTRING(INT(N57*10000),2)&amp;"元整"</f>
        <v>捌亿零陆佰贰拾万元整</v>
      </c>
      <c r="O58" s="2488"/>
    </row>
    <row r="59" spans="1:35" ht="24.75" thickBot="1">
      <c r="A59" s="3115" t="s">
        <v>2231</v>
      </c>
      <c r="B59" s="3116"/>
      <c r="C59" s="3116"/>
      <c r="D59" s="189" t="str">
        <f>IF(H59="非个人房产","——",IF(H59="个人住宅",0,ROUND(D45*I59,0)))</f>
        <v>——</v>
      </c>
      <c r="E59" s="190" t="str">
        <f>IF(H59="非个人房产","——","销售额×税（费）率")</f>
        <v>——</v>
      </c>
      <c r="F59" s="191" t="str">
        <f>IF(H59="非个人房产","——",IF(H59="个人住宅","免征",I59))</f>
        <v>——</v>
      </c>
      <c r="G59" s="2489" t="s">
        <v>2224</v>
      </c>
      <c r="H59" s="2483" t="s">
        <v>2232</v>
      </c>
      <c r="I59" s="192">
        <v>0.01</v>
      </c>
      <c r="J59" s="3113">
        <f>J57+1</f>
        <v>5</v>
      </c>
      <c r="K59" s="3112" t="s">
        <v>2233</v>
      </c>
      <c r="L59" s="1810" t="s">
        <v>2227</v>
      </c>
      <c r="M59" s="1760"/>
      <c r="N59" s="1761">
        <f ca="1">M49-N57</f>
        <v>61466</v>
      </c>
      <c r="O59" s="2490"/>
    </row>
    <row r="60" spans="1:35" ht="12" customHeight="1">
      <c r="A60" s="2491"/>
      <c r="B60" s="2413"/>
      <c r="C60" s="2413"/>
      <c r="D60" s="2413"/>
      <c r="E60" s="2166"/>
      <c r="F60" s="2484"/>
      <c r="G60" s="2484"/>
      <c r="H60" s="2492"/>
      <c r="I60" s="138"/>
      <c r="J60" s="3114"/>
      <c r="K60" s="3112"/>
      <c r="L60" s="2485" t="s">
        <v>2230</v>
      </c>
      <c r="M60" s="1759"/>
      <c r="N60" s="2487" t="str">
        <f ca="1">NUMBERSTRING(INT(N59*10000),2)&amp;"元整"</f>
        <v>陆亿壹仟肆佰陆拾陆万元整</v>
      </c>
      <c r="O60" s="2488"/>
    </row>
    <row r="61" spans="1:35" ht="13.5" thickBot="1">
      <c r="A61" s="3059" t="s">
        <v>2234</v>
      </c>
      <c r="B61" s="3059"/>
      <c r="C61" s="3059"/>
      <c r="D61" s="3059"/>
      <c r="E61" s="3059"/>
      <c r="F61" s="2484"/>
      <c r="G61" s="2484"/>
      <c r="H61" s="2492"/>
      <c r="I61" s="138"/>
      <c r="J61" s="1810">
        <f>J59+1</f>
        <v>6</v>
      </c>
      <c r="K61" s="3112" t="s">
        <v>2235</v>
      </c>
      <c r="L61" s="3112"/>
      <c r="M61" s="1762"/>
      <c r="N61" s="1763">
        <f ca="1">ROUND(N59*10000/'数据-汇总表'!E3,0)</f>
        <v>9440</v>
      </c>
      <c r="O61" s="2493"/>
    </row>
    <row r="62" spans="1:35" ht="12.75">
      <c r="A62" s="3075" t="s">
        <v>2236</v>
      </c>
      <c r="B62" s="3076"/>
      <c r="C62" s="1802"/>
      <c r="D62" s="1802" t="s">
        <v>2237</v>
      </c>
      <c r="E62" s="193" t="s">
        <v>2238</v>
      </c>
      <c r="F62" s="2484"/>
      <c r="G62" s="2484"/>
      <c r="H62" s="2492"/>
      <c r="I62" s="138"/>
    </row>
    <row r="63" spans="1:35" ht="12.75">
      <c r="A63" s="204" t="s">
        <v>775</v>
      </c>
      <c r="B63" s="194" t="s">
        <v>2239</v>
      </c>
      <c r="C63" s="195">
        <f ca="1">ROUND((C64+C65)/(1+'数据-取费表'!C42),0)</f>
        <v>135320</v>
      </c>
      <c r="D63" s="196"/>
      <c r="E63" s="197"/>
      <c r="F63" s="2484"/>
      <c r="G63" s="2484"/>
      <c r="H63" s="2492"/>
      <c r="I63" s="138"/>
      <c r="J63" s="3137" t="s">
        <v>2240</v>
      </c>
      <c r="K63" s="2494" t="s">
        <v>2241</v>
      </c>
      <c r="L63" s="1750">
        <f ca="1">IF(M49&gt;10000,M49*0.5%,IF(AND(M49&gt;1000,M49&lt;=10000),M49*1%,IF(AND(M49&gt;100,M49&lt;=1000),M49*3%,IF(AND(M49&gt;10,M49&lt;=100),M49*5%,M49*8%))))</f>
        <v>710.43000000000006</v>
      </c>
      <c r="M63" s="24">
        <f ca="1">ROUND(L63,1)</f>
        <v>710.4</v>
      </c>
      <c r="Z63" s="2418"/>
      <c r="AI63" s="2419"/>
    </row>
    <row r="64" spans="1:35" ht="14.25" customHeight="1">
      <c r="A64" s="198" t="s">
        <v>770</v>
      </c>
      <c r="B64" s="199" t="s">
        <v>2242</v>
      </c>
      <c r="C64" s="200">
        <f ca="1">D45</f>
        <v>142086</v>
      </c>
      <c r="D64" s="201" t="s">
        <v>32</v>
      </c>
      <c r="E64" s="202"/>
      <c r="F64" s="2484"/>
      <c r="G64" s="2484"/>
      <c r="H64" s="2492"/>
      <c r="I64" s="138"/>
      <c r="J64" s="3137"/>
      <c r="K64" s="2494" t="s">
        <v>2243</v>
      </c>
      <c r="L64" s="1750">
        <f ca="1">IF(M49&gt;2000,M49*0.5%,IF(AND(M49&gt;1000,M49&lt;=2000),M49*0.6%,IF(AND(M49&gt;500,M49&lt;=1000),M49*0.7%,IF(AND(M49&gt;200,M49&lt;=500),M49*0.8%,IF(AND(M49&gt;100,M49&lt;=200),M49*0.9%,IF(AND(M49&gt;50,M49&lt;=100),M49*1%,IF(AND(M49&gt;20,M49&lt;=50),M49*1.5%,IF(AND(M49&gt;10,M49&lt;=20),M49*2%,IF(AND(M49&gt;1,M49&lt;=10),M49*2.5%)))))))))</f>
        <v>710.43000000000006</v>
      </c>
      <c r="M64" s="24">
        <f t="shared" ref="M64:M65" ca="1" si="1">ROUND(L64,1)</f>
        <v>710.4</v>
      </c>
      <c r="N64" s="138" t="s">
        <v>2244</v>
      </c>
      <c r="Z64" s="2418"/>
      <c r="AI64" s="2419"/>
    </row>
    <row r="65" spans="1:35" ht="14.25" customHeight="1">
      <c r="A65" s="198" t="s">
        <v>771</v>
      </c>
      <c r="B65" s="199" t="s">
        <v>2245</v>
      </c>
      <c r="C65" s="203"/>
      <c r="D65" s="201"/>
      <c r="E65" s="202"/>
      <c r="F65" s="2484"/>
      <c r="G65" s="2484"/>
      <c r="H65" s="2492"/>
      <c r="I65" s="138"/>
      <c r="J65" s="3137"/>
      <c r="K65" s="2494" t="s">
        <v>2246</v>
      </c>
      <c r="L65" s="1750">
        <f ca="1">IF(M49&gt;1000,M49*0.1%,IF(AND(M49&gt;500,M49&lt;=1000),M49*0.5%,IF(AND(M49&gt;50,M49&lt;=500),M49*1%,IF(AND(M49&gt;1,M49&lt;=50),M49*1.5%))))</f>
        <v>142.08600000000001</v>
      </c>
      <c r="M65" s="24">
        <f t="shared" ca="1" si="1"/>
        <v>142.1</v>
      </c>
      <c r="N65" s="138" t="s">
        <v>2244</v>
      </c>
      <c r="Z65" s="2418"/>
      <c r="AI65" s="2419"/>
    </row>
    <row r="66" spans="1:35" ht="14.25" customHeight="1">
      <c r="A66" s="204" t="s">
        <v>772</v>
      </c>
      <c r="B66" s="205" t="s">
        <v>2247</v>
      </c>
      <c r="C66" s="206"/>
      <c r="D66" s="207" t="s">
        <v>32</v>
      </c>
      <c r="E66" s="1774" t="s">
        <v>1372</v>
      </c>
      <c r="F66" s="2484"/>
      <c r="G66" s="2484"/>
      <c r="H66" s="2492"/>
      <c r="I66" s="138"/>
      <c r="J66" s="3137"/>
      <c r="K66" s="2494" t="s">
        <v>2248</v>
      </c>
      <c r="L66" s="1750">
        <f ca="1">M49*0.5%</f>
        <v>710.43000000000006</v>
      </c>
      <c r="M66" s="24">
        <f ca="1">IF(L66&gt;0.5,0.5,ROUND(L66,0))</f>
        <v>0.5</v>
      </c>
      <c r="N66" s="138" t="s">
        <v>2249</v>
      </c>
      <c r="Z66" s="2418"/>
      <c r="AI66" s="2419"/>
    </row>
    <row r="67" spans="1:35" ht="14.25" customHeight="1">
      <c r="A67" s="204" t="s">
        <v>773</v>
      </c>
      <c r="B67" s="205" t="s">
        <v>2250</v>
      </c>
      <c r="C67" s="208">
        <f ca="1">C63-C66</f>
        <v>135320</v>
      </c>
      <c r="D67" s="201" t="s">
        <v>32</v>
      </c>
      <c r="E67" s="202"/>
      <c r="F67" s="2484"/>
      <c r="G67" s="2484"/>
      <c r="H67" s="2492"/>
      <c r="I67" s="138"/>
      <c r="J67" s="3137"/>
      <c r="K67" s="2494" t="s">
        <v>2251</v>
      </c>
      <c r="L67" s="1750">
        <f ca="1">IF(M49&gt;=10000,(8.25+(M49-10000)*0.01%),IF(AND(M49&gt;=8000,M49&lt;10000),(7.85+(M49-8000)*0.02%),IF(AND(M49&gt;=5000,M49&lt;8000),(6.65+(M49-5000)*0.04%),IF(AND(M49&gt;=2000,M49&lt;5000),(4.25+(PM49-2000)*0.08%),IF(AND(M49&gt;=1000,M49&lt;2000),(2.75+(M49-1000)*0.15%),IF(AND(M49&gt;=100,M49&lt;1000),(0.5+(M49-100)*0.25%),IF(AND(M49&gt;0,M49&lt;100),M49*0.5%)))))))</f>
        <v>21.458600000000001</v>
      </c>
      <c r="M67" s="24">
        <f ca="1">ROUND(L67*0.9,1)</f>
        <v>19.3</v>
      </c>
      <c r="Z67" s="2418"/>
      <c r="AI67" s="2419"/>
    </row>
    <row r="68" spans="1:35" ht="14.25" customHeight="1" thickBot="1">
      <c r="A68" s="209" t="s">
        <v>774</v>
      </c>
      <c r="B68" s="210" t="s">
        <v>2252</v>
      </c>
      <c r="C68" s="211">
        <f ca="1">IF(C67&lt;=0,0,ROUND(C67*D68,0))</f>
        <v>7443</v>
      </c>
      <c r="D68" s="212">
        <f>'数据-取费表'!B41</f>
        <v>5.5000000000000007E-2</v>
      </c>
      <c r="E68" s="213"/>
      <c r="F68" s="2484"/>
      <c r="G68" s="2484"/>
      <c r="H68" s="2492"/>
      <c r="I68" s="138"/>
      <c r="J68" s="3137"/>
      <c r="K68" s="2494" t="s">
        <v>2253</v>
      </c>
      <c r="L68" s="1750">
        <f ca="1">IF(M49&gt;10000,M49*0.5%,IF(AND(M49&gt;5000,M49&lt;=10000),M49*1%,IF(AND(M49&gt;1000,M49&lt;=5000),M49*2%,IF(AND(M49&gt;200,M49&lt;=1000),M49*3%,M49*5%))))</f>
        <v>710.43000000000006</v>
      </c>
      <c r="M68" s="24">
        <f ca="1">ROUND(L68,1)</f>
        <v>710.4</v>
      </c>
      <c r="Z68" s="2418"/>
      <c r="AI68" s="2419"/>
    </row>
    <row r="69" spans="1:35" s="2441" customFormat="1" ht="16.5" customHeight="1">
      <c r="A69" s="2495"/>
      <c r="B69" s="2496"/>
      <c r="C69" s="2497"/>
      <c r="D69" s="2498"/>
      <c r="E69" s="2499"/>
      <c r="F69" s="2166"/>
      <c r="G69" s="2166"/>
      <c r="H69" s="2165"/>
      <c r="I69" s="2413"/>
      <c r="J69" s="3137"/>
      <c r="K69" s="2494" t="s">
        <v>2254</v>
      </c>
      <c r="L69" s="2500"/>
      <c r="M69" s="24">
        <f ca="1">ROUND(SUM(M63:M68),0)</f>
        <v>2293</v>
      </c>
      <c r="N69" s="1751">
        <f ca="1">M69/M49</f>
        <v>1.6138113536872035E-2</v>
      </c>
      <c r="O69" s="796"/>
      <c r="P69" s="796"/>
      <c r="Q69" s="796"/>
      <c r="R69" s="796"/>
      <c r="S69" s="796"/>
      <c r="T69" s="796"/>
      <c r="U69" s="796"/>
      <c r="V69" s="796"/>
      <c r="W69" s="796"/>
      <c r="X69" s="796"/>
      <c r="Y69" s="796"/>
      <c r="Z69" s="2418"/>
      <c r="AA69" s="2418"/>
      <c r="AB69" s="2418"/>
      <c r="AC69" s="2418"/>
      <c r="AD69" s="2418"/>
      <c r="AE69" s="2418"/>
      <c r="AF69" s="2418"/>
      <c r="AG69" s="2418"/>
      <c r="AH69" s="2418"/>
    </row>
    <row r="70" spans="1:35" s="2502" customFormat="1" ht="15" thickBot="1">
      <c r="A70" s="3096" t="s">
        <v>2255</v>
      </c>
      <c r="B70" s="3097"/>
      <c r="C70" s="3097"/>
      <c r="D70" s="3097"/>
      <c r="E70" s="3097"/>
      <c r="F70" s="3097"/>
      <c r="G70" s="3097"/>
      <c r="H70" s="309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75" t="s">
        <v>2236</v>
      </c>
      <c r="B71" s="3076"/>
      <c r="C71" s="1802"/>
      <c r="D71" s="1802" t="s">
        <v>2237</v>
      </c>
      <c r="E71" s="214" t="s">
        <v>2238</v>
      </c>
      <c r="F71" s="215"/>
      <c r="G71" s="215"/>
      <c r="H71" s="216"/>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4" t="s">
        <v>775</v>
      </c>
      <c r="B72" s="205" t="s">
        <v>2256</v>
      </c>
      <c r="C72" s="208">
        <f ca="1">ROUND(D45/(1+'数据-取费表'!C42),0)</f>
        <v>135320</v>
      </c>
      <c r="D72" s="201" t="s">
        <v>32</v>
      </c>
      <c r="E72" s="1801"/>
      <c r="F72" s="1795"/>
      <c r="G72" s="1795"/>
      <c r="H72" s="217"/>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4" t="s">
        <v>772</v>
      </c>
      <c r="B73" s="174" t="s">
        <v>2257</v>
      </c>
      <c r="C73" s="208">
        <f ca="1">C74+C78</f>
        <v>677</v>
      </c>
      <c r="D73" s="201" t="s">
        <v>32</v>
      </c>
      <c r="E73" s="1801"/>
      <c r="F73" s="1795"/>
      <c r="G73" s="1795"/>
      <c r="H73" s="217"/>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8" t="s">
        <v>770</v>
      </c>
      <c r="B74" s="199" t="s">
        <v>2258</v>
      </c>
      <c r="C74" s="201">
        <f>ROUND(IF(G77="2016年5月1日后购买",C75/(1+'数据-取费表'!C42)+C76+C77,C75+C76+C77),0)</f>
        <v>0</v>
      </c>
      <c r="D74" s="201" t="s">
        <v>32</v>
      </c>
      <c r="E74" s="1801"/>
      <c r="F74" s="1795"/>
      <c r="G74" s="1795"/>
      <c r="H74" s="217"/>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8" t="s">
        <v>776</v>
      </c>
      <c r="B75" s="199" t="s">
        <v>2259</v>
      </c>
      <c r="C75" s="219"/>
      <c r="D75" s="201" t="s">
        <v>32</v>
      </c>
      <c r="E75" s="220" t="s">
        <v>2260</v>
      </c>
      <c r="F75" s="2506" t="s">
        <v>2261</v>
      </c>
      <c r="G75" s="220" t="s">
        <v>2262</v>
      </c>
      <c r="H75" s="221"/>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8" t="s">
        <v>777</v>
      </c>
      <c r="B76" s="222" t="s">
        <v>2263</v>
      </c>
      <c r="C76" s="201">
        <f>IF(F75="购房发票",ROUND(C75*H75*D76,0),0)</f>
        <v>0</v>
      </c>
      <c r="D76" s="223">
        <v>0.05</v>
      </c>
      <c r="E76" s="3070" t="s">
        <v>2264</v>
      </c>
      <c r="F76" s="3047"/>
      <c r="G76" s="3047"/>
      <c r="H76" s="309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8" t="s">
        <v>778</v>
      </c>
      <c r="B77" s="199" t="s">
        <v>2265</v>
      </c>
      <c r="C77" s="201">
        <f>ROUND(IF(G77="个人住宅",0,IF(G77="2016年5月1日前购买",C75*D77,C75*D77/(1+'数据-取费表'!C42))),0)</f>
        <v>0</v>
      </c>
      <c r="D77" s="224">
        <f>'数据-取费表'!B48+'数据-取费表'!B49</f>
        <v>3.0499999999999999E-2</v>
      </c>
      <c r="E77" s="15" t="s">
        <v>2266</v>
      </c>
      <c r="F77" s="225"/>
      <c r="G77" s="2508" t="s">
        <v>2267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8" t="s">
        <v>771</v>
      </c>
      <c r="B78" s="199" t="s">
        <v>2268</v>
      </c>
      <c r="C78" s="226">
        <f ca="1">ROUND(D45*D78/(1+'数据-取费表'!C42),0)</f>
        <v>677</v>
      </c>
      <c r="D78" s="227">
        <f>'数据-取费表'!B43</f>
        <v>5.000000000000001E-3</v>
      </c>
      <c r="E78" s="3056" t="s">
        <v>2269</v>
      </c>
      <c r="F78" s="3057"/>
      <c r="G78" s="3057"/>
      <c r="H78" s="306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5" t="s">
        <v>2270</v>
      </c>
      <c r="C79" s="208">
        <f ca="1">C72-C73</f>
        <v>134643</v>
      </c>
      <c r="D79" s="201" t="s">
        <v>32</v>
      </c>
      <c r="E79" s="1801"/>
      <c r="F79" s="1795"/>
      <c r="G79" s="1795"/>
      <c r="H79" s="217"/>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5" t="s">
        <v>2271</v>
      </c>
      <c r="C80" s="228">
        <f ca="1">IF(C79&lt;=0,0,C79/C73)</f>
        <v>198.88183161004432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7"/>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10" t="s">
        <v>2272</v>
      </c>
      <c r="C81" s="229">
        <f ca="1">ROUND(IF(C79&lt;=0,0,IF(C80&gt;=200%,C79*60%-C73*35%,IF(C80&gt;=100%,C79*50%-C73*15%,IF(C80&gt;=50%,C79*40%-C73*5%,IF(C80&lt;50%,C79*30%,0))))),0)</f>
        <v>80549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4"/>
      <c r="B82" s="735"/>
      <c r="C82" s="7"/>
      <c r="D82" s="7"/>
      <c r="E82" s="735"/>
      <c r="F82" s="735"/>
      <c r="G82" s="735"/>
      <c r="H82" s="736"/>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096" t="s">
        <v>2273</v>
      </c>
      <c r="B83" s="3097"/>
      <c r="C83" s="3097"/>
      <c r="D83" s="3097"/>
      <c r="E83" s="3097"/>
      <c r="F83" s="3097"/>
      <c r="G83" s="3097"/>
      <c r="H83" s="309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75" t="s">
        <v>2236</v>
      </c>
      <c r="B84" s="3076"/>
      <c r="C84" s="1802"/>
      <c r="D84" s="1802" t="s">
        <v>2237</v>
      </c>
      <c r="E84" s="214" t="s">
        <v>2238</v>
      </c>
      <c r="F84" s="215"/>
      <c r="G84" s="215"/>
      <c r="H84" s="234"/>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4" t="s">
        <v>775</v>
      </c>
      <c r="B85" s="205" t="s">
        <v>2256</v>
      </c>
      <c r="C85" s="208">
        <f ca="1">ROUND(D45/(1+'数据-取费表'!C42),0)</f>
        <v>135320</v>
      </c>
      <c r="D85" s="201" t="s">
        <v>32</v>
      </c>
      <c r="E85" s="1801"/>
      <c r="F85" s="1795"/>
      <c r="G85" s="1795"/>
      <c r="H85" s="235"/>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4" t="s">
        <v>772</v>
      </c>
      <c r="B86" s="174" t="s">
        <v>2257</v>
      </c>
      <c r="C86" s="208">
        <f ca="1">IF(H88="仅含出让金",C87+C90+C91+C92+C93+C94,C87+C91+C92+C93+C94)</f>
        <v>677</v>
      </c>
      <c r="D86" s="236"/>
      <c r="E86" s="1801"/>
      <c r="F86" s="1795"/>
      <c r="G86" s="1795"/>
      <c r="H86" s="235"/>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8" t="s">
        <v>770</v>
      </c>
      <c r="B87" s="199" t="s">
        <v>2274</v>
      </c>
      <c r="C87" s="226">
        <f>C88+C89</f>
        <v>0</v>
      </c>
      <c r="D87" s="227"/>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8" t="s">
        <v>776</v>
      </c>
      <c r="B88" s="199" t="s">
        <v>2275</v>
      </c>
      <c r="C88" s="237"/>
      <c r="D88" s="227"/>
      <c r="E88" s="238" t="s">
        <v>2276</v>
      </c>
      <c r="F88" s="1798"/>
      <c r="G88" s="239"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8" t="s">
        <v>777</v>
      </c>
      <c r="B89" s="199" t="s">
        <v>2265</v>
      </c>
      <c r="C89" s="226">
        <f>ROUND(C88*D89,0)</f>
        <v>0</v>
      </c>
      <c r="D89" s="227">
        <f>'数据-取费表'!B48+'数据-取费表'!B49</f>
        <v>3.0499999999999999E-2</v>
      </c>
      <c r="E89" s="238" t="s">
        <v>2278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8" t="s">
        <v>771</v>
      </c>
      <c r="B90" s="199" t="s">
        <v>2279</v>
      </c>
      <c r="C90" s="237"/>
      <c r="D90" s="227"/>
      <c r="E90" s="238"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8" t="s">
        <v>2280</v>
      </c>
      <c r="B91" s="199" t="s">
        <v>2281</v>
      </c>
      <c r="C91" s="226">
        <f>IF(H91="——",成本法!C33,I91)</f>
        <v>0</v>
      </c>
      <c r="D91" s="227"/>
      <c r="E91" s="3056" t="s">
        <v>2282</v>
      </c>
      <c r="F91" s="3057"/>
      <c r="G91" s="3057"/>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8" t="s">
        <v>2284</v>
      </c>
      <c r="B92" s="199" t="s">
        <v>2285</v>
      </c>
      <c r="C92" s="226">
        <f>ROUND((C87+C90+C91)*D92,0)</f>
        <v>0</v>
      </c>
      <c r="D92" s="227">
        <v>0.1</v>
      </c>
      <c r="E92" s="3056" t="s">
        <v>2286</v>
      </c>
      <c r="F92" s="3057"/>
      <c r="G92" s="3057"/>
      <c r="H92" s="306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8" t="s">
        <v>2287</v>
      </c>
      <c r="B93" s="199" t="s">
        <v>2268</v>
      </c>
      <c r="C93" s="226">
        <f ca="1">ROUND(D45*D93/(1+'数据-取费表'!C42),0)</f>
        <v>677</v>
      </c>
      <c r="D93" s="227">
        <f>'数据-取费表'!B43</f>
        <v>5.000000000000001E-3</v>
      </c>
      <c r="E93" s="3056" t="s">
        <v>2269</v>
      </c>
      <c r="F93" s="3057"/>
      <c r="G93" s="3057"/>
      <c r="H93" s="306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8" t="s">
        <v>2288</v>
      </c>
      <c r="B94" s="199" t="s">
        <v>2289</v>
      </c>
      <c r="C94" s="237">
        <f>ROUND((C87+C90+C91)*D94,0)</f>
        <v>0</v>
      </c>
      <c r="D94" s="227">
        <v>0.2</v>
      </c>
      <c r="E94" s="3067" t="s">
        <v>2290</v>
      </c>
      <c r="F94" s="3068"/>
      <c r="G94" s="3068"/>
      <c r="H94" s="306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5" t="s">
        <v>2270</v>
      </c>
      <c r="C95" s="208">
        <f ca="1">ROUND(C85-C86,0)</f>
        <v>134643</v>
      </c>
      <c r="D95" s="201" t="s">
        <v>32</v>
      </c>
      <c r="E95" s="1801"/>
      <c r="F95" s="1795"/>
      <c r="G95" s="1795"/>
      <c r="H95" s="235"/>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5" t="s">
        <v>2271</v>
      </c>
      <c r="C96" s="228">
        <f ca="1">IF(C95&lt;=0,0,C95/C86)</f>
        <v>198.88183161004432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5"/>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10" t="s">
        <v>2272</v>
      </c>
      <c r="C97" s="229">
        <f ca="1">ROUND(IF(C95&lt;=0,0,IF(C96&gt;=200%,C95*60%-C86*35%,IF(C96&gt;=100%,C95*50%-C86*15%,IF(C96&gt;=50%,C95*40%-C86*5%,IF(C96&lt;50%,C95*30%,0))))),0)</f>
        <v>80549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6"/>
      <c r="F98" s="2166"/>
      <c r="G98" s="2166"/>
      <c r="H98" s="2165"/>
      <c r="I98" s="138"/>
    </row>
    <row r="99" spans="1:35" ht="21.75" customHeight="1" thickBot="1">
      <c r="A99" s="2469" t="s">
        <v>2291</v>
      </c>
      <c r="B99" s="2413"/>
      <c r="C99" s="2413"/>
      <c r="D99" s="2413"/>
      <c r="E99" s="2166"/>
      <c r="F99" s="2166"/>
      <c r="G99" s="2166"/>
      <c r="H99" s="2165"/>
      <c r="I99" s="138"/>
    </row>
    <row r="100" spans="1:35" ht="18.75" customHeight="1">
      <c r="A100" s="3043" t="s">
        <v>2292</v>
      </c>
      <c r="B100" s="3044"/>
      <c r="C100" s="3044"/>
      <c r="D100" s="3058"/>
      <c r="E100" s="3044" t="s">
        <v>2293</v>
      </c>
      <c r="F100" s="3044"/>
      <c r="G100" s="3044"/>
      <c r="H100" s="3058"/>
      <c r="I100" s="138"/>
    </row>
    <row r="101" spans="1:35" ht="18.75" customHeight="1">
      <c r="A101" s="3120" t="s">
        <v>2294</v>
      </c>
      <c r="B101" s="3121"/>
      <c r="C101" s="737" t="str">
        <f>C4</f>
        <v>成本法</v>
      </c>
      <c r="D101" s="738" t="str">
        <f>D4</f>
        <v>收益法（汇总）</v>
      </c>
      <c r="E101" s="3134" t="s">
        <v>2295</v>
      </c>
      <c r="F101" s="3088"/>
      <c r="G101" s="2515" t="s">
        <v>2296</v>
      </c>
      <c r="H101" s="1045">
        <f ca="1">H118</f>
        <v>142086</v>
      </c>
      <c r="I101" s="138"/>
    </row>
    <row r="102" spans="1:35" ht="18.75" customHeight="1">
      <c r="A102" s="3090" t="s">
        <v>2297</v>
      </c>
      <c r="B102" s="2515" t="s">
        <v>2296</v>
      </c>
      <c r="C102" s="737">
        <f ca="1">C19</f>
        <v>153616</v>
      </c>
      <c r="D102" s="738">
        <f ca="1">D19</f>
        <v>95966</v>
      </c>
      <c r="E102" s="3134"/>
      <c r="F102" s="3088"/>
      <c r="G102" s="2515" t="s">
        <v>2298</v>
      </c>
      <c r="H102" s="372">
        <f ca="1">I118</f>
        <v>21822</v>
      </c>
      <c r="I102" s="138"/>
    </row>
    <row r="103" spans="1:35" ht="42.75" customHeight="1">
      <c r="A103" s="3090"/>
      <c r="B103" s="2515" t="s">
        <v>2298</v>
      </c>
      <c r="C103" s="739">
        <f ca="1">C20</f>
        <v>23593</v>
      </c>
      <c r="D103" s="740">
        <f ca="1">D20</f>
        <v>14739</v>
      </c>
      <c r="E103" s="3129" t="s">
        <v>2299</v>
      </c>
      <c r="F103" s="3130"/>
      <c r="G103" s="2516" t="s">
        <v>2300</v>
      </c>
      <c r="H103" s="1045">
        <f>IF(D36="正常操作",H104+H105+H106,H105+H106)</f>
        <v>0</v>
      </c>
      <c r="I103" s="138"/>
    </row>
    <row r="104" spans="1:35" ht="18.75" customHeight="1">
      <c r="A104" s="3090" t="s">
        <v>2301</v>
      </c>
      <c r="B104" s="2517" t="s">
        <v>2296</v>
      </c>
      <c r="C104" s="741">
        <f ca="1">H118</f>
        <v>142086</v>
      </c>
      <c r="D104" s="742"/>
      <c r="E104" s="2265" t="s">
        <v>2302</v>
      </c>
      <c r="F104" s="2257"/>
      <c r="G104" s="2516" t="s">
        <v>2300</v>
      </c>
      <c r="H104" s="1046">
        <f>IF(D36="同一抵押权人同一抵押物续贷",C36&amp;"（未扣减，详见特别提示）",C36)</f>
        <v>0</v>
      </c>
      <c r="I104" s="138"/>
    </row>
    <row r="105" spans="1:35" ht="18.75" customHeight="1" thickBot="1">
      <c r="A105" s="3091"/>
      <c r="B105" s="2518" t="s">
        <v>2298</v>
      </c>
      <c r="C105" s="743">
        <f ca="1">I118</f>
        <v>21822</v>
      </c>
      <c r="D105" s="744"/>
      <c r="E105" s="2265" t="s">
        <v>2303</v>
      </c>
      <c r="F105" s="2257"/>
      <c r="G105" s="2516" t="s">
        <v>2300</v>
      </c>
      <c r="H105" s="1046">
        <f>C37</f>
        <v>0</v>
      </c>
      <c r="I105" s="138"/>
    </row>
    <row r="106" spans="1:35" ht="18.75" customHeight="1">
      <c r="A106" s="2413" t="s">
        <v>2304</v>
      </c>
      <c r="B106" s="2413"/>
      <c r="C106" s="2413"/>
      <c r="D106" s="2413"/>
      <c r="E106" s="2519" t="s">
        <v>2305</v>
      </c>
      <c r="F106" s="2257"/>
      <c r="G106" s="2516" t="s">
        <v>2300</v>
      </c>
      <c r="H106" s="1046">
        <f>C38</f>
        <v>0</v>
      </c>
      <c r="I106" s="138"/>
    </row>
    <row r="107" spans="1:35" ht="18.75" customHeight="1">
      <c r="A107" s="138"/>
      <c r="B107" s="138"/>
      <c r="C107" s="138"/>
      <c r="D107" s="138"/>
      <c r="E107" s="3087" t="str">
        <f>IF(项目基本情况!E8="已注销","——","3.房地产抵押价值")</f>
        <v>3.房地产抵押价值</v>
      </c>
      <c r="F107" s="3088"/>
      <c r="G107" s="2515" t="s">
        <v>2296</v>
      </c>
      <c r="H107" s="1045">
        <f ca="1">IF(E107="——","——",H101-H103)</f>
        <v>142086</v>
      </c>
      <c r="I107" s="138"/>
    </row>
    <row r="108" spans="1:35" ht="18.75" customHeight="1">
      <c r="A108" s="138"/>
      <c r="B108" s="138"/>
      <c r="C108" s="138"/>
      <c r="D108" s="138"/>
      <c r="E108" s="3087"/>
      <c r="F108" s="3088"/>
      <c r="G108" s="2515" t="s">
        <v>2298</v>
      </c>
      <c r="H108" s="372">
        <f ca="1">ROUND(H107*10000/'数据-汇总表'!E3,0)</f>
        <v>21822</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15" t="s">
        <v>2296</v>
      </c>
      <c r="H109" s="349" t="str">
        <f>IF(E109="——","——",H101-H105-H106)</f>
        <v>——</v>
      </c>
      <c r="I109" s="138"/>
    </row>
    <row r="110" spans="1:35" ht="18.75" customHeight="1">
      <c r="A110" s="138"/>
      <c r="B110" s="138"/>
      <c r="C110" s="138"/>
      <c r="D110" s="138"/>
      <c r="E110" s="3087"/>
      <c r="F110" s="3088"/>
      <c r="G110" s="2515" t="s">
        <v>2298</v>
      </c>
      <c r="H110" s="372"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5" t="s">
        <v>2296</v>
      </c>
      <c r="H111" s="1045" t="str">
        <f>IF(E111="——","——",N59)</f>
        <v>——</v>
      </c>
      <c r="I111" s="138"/>
    </row>
    <row r="112" spans="1:35" ht="18.75" customHeight="1" thickBot="1">
      <c r="A112" s="138"/>
      <c r="B112" s="138"/>
      <c r="C112" s="138"/>
      <c r="D112" s="138"/>
      <c r="E112" s="3124"/>
      <c r="F112" s="3125"/>
      <c r="G112" s="2520" t="s">
        <v>2298</v>
      </c>
      <c r="H112" s="791" t="str">
        <f>IF(E111="——","——",N61)</f>
        <v>——</v>
      </c>
      <c r="I112" s="138"/>
    </row>
    <row r="113" spans="1:11" ht="18.75" customHeight="1">
      <c r="A113" s="138"/>
      <c r="B113" s="138"/>
      <c r="C113" s="138"/>
      <c r="D113" s="138"/>
      <c r="E113" s="3092" t="s">
        <v>2304</v>
      </c>
      <c r="F113" s="3092"/>
      <c r="G113" s="3092"/>
      <c r="H113" s="3092"/>
      <c r="I113" s="138"/>
    </row>
    <row r="114" spans="1:11" ht="3.75" customHeight="1">
      <c r="A114" s="2413"/>
      <c r="B114" s="2413"/>
      <c r="C114" s="2413"/>
      <c r="D114" s="2413"/>
      <c r="E114" s="2491"/>
      <c r="F114" s="2491"/>
      <c r="G114" s="2491"/>
      <c r="H114" s="2491"/>
      <c r="I114" s="2413"/>
    </row>
    <row r="115" spans="1:11" ht="18.75" customHeight="1">
      <c r="A115" s="3105" t="s">
        <v>2306</v>
      </c>
      <c r="B115" s="3106"/>
      <c r="C115" s="3106"/>
      <c r="D115" s="3106"/>
      <c r="E115" s="3106"/>
      <c r="F115" s="3106"/>
      <c r="G115" s="3106"/>
      <c r="H115" s="3106"/>
      <c r="I115" s="3107"/>
    </row>
    <row r="116" spans="1:11" ht="27" customHeight="1">
      <c r="A116" s="3000" t="s">
        <v>2307</v>
      </c>
      <c r="B116" s="3093" t="s">
        <v>2308</v>
      </c>
      <c r="C116" s="3093" t="s">
        <v>2309</v>
      </c>
      <c r="D116" s="3109" t="s">
        <v>2310</v>
      </c>
      <c r="E116" s="3110"/>
      <c r="F116" s="3101" t="s">
        <v>3146</v>
      </c>
      <c r="G116" s="3101"/>
      <c r="H116" s="3000" t="s">
        <v>2311</v>
      </c>
      <c r="I116" s="3000"/>
    </row>
    <row r="117" spans="1:11" ht="18.75" customHeight="1">
      <c r="A117" s="3000"/>
      <c r="B117" s="3094"/>
      <c r="C117" s="3094"/>
      <c r="D117" s="1796" t="s">
        <v>2312</v>
      </c>
      <c r="E117" s="1796" t="s">
        <v>2313</v>
      </c>
      <c r="F117" s="1796" t="s">
        <v>2312</v>
      </c>
      <c r="G117" s="1796" t="s">
        <v>2314</v>
      </c>
      <c r="H117" s="1796" t="s">
        <v>2312</v>
      </c>
      <c r="I117" s="1796" t="s">
        <v>2314</v>
      </c>
    </row>
    <row r="118" spans="1:11" ht="24.75" customHeight="1">
      <c r="A118" s="2521" t="str">
        <f>项目基本情况!S2</f>
        <v>北京市昌平区黄平路19号院3号楼商业及地下车库用房房地产</v>
      </c>
      <c r="B118" s="1796">
        <f>M18</f>
        <v>65110.920000000006</v>
      </c>
      <c r="C118" s="1796">
        <f>M19</f>
        <v>17111.18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142086</v>
      </c>
      <c r="I118" s="1796">
        <f ca="1">ROUND(IF(D32="楼面单价",C32,H118*10000/B118),0)</f>
        <v>21822</v>
      </c>
    </row>
    <row r="119" spans="1:11" ht="18.75" customHeight="1">
      <c r="A119" s="3000" t="s">
        <v>2315</v>
      </c>
      <c r="B119" s="3000"/>
      <c r="C119" s="3000"/>
      <c r="D119" s="3098" t="e">
        <f ca="1">NUMBERSTRING(INT(D118*10000),2)&amp;"元整"</f>
        <v>#REF!</v>
      </c>
      <c r="E119" s="3100"/>
      <c r="F119" s="3098" t="e">
        <f ca="1">NUMBERSTRING(INT(F118*10000),2)&amp;"元整"</f>
        <v>#REF!</v>
      </c>
      <c r="G119" s="3100"/>
      <c r="H119" s="3098" t="str">
        <f ca="1">NUMBERSTRING(INT(H118*10000),2)&amp;"元整"</f>
        <v>壹拾肆亿贰仟零捌拾陆万元整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18" t="str">
        <f>IF(D120=0,"故，本次评估不存在"&amp;A120,"故，本次评估"&amp;A120&amp;"为人民币"&amp;D120&amp;"万元整。")</f>
        <v>故，本次评估不存在估价师知悉的法定优先受偿款</v>
      </c>
    </row>
    <row r="121" spans="1:11" ht="18.75" customHeight="1">
      <c r="A121" s="3102" t="s">
        <v>2315</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142086</v>
      </c>
      <c r="E122" s="3127"/>
      <c r="F122" s="3127"/>
      <c r="G122" s="3127"/>
      <c r="H122" s="3127"/>
      <c r="I122" s="3128"/>
    </row>
    <row r="123" spans="1:11" ht="18.75" customHeight="1">
      <c r="A123" s="3000" t="s">
        <v>2315</v>
      </c>
      <c r="B123" s="3000"/>
      <c r="C123" s="3000"/>
      <c r="D123" s="3098" t="str">
        <f ca="1">NUMBERSTRING(INT(D122*10000),2)&amp;"元整"</f>
        <v>壹拾肆亿贰仟零捌拾陆万元整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3000" t="s">
        <v>2315</v>
      </c>
      <c r="B125" s="3000"/>
      <c r="C125" s="3000"/>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3000" t="s">
        <v>2315</v>
      </c>
      <c r="B127" s="3000"/>
      <c r="C127" s="3000"/>
      <c r="D127" s="3098" t="e">
        <f>NUMBERSTRING(INT(D126*10000),2)&amp;"元整"</f>
        <v>#VALUE!</v>
      </c>
      <c r="E127" s="3099"/>
      <c r="F127" s="3099"/>
      <c r="G127" s="3099"/>
      <c r="H127" s="3099"/>
      <c r="I127" s="3100"/>
    </row>
    <row r="128" spans="1:11" ht="21.75" customHeight="1">
      <c r="A128" s="3108" t="s">
        <v>2316</v>
      </c>
      <c r="B128" s="3108"/>
      <c r="C128" s="3108"/>
      <c r="D128" s="3108"/>
      <c r="E128" s="3108"/>
      <c r="F128" s="3108"/>
      <c r="G128" s="3108"/>
      <c r="H128" s="3108"/>
      <c r="I128" s="3108"/>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6"/>
    </row>
    <row r="135" spans="1:35" ht="21.75" customHeight="1">
      <c r="A135" s="796"/>
      <c r="B135" s="796"/>
      <c r="C135" s="796"/>
      <c r="D135" s="796"/>
      <c r="E135" s="796"/>
      <c r="F135" s="2538" t="s">
        <v>2319</v>
      </c>
      <c r="G135" s="2539"/>
      <c r="H135" s="2539"/>
      <c r="I135" s="2540" t="s">
        <v>2320</v>
      </c>
    </row>
    <row r="136" spans="1:35" ht="21.75" customHeight="1">
      <c r="A136" s="796"/>
      <c r="B136" s="2541"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39"/>
      <c r="C138" s="2539"/>
      <c r="D138" s="2539"/>
      <c r="E138" s="2539"/>
      <c r="F138" s="2539"/>
      <c r="G138" s="2539"/>
      <c r="H138" s="2539"/>
      <c r="I138" s="2540" t="s">
        <v>2322</v>
      </c>
    </row>
    <row r="139" spans="1:35" ht="21.75" customHeight="1">
      <c r="A139" s="796"/>
      <c r="B139" s="2541" t="s">
        <v>2323</v>
      </c>
      <c r="C139" s="796"/>
      <c r="D139" s="796"/>
      <c r="E139" s="796"/>
      <c r="F139" s="796"/>
      <c r="G139" s="796"/>
      <c r="H139" s="796"/>
      <c r="I139" s="796"/>
    </row>
    <row r="140" spans="1:35" ht="21.75" customHeight="1">
      <c r="A140" s="796"/>
      <c r="B140" s="2541"/>
      <c r="C140" s="796"/>
      <c r="D140" s="796"/>
      <c r="E140" s="796"/>
      <c r="F140" s="796"/>
      <c r="G140" s="796"/>
      <c r="H140" s="796"/>
      <c r="I140" s="796"/>
    </row>
    <row r="141" spans="1:35" ht="21.75" customHeight="1">
      <c r="A141" s="796"/>
      <c r="B141" s="2539"/>
      <c r="C141" s="2539"/>
      <c r="D141" s="2539"/>
      <c r="E141" s="2539"/>
      <c r="F141" s="2539"/>
      <c r="G141" s="2539"/>
      <c r="H141" s="2539"/>
      <c r="I141" s="2540" t="s">
        <v>2322</v>
      </c>
    </row>
    <row r="142" spans="1:35" ht="21.75" customHeight="1">
      <c r="A142" s="796"/>
      <c r="B142" s="2541"/>
      <c r="C142" s="2542"/>
      <c r="D142" s="2543"/>
      <c r="E142" s="2543"/>
      <c r="F142" s="2339"/>
      <c r="G142" s="796"/>
      <c r="H142" s="796"/>
      <c r="I142" s="796"/>
    </row>
    <row r="143" spans="1:35" s="139" customFormat="1" ht="21.75" customHeight="1">
      <c r="A143" s="796"/>
      <c r="B143" s="2541"/>
      <c r="C143" s="2542"/>
      <c r="D143" s="2543"/>
      <c r="E143" s="2543"/>
      <c r="F143" s="2339"/>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topLeftCell="A25" zoomScale="90" zoomScaleNormal="90" zoomScaleSheetLayoutView="90" workbookViewId="0">
      <selection activeCell="I34" sqref="I3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3140</v>
      </c>
      <c r="D1" s="1821" t="s">
        <v>70</v>
      </c>
      <c r="E1" s="1822" t="s">
        <v>1388</v>
      </c>
      <c r="F1" s="1283">
        <f ca="1">J53</f>
        <v>30.87</v>
      </c>
      <c r="G1" s="1837">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19841</v>
      </c>
      <c r="C2" s="1846" t="s">
        <v>1518</v>
      </c>
      <c r="D2" s="1846"/>
      <c r="E2" s="1847"/>
      <c r="F2" s="1848"/>
      <c r="G2" s="1849"/>
      <c r="H2" s="1841"/>
      <c r="I2" s="1841"/>
      <c r="J2" s="1841"/>
      <c r="K2" s="1842"/>
      <c r="L2" s="1841"/>
      <c r="M2" s="1841"/>
    </row>
    <row r="3" spans="1:37" ht="18" customHeight="1" thickBot="1">
      <c r="A3" s="1850" t="s">
        <v>1519</v>
      </c>
      <c r="B3" s="1851">
        <f ca="1">IF(ISERROR(B2*10000/F43),0,ROUND(B2*10000/F43,0))</f>
        <v>14050</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980</v>
      </c>
      <c r="D5" s="1823" t="s">
        <v>1403</v>
      </c>
      <c r="E5" s="1293"/>
      <c r="F5" s="1294"/>
      <c r="G5" s="1852"/>
      <c r="H5" s="345">
        <v>1</v>
      </c>
      <c r="I5" s="346" t="s">
        <v>1402</v>
      </c>
      <c r="J5" s="1292">
        <f ca="1">J6+J10+J12</f>
        <v>0</v>
      </c>
      <c r="K5" s="1823" t="s">
        <v>1403</v>
      </c>
      <c r="L5" s="1293"/>
      <c r="M5" s="1294"/>
    </row>
    <row r="6" spans="1:37" ht="18" customHeight="1">
      <c r="A6" s="1291" t="s">
        <v>1035</v>
      </c>
      <c r="B6" s="3140" t="s">
        <v>1404</v>
      </c>
      <c r="C6" s="1296">
        <f ca="1">ROUND(F6*F8*F7*(1-F9)/10000,0)</f>
        <v>979</v>
      </c>
      <c r="D6" s="165" t="s">
        <v>3032</v>
      </c>
      <c r="E6" s="348" t="s">
        <v>1406</v>
      </c>
      <c r="F6" s="349">
        <f ca="1">INDIRECT("'数据-取费表'!u"&amp;$G$1)</f>
        <v>2</v>
      </c>
      <c r="G6" s="1852"/>
      <c r="H6" s="1291" t="s">
        <v>1035</v>
      </c>
      <c r="I6" s="3140" t="s">
        <v>1404</v>
      </c>
      <c r="J6" s="347">
        <f ca="1">ROUND(M6*M8*M7*(1-M9)/10000,0)</f>
        <v>0</v>
      </c>
      <c r="K6" s="165" t="s">
        <v>3031</v>
      </c>
      <c r="L6" s="348" t="s">
        <v>1406</v>
      </c>
      <c r="M6" s="349">
        <f ca="1">INDIRECT("'数据-取费表'!z"&amp;$G$1)</f>
        <v>0</v>
      </c>
    </row>
    <row r="7" spans="1:37" ht="18" customHeight="1">
      <c r="A7" s="1295"/>
      <c r="B7" s="3141"/>
      <c r="C7" s="1297"/>
      <c r="D7" s="353"/>
      <c r="E7" s="2922" t="s">
        <v>1407</v>
      </c>
      <c r="F7" s="349">
        <f ca="1">IF(INDIRECT("'数据-取费表'!ah"&amp;$G$1)="",INDIRECT("'数据-取费表'!k"&amp;$G$1),INDIRECT("'数据-取费表'!ah"&amp;$G$1))</f>
        <v>14121.230000000001</v>
      </c>
      <c r="G7" s="1852"/>
      <c r="H7" s="350"/>
      <c r="I7" s="3141"/>
      <c r="J7" s="352"/>
      <c r="K7" s="353"/>
      <c r="L7" s="348" t="s">
        <v>1407</v>
      </c>
      <c r="M7" s="349">
        <f ca="1">F7</f>
        <v>14121.230000000001</v>
      </c>
    </row>
    <row r="8" spans="1:37" ht="18" customHeight="1">
      <c r="A8" s="350"/>
      <c r="B8" s="3141"/>
      <c r="C8" s="352"/>
      <c r="D8" s="353"/>
      <c r="E8" s="348" t="s">
        <v>1408</v>
      </c>
      <c r="F8" s="349">
        <f ca="1">INDIRECT("'数据-取费表'!ai"&amp;$G$1)</f>
        <v>365</v>
      </c>
      <c r="G8" s="1852"/>
      <c r="H8" s="350"/>
      <c r="I8" s="3141"/>
      <c r="J8" s="352"/>
      <c r="K8" s="353"/>
      <c r="L8" s="348" t="s">
        <v>1408</v>
      </c>
      <c r="M8" s="349">
        <f ca="1">INDIRECT("'数据-取费表'!ai"&amp;$G$1)</f>
        <v>365</v>
      </c>
    </row>
    <row r="9" spans="1:37" ht="18" customHeight="1">
      <c r="A9" s="350"/>
      <c r="B9" s="3142"/>
      <c r="C9" s="352"/>
      <c r="D9" s="353"/>
      <c r="E9" s="348" t="s">
        <v>1409</v>
      </c>
      <c r="F9" s="358">
        <f ca="1">INDIRECT("'数据-取费表'!w"&amp;$G$1)</f>
        <v>0.05</v>
      </c>
      <c r="G9" s="1852"/>
      <c r="H9" s="350"/>
      <c r="I9" s="3142"/>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1</v>
      </c>
      <c r="D10" s="1825" t="s">
        <v>3028</v>
      </c>
      <c r="E10" s="359" t="s">
        <v>1412</v>
      </c>
      <c r="F10" s="1366" t="s">
        <v>3122</v>
      </c>
      <c r="G10" s="1852"/>
      <c r="H10" s="1291" t="s">
        <v>1039</v>
      </c>
      <c r="I10" s="1824" t="s">
        <v>1410</v>
      </c>
      <c r="J10" s="347">
        <f ca="1">ROUND(IF(M10="押一",M6*M8*M7/12*M11,IF(M10="押二",M6*M8*M7/12*2*M11,IF(M10="押三",M6*M8*M7/12*3*M11,J11*M11)))/10000,0)</f>
        <v>0</v>
      </c>
      <c r="K10" s="1825" t="s">
        <v>3028</v>
      </c>
      <c r="L10" s="359" t="s">
        <v>1412</v>
      </c>
      <c r="M10" s="1366" t="s">
        <v>3122</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9312</v>
      </c>
      <c r="D13" s="1331" t="s">
        <v>1417</v>
      </c>
      <c r="E13" s="1331" t="s">
        <v>1418</v>
      </c>
      <c r="F13" s="1332">
        <f ca="1">INDIRECT("'数据-取费表'!y"&amp;$G$1)</f>
        <v>0.92</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6355</v>
      </c>
      <c r="D14" s="2925" t="s">
        <v>1420</v>
      </c>
      <c r="E14" s="2924"/>
      <c r="F14" s="365"/>
      <c r="G14" s="1852"/>
      <c r="H14" s="1201" t="s">
        <v>1035</v>
      </c>
      <c r="I14" s="348" t="s">
        <v>1421</v>
      </c>
      <c r="J14" s="24">
        <f ca="1">C29</f>
        <v>10122</v>
      </c>
      <c r="K14" s="2921"/>
      <c r="L14" s="979"/>
      <c r="M14" s="980"/>
    </row>
    <row r="15" spans="1:37" s="1859" customFormat="1" ht="18" customHeight="1" thickBot="1">
      <c r="A15" s="1201" t="s">
        <v>1036</v>
      </c>
      <c r="B15" s="348" t="s">
        <v>1422</v>
      </c>
      <c r="C15" s="24">
        <f ca="1">ROUND(C14*F15,0)</f>
        <v>318</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96</v>
      </c>
      <c r="K16" s="1337" t="s">
        <v>1427</v>
      </c>
      <c r="L16" s="2927"/>
      <c r="M16" s="1294"/>
    </row>
    <row r="17" spans="1:37" s="1859" customFormat="1" ht="18" customHeight="1">
      <c r="A17" s="1201" t="s">
        <v>1391</v>
      </c>
      <c r="B17" s="348" t="s">
        <v>1428</v>
      </c>
      <c r="C17" s="24">
        <f ca="1">ROUND(F17*(F43+INDIRECT("'数据-取费表'!S"&amp;$G$1))/10000,0)</f>
        <v>282</v>
      </c>
      <c r="D17" s="348" t="s">
        <v>1429</v>
      </c>
      <c r="E17" s="348" t="s">
        <v>1430</v>
      </c>
      <c r="F17" s="26">
        <f>'数据-取费表'!B35</f>
        <v>200</v>
      </c>
      <c r="G17" s="1855"/>
      <c r="H17" s="1201" t="s">
        <v>1035</v>
      </c>
      <c r="I17" s="348" t="s">
        <v>1431</v>
      </c>
      <c r="J17" s="24">
        <f ca="1">ROUND(IF(项目基本情况!B11="自然人",J5*M17,J18+J19+J20),1)</f>
        <v>85.6</v>
      </c>
      <c r="K17" s="2925" t="s">
        <v>1432</v>
      </c>
      <c r="L17" s="2926"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95</v>
      </c>
      <c r="D18" s="348" t="s">
        <v>1423</v>
      </c>
      <c r="E18" s="348" t="s">
        <v>1424</v>
      </c>
      <c r="F18" s="368">
        <f>'数据-取费表'!B36</f>
        <v>1.4999999999999999E-2</v>
      </c>
      <c r="G18" s="1855"/>
      <c r="H18" s="1201" t="s">
        <v>1034</v>
      </c>
      <c r="I18" s="348" t="s">
        <v>1435</v>
      </c>
      <c r="J18" s="24">
        <f ca="1">ROUND(J5*M18/(1+'数据-取费表'!C42),2)</f>
        <v>0</v>
      </c>
      <c r="K18" s="2926"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7050</v>
      </c>
      <c r="D19" s="140" t="s">
        <v>1438</v>
      </c>
      <c r="E19" s="2920"/>
      <c r="F19" s="26"/>
      <c r="G19" s="1852"/>
      <c r="H19" s="1201" t="s">
        <v>1036</v>
      </c>
      <c r="I19" s="348" t="s">
        <v>1439</v>
      </c>
      <c r="J19" s="24">
        <f ca="1">IF(K19="按租金收入计税",ROUND(J5*M19,2),ROUND(C29*M19*0.7,2))</f>
        <v>85.02</v>
      </c>
      <c r="K19" s="1829" t="s">
        <v>1440</v>
      </c>
      <c r="L19" s="348" t="s">
        <v>1424</v>
      </c>
      <c r="M19" s="368">
        <f>IF(K19="按租金收入计税",'数据-取费表'!B51,'数据-取费表'!B50)</f>
        <v>1.2E-2</v>
      </c>
    </row>
    <row r="20" spans="1:37" s="1859" customFormat="1" ht="18" customHeight="1">
      <c r="A20" s="1201" t="s">
        <v>1039</v>
      </c>
      <c r="B20" s="348" t="s">
        <v>1441</v>
      </c>
      <c r="C20" s="24">
        <f ca="1">ROUND(C19*F20,0)</f>
        <v>71</v>
      </c>
      <c r="D20" s="370" t="s">
        <v>1442</v>
      </c>
      <c r="E20" s="348" t="s">
        <v>1424</v>
      </c>
      <c r="F20" s="368">
        <f>'数据-取费表'!B37</f>
        <v>0.01</v>
      </c>
      <c r="G20" s="1855"/>
      <c r="H20" s="1201" t="s">
        <v>1390</v>
      </c>
      <c r="I20" s="165" t="s">
        <v>1443</v>
      </c>
      <c r="J20" s="25">
        <f ca="1">ROUND(M20*M21/10000,2)</f>
        <v>0.56000000000000005</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3711.07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0"/>
      <c r="F22" s="26"/>
      <c r="G22" s="1852"/>
      <c r="H22" s="1201" t="s">
        <v>1039</v>
      </c>
      <c r="I22" s="348" t="s">
        <v>1451</v>
      </c>
      <c r="J22" s="24">
        <f ca="1">ROUND(J14*M22,1)</f>
        <v>10.1</v>
      </c>
      <c r="K22" s="2926" t="s">
        <v>1452</v>
      </c>
      <c r="L22" s="348" t="s">
        <v>1424</v>
      </c>
      <c r="M22" s="375">
        <f ca="1">INDIRECT("'数据-取费表'!Ak"&amp;$G$1)</f>
        <v>1E-3</v>
      </c>
    </row>
    <row r="23" spans="1:37" s="1859" customFormat="1" ht="18" customHeight="1">
      <c r="A23" s="1201" t="s">
        <v>1034</v>
      </c>
      <c r="B23" s="348" t="s">
        <v>1453</v>
      </c>
      <c r="C23" s="24">
        <f ca="1">IF('数据-取费表'!B22&lt;=1,ROUND(C19*F24*F23/2,0)+ROUND(C20*F24*F23/2,0),ROUND(C19*(POWER((1+F24),F23/2)-1),0)+ROUND(C20*(POWER((1+F24),F23/2)-1),0))</f>
        <v>425</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0</v>
      </c>
      <c r="K23" s="2926" t="s">
        <v>1456</v>
      </c>
      <c r="L23" s="348" t="s">
        <v>1424</v>
      </c>
      <c r="M23" s="377">
        <f ca="1">INDIRECT("'数据-取费表'!Al"&amp;$G$1)</f>
        <v>2.5000000000000001E-4</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0</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0"/>
      <c r="F25" s="26"/>
      <c r="G25" s="1852"/>
      <c r="H25" s="1329" t="s">
        <v>1031</v>
      </c>
      <c r="I25" s="1344" t="s">
        <v>1465</v>
      </c>
      <c r="J25" s="356">
        <f ca="1">J5-J16</f>
        <v>-96</v>
      </c>
      <c r="K25" s="1345" t="s">
        <v>1466</v>
      </c>
      <c r="L25" s="1346"/>
      <c r="M25" s="1347"/>
    </row>
    <row r="26" spans="1:37">
      <c r="A26" s="1201" t="s">
        <v>1034</v>
      </c>
      <c r="B26" s="348" t="s">
        <v>1467</v>
      </c>
      <c r="C26" s="24">
        <f ca="1">ROUND((C19+C20)*F26,0)</f>
        <v>1780</v>
      </c>
      <c r="D26" s="370" t="s">
        <v>1468</v>
      </c>
      <c r="E26" s="359" t="s">
        <v>1469</v>
      </c>
      <c r="F26" s="358">
        <f ca="1">INDIRECT("'数据-取费表'!q"&amp;$G$1)</f>
        <v>0.25</v>
      </c>
      <c r="G26" s="1852"/>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10122</v>
      </c>
      <c r="D29" s="1342"/>
      <c r="E29" s="1340"/>
      <c r="F29" s="1343"/>
      <c r="G29" s="1855"/>
      <c r="H29" s="381" t="s">
        <v>1033</v>
      </c>
      <c r="I29" s="382" t="s">
        <v>1481</v>
      </c>
      <c r="J29" s="383">
        <f ca="1">ROUND(J26/(1+F40)^F41,0)</f>
        <v>0</v>
      </c>
      <c r="K29" s="384" t="s">
        <v>1482</v>
      </c>
      <c r="L29" s="385"/>
      <c r="M29" s="386">
        <f ca="1">INDIRECT("'数据-取费表'!k"&amp;$G$1)</f>
        <v>14121.230000000001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159</v>
      </c>
      <c r="D30" s="1337" t="s">
        <v>1427</v>
      </c>
      <c r="E30" s="2927"/>
      <c r="F30" s="1294"/>
      <c r="G30" s="1852"/>
      <c r="H30" s="746"/>
      <c r="I30" s="747"/>
      <c r="J30" s="748"/>
      <c r="K30" s="749"/>
      <c r="L30" s="750"/>
      <c r="M30" s="751"/>
    </row>
    <row r="31" spans="1:37" ht="18" customHeight="1">
      <c r="A31" s="1201" t="s">
        <v>1035</v>
      </c>
      <c r="B31" s="348" t="s">
        <v>1431</v>
      </c>
      <c r="C31" s="24">
        <f ca="1">ROUND(IF(项目基本情况!B11="自然人",C5*F31,C32+C33+C34),1)</f>
        <v>136.9</v>
      </c>
      <c r="D31" s="2925" t="s">
        <v>1432</v>
      </c>
      <c r="E31" s="2926"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51.33</v>
      </c>
      <c r="D32" s="2926"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85.02</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0.56000000000000005</v>
      </c>
      <c r="D34" s="371" t="s">
        <v>1444</v>
      </c>
      <c r="E34" s="348" t="s">
        <v>1445</v>
      </c>
      <c r="F34" s="372">
        <f>'数据-取费表'!B52</f>
        <v>1.5</v>
      </c>
      <c r="G34" s="1852"/>
      <c r="H34" s="746"/>
      <c r="I34" s="1861">
        <f ca="1">C13+'收益法-自用地上商业'!C13+'收益法-车库'!C13+'收益法-出租地上商业'!C13+'收益法-出租地上商业'!J13+'收益法-出租地上商业'!J13</f>
        <v>69998</v>
      </c>
      <c r="J34" s="1862"/>
      <c r="K34" s="1864"/>
      <c r="L34" s="1865"/>
      <c r="M34" s="1865"/>
    </row>
    <row r="35" spans="1:18" ht="18" customHeight="1">
      <c r="A35" s="1353"/>
      <c r="B35" s="1351"/>
      <c r="C35" s="29"/>
      <c r="D35" s="374"/>
      <c r="E35" s="348" t="s">
        <v>1449</v>
      </c>
      <c r="F35" s="349">
        <f ca="1">INDIRECT("'数据-取费表'!r"&amp;$G$1)</f>
        <v>3711.07</v>
      </c>
      <c r="G35" s="1852"/>
      <c r="H35" s="746"/>
      <c r="I35" s="1861"/>
      <c r="J35" s="1862"/>
      <c r="K35" s="1863"/>
      <c r="L35" s="1860"/>
      <c r="M35" s="1860"/>
    </row>
    <row r="36" spans="1:18" ht="18" customHeight="1">
      <c r="A36" s="1352" t="s">
        <v>1039</v>
      </c>
      <c r="B36" s="348" t="s">
        <v>1451</v>
      </c>
      <c r="C36" s="24">
        <f ca="1">ROUND(C29*F36,1)</f>
        <v>10.1</v>
      </c>
      <c r="D36" s="2926" t="s">
        <v>1484</v>
      </c>
      <c r="E36" s="348" t="s">
        <v>1424</v>
      </c>
      <c r="F36" s="375">
        <f ca="1">INDIRECT("'数据-取费表'!Ak"&amp;$G$1)</f>
        <v>1E-3</v>
      </c>
      <c r="G36" s="1852"/>
      <c r="H36" s="1860"/>
      <c r="I36" s="1861"/>
      <c r="J36" s="1862"/>
      <c r="K36" s="752"/>
      <c r="L36" s="1860"/>
      <c r="M36" s="1860"/>
    </row>
    <row r="37" spans="1:18" ht="18" customHeight="1">
      <c r="A37" s="1201" t="s">
        <v>1075</v>
      </c>
      <c r="B37" s="348" t="s">
        <v>1455</v>
      </c>
      <c r="C37" s="24">
        <f ca="1">ROUND(C13*F37,1)</f>
        <v>2.2999999999999998</v>
      </c>
      <c r="D37" s="2926" t="s">
        <v>1456</v>
      </c>
      <c r="E37" s="348" t="s">
        <v>1424</v>
      </c>
      <c r="F37" s="377">
        <f ca="1">INDIRECT("'数据-取费表'!Al"&amp;$G$1)</f>
        <v>2.5000000000000001E-4</v>
      </c>
      <c r="G37" s="1852"/>
      <c r="H37" s="1860"/>
      <c r="I37" s="1861"/>
      <c r="J37" s="1862"/>
      <c r="K37" s="752"/>
      <c r="L37" s="1860"/>
      <c r="M37" s="1860"/>
    </row>
    <row r="38" spans="1:18" ht="18" customHeight="1" thickBot="1">
      <c r="A38" s="1339" t="s">
        <v>1393</v>
      </c>
      <c r="B38" s="1340" t="s">
        <v>1441</v>
      </c>
      <c r="C38" s="1341">
        <f ca="1">ROUND(C5*F38,1)</f>
        <v>9.8000000000000007</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821</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19556</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30.87</v>
      </c>
      <c r="G41" s="1852"/>
      <c r="H41" s="733"/>
      <c r="I41" s="1861"/>
      <c r="J41" s="1862"/>
      <c r="K41" s="752"/>
      <c r="L41" s="733"/>
      <c r="M41" s="733"/>
    </row>
    <row r="42" spans="1:18" ht="18" customHeight="1">
      <c r="A42" s="354"/>
      <c r="B42" s="355"/>
      <c r="C42" s="356"/>
      <c r="D42" s="374"/>
      <c r="E42" s="348" t="s">
        <v>1479</v>
      </c>
      <c r="F42" s="358">
        <f ca="1">INDIRECT("'数据-取费表'!v"&amp;$G$1)</f>
        <v>0.04</v>
      </c>
      <c r="G42" s="1852"/>
      <c r="H42" s="733"/>
      <c r="I42" s="1861"/>
      <c r="J42" s="1862"/>
      <c r="K42" s="752"/>
      <c r="L42" s="733"/>
      <c r="M42" s="733"/>
    </row>
    <row r="43" spans="1:18" ht="18" customHeight="1" thickBot="1">
      <c r="A43" s="381" t="s">
        <v>1033</v>
      </c>
      <c r="B43" s="382" t="s">
        <v>1489</v>
      </c>
      <c r="C43" s="383">
        <f ca="1">ROUND(C40*10000/F43,0)</f>
        <v>13849</v>
      </c>
      <c r="D43" s="384" t="s">
        <v>1490</v>
      </c>
      <c r="E43" s="385" t="s">
        <v>1491</v>
      </c>
      <c r="F43" s="386">
        <f ca="1">INDIRECT("'数据-取费表'!k"&amp;$G$1)</f>
        <v>14121.230000000001</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-20997</v>
      </c>
      <c r="D46" s="1873" t="str">
        <f>C2</f>
        <v>万元</v>
      </c>
      <c r="E46" s="1867"/>
      <c r="F46" s="1867"/>
      <c r="I46" s="1874" t="s">
        <v>1523</v>
      </c>
      <c r="J46" s="1875"/>
      <c r="K46" s="1876"/>
      <c r="L46" s="1877">
        <f ca="1">IF(M47="住宅",0,IF(L48&gt;J51,L60,J60))</f>
        <v>285</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40</v>
      </c>
      <c r="M47" s="1839" t="str">
        <f>IF(ISNUMBER(FIND("住宅",C1)),"住宅","非住宅")</f>
        <v>非住宅</v>
      </c>
      <c r="O47" s="1885" t="s">
        <v>1040</v>
      </c>
      <c r="P47" s="1886" t="s">
        <v>1530</v>
      </c>
      <c r="Q47" s="1887">
        <f ca="1">C40+J29</f>
        <v>19556</v>
      </c>
      <c r="R47" s="1887" t="s">
        <v>1531</v>
      </c>
    </row>
    <row r="48" spans="1:18" s="1843" customFormat="1" ht="28.5" thickBot="1">
      <c r="A48" s="1360" t="s">
        <v>1135</v>
      </c>
      <c r="B48" s="346" t="s">
        <v>1402</v>
      </c>
      <c r="C48" s="2919">
        <f ca="1">C49+C53+C55</f>
        <v>0</v>
      </c>
      <c r="D48" s="1362"/>
      <c r="E48" s="1363"/>
      <c r="F48" s="1181"/>
      <c r="G48" s="793"/>
      <c r="H48" s="794"/>
      <c r="I48" s="1888" t="s">
        <v>1532</v>
      </c>
      <c r="J48" s="1889" t="s">
        <v>3121</v>
      </c>
      <c r="K48" s="1890" t="s">
        <v>1533</v>
      </c>
      <c r="L48" s="1891">
        <f ca="1">INDIRECT("'数据-取费表'!f"&amp;$G$1)</f>
        <v>30.87</v>
      </c>
      <c r="O48" s="1885" t="s">
        <v>1041</v>
      </c>
      <c r="P48" s="1886" t="s">
        <v>1534</v>
      </c>
      <c r="Q48" s="1887">
        <f ca="1">J60</f>
        <v>285</v>
      </c>
      <c r="R48" s="1887" t="s">
        <v>1535</v>
      </c>
    </row>
    <row r="49" spans="1:18" s="1843" customFormat="1" ht="13.5" thickBot="1">
      <c r="A49" s="1194" t="s">
        <v>1136</v>
      </c>
      <c r="B49" s="1830" t="s">
        <v>1492</v>
      </c>
      <c r="C49" s="1364">
        <f ca="1">ROUND(F49*F51*F50*(1-F52)/10000,0)</f>
        <v>0</v>
      </c>
      <c r="D49" s="1276" t="s">
        <v>3031</v>
      </c>
      <c r="E49" s="1831" t="s">
        <v>1493</v>
      </c>
      <c r="F49" s="1281"/>
      <c r="G49" s="1892"/>
      <c r="H49" s="794"/>
      <c r="I49" s="1888" t="s">
        <v>1536</v>
      </c>
      <c r="J49" s="1893">
        <v>2012</v>
      </c>
      <c r="K49" s="1890" t="s">
        <v>1537</v>
      </c>
      <c r="L49" s="1894"/>
      <c r="O49" s="1895" t="s">
        <v>1042</v>
      </c>
      <c r="P49" s="1886" t="s">
        <v>1538</v>
      </c>
      <c r="Q49" s="1887">
        <f ca="1">C29</f>
        <v>10122</v>
      </c>
      <c r="R49" s="1887" t="s">
        <v>1531</v>
      </c>
    </row>
    <row r="50" spans="1:18" s="1843" customFormat="1" ht="13.5" thickBot="1">
      <c r="A50" s="1195"/>
      <c r="B50" s="1198"/>
      <c r="C50" s="1368"/>
      <c r="D50" s="1172"/>
      <c r="E50" s="1277" t="s">
        <v>1407</v>
      </c>
      <c r="F50" s="1278">
        <f ca="1">F7</f>
        <v>14121.230000000001</v>
      </c>
      <c r="H50" s="794"/>
      <c r="I50" s="1888" t="s">
        <v>1539</v>
      </c>
      <c r="J50" s="1896">
        <f>SUMPRODUCT((I63:I65=J47)*(J62:L62=J48)*(J63:L65))</f>
        <v>60</v>
      </c>
      <c r="K50" s="1890" t="s">
        <v>1540</v>
      </c>
      <c r="L50" s="1894"/>
      <c r="M50" s="1897"/>
      <c r="O50" s="1895" t="s">
        <v>1043</v>
      </c>
      <c r="P50" s="1886" t="s">
        <v>1541</v>
      </c>
      <c r="Q50" s="1898">
        <f ca="1">J58</f>
        <v>0.40200000000000002</v>
      </c>
      <c r="R50" s="1887"/>
    </row>
    <row r="51" spans="1:18" s="1843" customFormat="1" ht="13.5" thickBot="1">
      <c r="A51" s="1196"/>
      <c r="B51" s="1198"/>
      <c r="C51" s="1199"/>
      <c r="D51" s="1172"/>
      <c r="E51" s="1200" t="s">
        <v>1408</v>
      </c>
      <c r="F51" s="349">
        <f ca="1">F8</f>
        <v>365</v>
      </c>
      <c r="I51" s="1899" t="s">
        <v>1542</v>
      </c>
      <c r="J51" s="1900">
        <f>IF(J49="",J50,J49+J50-YEAR('数据-取费表'!B2))</f>
        <v>55</v>
      </c>
      <c r="K51" s="1901" t="s">
        <v>1543</v>
      </c>
      <c r="L51" s="1902">
        <f ca="1">ROUND(-PV(INDIRECT("'数据-取费表'!h"&amp;$G$1),L48,(C39-C13*C76),0),0)</f>
        <v>459</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30.87</v>
      </c>
      <c r="R52" s="1887" t="s">
        <v>1548</v>
      </c>
    </row>
    <row r="53" spans="1:18" s="1843" customFormat="1" ht="24.75" thickBot="1">
      <c r="A53" s="1405" t="s">
        <v>1137</v>
      </c>
      <c r="B53" s="1832" t="s">
        <v>1410</v>
      </c>
      <c r="C53" s="362">
        <f ca="1">ROUND(IF(F53="押一",F49*F51*F50/12*F11,IF(F53="押二",F49*F51*F50/12*2*F11,IF(F53="押三",F49*F51*F50/12*3*F11,C54*F11)))/10000,0)</f>
        <v>0</v>
      </c>
      <c r="D53" s="1825" t="s">
        <v>3028</v>
      </c>
      <c r="E53" s="359" t="s">
        <v>1412</v>
      </c>
      <c r="F53" s="1366"/>
      <c r="I53" s="1906" t="s">
        <v>1549</v>
      </c>
      <c r="J53" s="1907">
        <f ca="1">IF(M47="住宅",J51,IF(D1="——",MIN(J51,L48),IF(D1="在建（套用方法）",MIN(J51,L48-'数据-取费表'!B24),IF(D1="土地（套用方法）",MIN(J51,L48-'数据-取费表'!B20)))))</f>
        <v>30.87</v>
      </c>
      <c r="K53" s="3143" t="s">
        <v>1550</v>
      </c>
      <c r="L53" s="3144"/>
      <c r="O53" s="1885" t="s">
        <v>1046</v>
      </c>
      <c r="P53" s="1886" t="s">
        <v>1551</v>
      </c>
      <c r="Q53" s="1887">
        <f ca="1">Q47+Q48</f>
        <v>19841</v>
      </c>
      <c r="R53" s="1887" t="s">
        <v>1047</v>
      </c>
    </row>
    <row r="54" spans="1:18" s="1843" customFormat="1" ht="13.5" thickBot="1">
      <c r="A54" s="1406"/>
      <c r="B54" s="1826" t="s">
        <v>1389</v>
      </c>
      <c r="C54" s="1178"/>
      <c r="D54" s="1825"/>
      <c r="E54" s="292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23"/>
      <c r="F55" s="1908"/>
      <c r="I55" s="1911" t="s">
        <v>1553</v>
      </c>
      <c r="J55" s="1912">
        <f ca="1">ROUND(IF(J47="钢混",J57/J50,1-(1-2%)*(J50-J57)/J50),3)</f>
        <v>0.40200000000000002</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9312</v>
      </c>
      <c r="D56" s="1915"/>
      <c r="E56" s="1916"/>
      <c r="F56" s="1908"/>
      <c r="I56" s="1917" t="s">
        <v>1556</v>
      </c>
      <c r="J56" s="1918" t="s">
        <v>3055</v>
      </c>
      <c r="K56" s="1888" t="s">
        <v>1557</v>
      </c>
      <c r="L56" s="1891" t="str">
        <f ca="1">IF(L48&lt;J51,"——",L48-J53)</f>
        <v>——</v>
      </c>
      <c r="O56" s="1885" t="s">
        <v>1040</v>
      </c>
      <c r="P56" s="1886" t="s">
        <v>1530</v>
      </c>
      <c r="Q56" s="1887">
        <f ca="1">C40+J29</f>
        <v>19556</v>
      </c>
      <c r="R56" s="1887" t="s">
        <v>1531</v>
      </c>
    </row>
    <row r="57" spans="1:18" s="1843" customFormat="1" ht="24.75" thickBot="1">
      <c r="A57" s="1919"/>
      <c r="B57" s="1169" t="s">
        <v>1480</v>
      </c>
      <c r="C57" s="283">
        <f ca="1">C29</f>
        <v>10122</v>
      </c>
      <c r="D57" s="1920"/>
      <c r="E57" s="1921"/>
      <c r="F57" s="1922"/>
      <c r="I57" s="1923" t="s">
        <v>1558</v>
      </c>
      <c r="J57" s="1924">
        <f ca="1">IF(OR(M47="住宅",J51&lt;L48,J56="是"),"——",J51-L48)</f>
        <v>24.13</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98</v>
      </c>
      <c r="D58" s="1179" t="s">
        <v>1427</v>
      </c>
      <c r="E58" s="1180"/>
      <c r="F58" s="1181"/>
      <c r="I58" s="1923" t="s">
        <v>1562</v>
      </c>
      <c r="J58" s="1925">
        <f ca="1">IF(J55&lt;0.4,0.4,J55)</f>
        <v>0.40200000000000002</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85.6</v>
      </c>
      <c r="D59" s="1182" t="s">
        <v>1432</v>
      </c>
      <c r="E59" s="1183" t="s">
        <v>1433</v>
      </c>
      <c r="F59" s="369" t="str">
        <f ca="1">IF(项目基本情况!B11="企业","",IF(INDIRECT("'数据-取费表'!c"&amp;$G$1)="住宅",5%,IF(F49*F50*F51/12/(1+'数据-取费表'!C42)&gt;20000,12%,7%)))</f>
        <v/>
      </c>
      <c r="I59" s="1923" t="s">
        <v>1565</v>
      </c>
      <c r="J59" s="1924">
        <f ca="1">IF(OR(M47="住宅",J51&lt;L48,J56="是"),"——",ROUND(C29*J58,0))</f>
        <v>4069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6" t="s">
        <v>1567</v>
      </c>
      <c r="J60" s="1927">
        <f ca="1">IF(OR(M47="住宅",J51&lt;L48,J56="是"),"0",ROUND(J59/(1+J52)^J53,0))</f>
        <v>285</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85.02</v>
      </c>
      <c r="D61" s="1829" t="s">
        <v>1440</v>
      </c>
      <c r="E61" s="1169" t="s">
        <v>1424</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0.56000000000000005</v>
      </c>
      <c r="D62" s="1184" t="s">
        <v>1444</v>
      </c>
      <c r="E62" s="1169" t="s">
        <v>1445</v>
      </c>
      <c r="F62" s="372">
        <f t="shared" si="0"/>
        <v>1.5</v>
      </c>
      <c r="I62" s="1930" t="s">
        <v>1572</v>
      </c>
      <c r="J62" s="1931" t="s">
        <v>1573</v>
      </c>
      <c r="K62" s="1931" t="s">
        <v>1574</v>
      </c>
      <c r="L62" s="1931" t="s">
        <v>1575</v>
      </c>
      <c r="M62" s="1932" t="s">
        <v>1576</v>
      </c>
      <c r="O62" s="1885" t="s">
        <v>1046</v>
      </c>
      <c r="P62" s="1886" t="s">
        <v>1551</v>
      </c>
      <c r="Q62" s="1887">
        <f ca="1">Q56+Q57</f>
        <v>19556</v>
      </c>
      <c r="R62" s="1887" t="s">
        <v>1047</v>
      </c>
    </row>
    <row r="63" spans="1:18" s="1843" customFormat="1" ht="13.5" thickBot="1">
      <c r="A63" s="373"/>
      <c r="B63" s="1175"/>
      <c r="C63" s="29"/>
      <c r="D63" s="1185"/>
      <c r="E63" s="1169" t="s">
        <v>1449</v>
      </c>
      <c r="F63" s="349">
        <f t="shared" ca="1" si="0"/>
        <v>3711.07</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10.1</v>
      </c>
      <c r="D64" s="1183" t="s">
        <v>1484</v>
      </c>
      <c r="E64" s="1169" t="s">
        <v>1424</v>
      </c>
      <c r="F64" s="375">
        <f t="shared" ca="1" si="0"/>
        <v>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2.2999999999999998</v>
      </c>
      <c r="D65" s="1183" t="s">
        <v>1456</v>
      </c>
      <c r="E65" s="1169" t="s">
        <v>1424</v>
      </c>
      <c r="F65" s="377">
        <f t="shared" ca="1" si="0"/>
        <v>2.5000000000000001E-4</v>
      </c>
      <c r="I65" s="1930" t="s">
        <v>1581</v>
      </c>
      <c r="J65" s="1931">
        <v>40</v>
      </c>
      <c r="K65" s="1931">
        <v>30</v>
      </c>
      <c r="L65" s="1931">
        <v>50</v>
      </c>
      <c r="M65" s="1933">
        <v>0.02</v>
      </c>
      <c r="O65" s="1885" t="s">
        <v>1040</v>
      </c>
      <c r="P65" s="1886" t="s">
        <v>1530</v>
      </c>
      <c r="Q65" s="1887">
        <f ca="1">C40+J29</f>
        <v>19556</v>
      </c>
      <c r="R65" s="1887" t="s">
        <v>1531</v>
      </c>
    </row>
    <row r="66" spans="1:18" s="1843" customFormat="1" ht="16.5" thickBot="1">
      <c r="A66" s="1201" t="s">
        <v>1506</v>
      </c>
      <c r="B66" s="1169" t="s">
        <v>1441</v>
      </c>
      <c r="C66" s="24">
        <f ca="1">ROUND(C48*F66,1)</f>
        <v>0</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-98</v>
      </c>
      <c r="D67" s="1182" t="s">
        <v>1466</v>
      </c>
      <c r="E67" s="1187"/>
      <c r="F67" s="1188"/>
      <c r="O67" s="1895" t="s">
        <v>1042</v>
      </c>
      <c r="P67" s="1886" t="s">
        <v>1564</v>
      </c>
      <c r="Q67" s="1934">
        <f ca="1">L51</f>
        <v>459</v>
      </c>
      <c r="R67" s="1887" t="s">
        <v>1584</v>
      </c>
    </row>
    <row r="68" spans="1:18" s="1843" customFormat="1" ht="16.5" thickBot="1">
      <c r="A68" s="1166" t="s">
        <v>1032</v>
      </c>
      <c r="B68" s="1167" t="s">
        <v>1487</v>
      </c>
      <c r="C68" s="347">
        <f ca="1">ROUND(C67*(1-((1+F70)/(1+F68))^F69)/(F68-F70),0)</f>
        <v>-1441</v>
      </c>
      <c r="D68" s="1184" t="s">
        <v>1471</v>
      </c>
      <c r="E68" s="1169" t="s">
        <v>1472</v>
      </c>
      <c r="F68" s="358">
        <f ca="1">F40</f>
        <v>5.5E-2</v>
      </c>
      <c r="O68" s="1895" t="s">
        <v>1043</v>
      </c>
      <c r="P68" s="1935" t="s">
        <v>1585</v>
      </c>
      <c r="Q68" s="1887">
        <f ca="1">ROUND(Q69-Q70*Q71,0)</f>
        <v>29</v>
      </c>
      <c r="R68" s="1887" t="s">
        <v>1051</v>
      </c>
    </row>
    <row r="69" spans="1:18" s="1843" customFormat="1" ht="13.5" thickBot="1">
      <c r="A69" s="1170"/>
      <c r="B69" s="1171"/>
      <c r="C69" s="352"/>
      <c r="D69" s="1189" t="s">
        <v>1475</v>
      </c>
      <c r="E69" s="1169" t="s">
        <v>1476</v>
      </c>
      <c r="F69" s="380">
        <f ca="1">F41</f>
        <v>30.87</v>
      </c>
      <c r="O69" s="1895" t="s">
        <v>1048</v>
      </c>
      <c r="P69" s="1935" t="s">
        <v>1586</v>
      </c>
      <c r="Q69" s="1887">
        <f ca="1">C39</f>
        <v>821</v>
      </c>
      <c r="R69" s="1887" t="s">
        <v>1531</v>
      </c>
    </row>
    <row r="70" spans="1:18" s="1843" customFormat="1" ht="13.5" thickBot="1">
      <c r="A70" s="1173"/>
      <c r="B70" s="1174"/>
      <c r="C70" s="356"/>
      <c r="D70" s="1185"/>
      <c r="E70" s="1169" t="s">
        <v>1479</v>
      </c>
      <c r="F70" s="1275"/>
      <c r="O70" s="1895" t="s">
        <v>1049</v>
      </c>
      <c r="P70" s="1935" t="s">
        <v>1587</v>
      </c>
      <c r="Q70" s="1887">
        <f ca="1">C13</f>
        <v>9312</v>
      </c>
      <c r="R70" s="1887" t="s">
        <v>1531</v>
      </c>
    </row>
    <row r="71" spans="1:18" s="1843" customFormat="1" ht="13.5" thickBot="1">
      <c r="A71" s="1190" t="s">
        <v>1033</v>
      </c>
      <c r="B71" s="1191" t="s">
        <v>1489</v>
      </c>
      <c r="C71" s="383">
        <f ca="1">ROUND(C68*10000/F71,0)</f>
        <v>-1020</v>
      </c>
      <c r="D71" s="1192" t="s">
        <v>1490</v>
      </c>
      <c r="E71" s="1193" t="s">
        <v>1491</v>
      </c>
      <c r="F71" s="386">
        <f ca="1">F43</f>
        <v>14121.230000000001</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792</v>
      </c>
      <c r="D75" s="1843"/>
      <c r="E75" s="1843"/>
      <c r="F75" s="1843"/>
      <c r="K75" s="1869"/>
      <c r="L75" s="1843"/>
      <c r="O75" s="1885" t="s">
        <v>1046</v>
      </c>
      <c r="P75" s="1886" t="s">
        <v>1551</v>
      </c>
      <c r="Q75" s="1887">
        <f ca="1">Q65+Q66</f>
        <v>19556</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3.5000000000000031E-2</v>
      </c>
    </row>
    <row r="80" spans="1:18">
      <c r="B80" s="387" t="s">
        <v>1513</v>
      </c>
      <c r="C80" s="319">
        <f ca="1">ROUND(C75/C39,3)</f>
        <v>0.96499999999999997</v>
      </c>
    </row>
    <row r="81" spans="2:3">
      <c r="B81" s="315" t="s">
        <v>1514</v>
      </c>
      <c r="C81" s="283"/>
    </row>
    <row r="82" spans="2:3">
      <c r="B82" s="318" t="s">
        <v>1515</v>
      </c>
      <c r="C82" s="320">
        <f ca="1">1-C83</f>
        <v>0.52400000000000002</v>
      </c>
    </row>
    <row r="83" spans="2:3">
      <c r="B83" s="318" t="s">
        <v>1516</v>
      </c>
      <c r="C83" s="319">
        <f ca="1">ROUND(C13/C40,3)</f>
        <v>0.47599999999999998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90" zoomScaleNormal="90" zoomScaleSheetLayoutView="90" workbookViewId="0">
      <selection activeCell="I21" sqref="I2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3139</v>
      </c>
      <c r="D1" s="1821"/>
      <c r="E1" s="1822" t="s">
        <v>1388</v>
      </c>
      <c r="F1" s="1283" t="b">
        <f>J53</f>
        <v>0</v>
      </c>
      <c r="G1" s="1837">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2842</v>
      </c>
      <c r="C2" s="1846" t="s">
        <v>1518</v>
      </c>
      <c r="D2" s="1846"/>
      <c r="E2" s="1847"/>
      <c r="F2" s="1848"/>
      <c r="G2" s="1849"/>
      <c r="H2" s="1841"/>
      <c r="I2" s="1841"/>
      <c r="J2" s="1841"/>
      <c r="K2" s="1842"/>
      <c r="L2" s="1841"/>
      <c r="M2" s="1841"/>
    </row>
    <row r="3" spans="1:37" ht="18" customHeight="1" thickBot="1">
      <c r="A3" s="1850" t="s">
        <v>1519</v>
      </c>
      <c r="B3" s="1851">
        <f ca="1">IF(ISERROR(B2*10000/F43),0,ROUND(B2*10000/F43,0))</f>
        <v>2882</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1267</v>
      </c>
      <c r="D5" s="1823" t="s">
        <v>1403</v>
      </c>
      <c r="E5" s="1293"/>
      <c r="F5" s="1294"/>
      <c r="G5" s="1852"/>
      <c r="H5" s="345">
        <v>1</v>
      </c>
      <c r="I5" s="346" t="s">
        <v>1402</v>
      </c>
      <c r="J5" s="1292">
        <f ca="1">J6+J10+J12</f>
        <v>0</v>
      </c>
      <c r="K5" s="1823" t="s">
        <v>1403</v>
      </c>
      <c r="L5" s="1293"/>
      <c r="M5" s="1294"/>
    </row>
    <row r="6" spans="1:37" ht="18" customHeight="1">
      <c r="A6" s="1291" t="s">
        <v>1035</v>
      </c>
      <c r="B6" s="3140" t="s">
        <v>1404</v>
      </c>
      <c r="C6" s="1296">
        <f ca="1">ROUND(F6*F8*F7*(1-F9)/10000,0)</f>
        <v>1265</v>
      </c>
      <c r="D6" s="165" t="s">
        <v>3032</v>
      </c>
      <c r="E6" s="348" t="s">
        <v>1406</v>
      </c>
      <c r="F6" s="349">
        <f ca="1">INDIRECT("'数据-取费表'!u"&amp;$G$1)</f>
        <v>3.7</v>
      </c>
      <c r="G6" s="1852"/>
      <c r="H6" s="1291" t="s">
        <v>1035</v>
      </c>
      <c r="I6" s="3140" t="s">
        <v>1404</v>
      </c>
      <c r="J6" s="347">
        <f ca="1">ROUND(M6*M8*M7*(1-M9)/10000,0)</f>
        <v>0</v>
      </c>
      <c r="K6" s="165" t="s">
        <v>3031</v>
      </c>
      <c r="L6" s="348" t="s">
        <v>1406</v>
      </c>
      <c r="M6" s="349">
        <f ca="1">INDIRECT("'数据-取费表'!z"&amp;$G$1)</f>
        <v>0</v>
      </c>
    </row>
    <row r="7" spans="1:37" ht="18" customHeight="1">
      <c r="A7" s="1295"/>
      <c r="B7" s="3141"/>
      <c r="C7" s="1297"/>
      <c r="D7" s="353"/>
      <c r="E7" s="2922" t="s">
        <v>1407</v>
      </c>
      <c r="F7" s="349">
        <f ca="1">IF(INDIRECT("'数据-取费表'!ah"&amp;$G$1)="",INDIRECT("'数据-取费表'!k"&amp;$G$1),INDIRECT("'数据-取费表'!ah"&amp;$G$1))</f>
        <v>9862.1200000000026</v>
      </c>
      <c r="G7" s="1852"/>
      <c r="H7" s="350"/>
      <c r="I7" s="3141"/>
      <c r="J7" s="352"/>
      <c r="K7" s="353"/>
      <c r="L7" s="348" t="s">
        <v>1407</v>
      </c>
      <c r="M7" s="349">
        <f ca="1">F7</f>
        <v>9862.1200000000026</v>
      </c>
    </row>
    <row r="8" spans="1:37" ht="18" customHeight="1">
      <c r="A8" s="350"/>
      <c r="B8" s="3141"/>
      <c r="C8" s="352"/>
      <c r="D8" s="353"/>
      <c r="E8" s="348" t="s">
        <v>1408</v>
      </c>
      <c r="F8" s="349">
        <f ca="1">INDIRECT("'数据-取费表'!ai"&amp;$G$1)</f>
        <v>365</v>
      </c>
      <c r="G8" s="1852"/>
      <c r="H8" s="350"/>
      <c r="I8" s="3141"/>
      <c r="J8" s="352"/>
      <c r="K8" s="353"/>
      <c r="L8" s="348" t="s">
        <v>1408</v>
      </c>
      <c r="M8" s="349">
        <f ca="1">INDIRECT("'数据-取费表'!ai"&amp;$G$1)</f>
        <v>365</v>
      </c>
    </row>
    <row r="9" spans="1:37" ht="18" customHeight="1">
      <c r="A9" s="350"/>
      <c r="B9" s="3142"/>
      <c r="C9" s="352"/>
      <c r="D9" s="353"/>
      <c r="E9" s="348" t="s">
        <v>1409</v>
      </c>
      <c r="F9" s="358">
        <f ca="1">INDIRECT("'数据-取费表'!w"&amp;$G$1)</f>
        <v>0.05</v>
      </c>
      <c r="G9" s="1852"/>
      <c r="H9" s="350"/>
      <c r="I9" s="3142"/>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2</v>
      </c>
      <c r="D10" s="1825" t="s">
        <v>3028</v>
      </c>
      <c r="E10" s="359" t="s">
        <v>1412</v>
      </c>
      <c r="F10" s="1366" t="s">
        <v>3122</v>
      </c>
      <c r="G10" s="1852"/>
      <c r="H10" s="1291" t="s">
        <v>1039</v>
      </c>
      <c r="I10" s="1824" t="s">
        <v>1410</v>
      </c>
      <c r="J10" s="347">
        <f ca="1">ROUND(IF(M10="押一",M6*M8*M7/12*M11,IF(M10="押二",M6*M8*M7/12*2*M11,IF(M10="押三",M6*M8*M7/12*3*M11,J11*M11)))/10000,0)</f>
        <v>0</v>
      </c>
      <c r="K10" s="1825" t="s">
        <v>3028</v>
      </c>
      <c r="L10" s="359" t="s">
        <v>1412</v>
      </c>
      <c r="M10" s="1366" t="s">
        <v>3122</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6503</v>
      </c>
      <c r="D13" s="1331" t="s">
        <v>1417</v>
      </c>
      <c r="E13" s="1331" t="s">
        <v>1418</v>
      </c>
      <c r="F13" s="1332">
        <f ca="1">INDIRECT("'数据-取费表'!y"&amp;$G$1)</f>
        <v>0.92</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4438</v>
      </c>
      <c r="D14" s="2925" t="s">
        <v>1420</v>
      </c>
      <c r="E14" s="2924"/>
      <c r="F14" s="365"/>
      <c r="G14" s="1852"/>
      <c r="H14" s="1201" t="s">
        <v>1035</v>
      </c>
      <c r="I14" s="348" t="s">
        <v>1421</v>
      </c>
      <c r="J14" s="24">
        <f ca="1">C29</f>
        <v>7069</v>
      </c>
      <c r="K14" s="2921"/>
      <c r="L14" s="979"/>
      <c r="M14" s="980"/>
    </row>
    <row r="15" spans="1:37" s="1859" customFormat="1" ht="18" customHeight="1" thickBot="1">
      <c r="A15" s="1201" t="s">
        <v>1036</v>
      </c>
      <c r="B15" s="348" t="s">
        <v>1422</v>
      </c>
      <c r="C15" s="24">
        <f ca="1">ROUND(C14*F15,0)</f>
        <v>222</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67</v>
      </c>
      <c r="K16" s="1337" t="s">
        <v>1427</v>
      </c>
      <c r="L16" s="2927"/>
      <c r="M16" s="1294"/>
    </row>
    <row r="17" spans="1:37" s="1859" customFormat="1" ht="18" customHeight="1">
      <c r="A17" s="1201" t="s">
        <v>1391</v>
      </c>
      <c r="B17" s="348" t="s">
        <v>1428</v>
      </c>
      <c r="C17" s="24">
        <f ca="1">ROUND(F17*(F43+INDIRECT("'数据-取费表'!S"&amp;$G$1))/10000,0)</f>
        <v>197</v>
      </c>
      <c r="D17" s="348" t="s">
        <v>1429</v>
      </c>
      <c r="E17" s="348" t="s">
        <v>1430</v>
      </c>
      <c r="F17" s="26">
        <f>'数据-取费表'!B35</f>
        <v>200</v>
      </c>
      <c r="G17" s="1855"/>
      <c r="H17" s="1201" t="s">
        <v>1035</v>
      </c>
      <c r="I17" s="348" t="s">
        <v>1431</v>
      </c>
      <c r="J17" s="24">
        <f ca="1">ROUND(IF(项目基本情况!B11="自然人",J5*M17,J18+J19+J20),1)</f>
        <v>59.8</v>
      </c>
      <c r="K17" s="2925" t="s">
        <v>1432</v>
      </c>
      <c r="L17" s="2926"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67</v>
      </c>
      <c r="D18" s="348" t="s">
        <v>1423</v>
      </c>
      <c r="E18" s="348" t="s">
        <v>1424</v>
      </c>
      <c r="F18" s="368">
        <f>'数据-取费表'!B36</f>
        <v>1.4999999999999999E-2</v>
      </c>
      <c r="G18" s="1855"/>
      <c r="H18" s="1201" t="s">
        <v>1034</v>
      </c>
      <c r="I18" s="348" t="s">
        <v>1435</v>
      </c>
      <c r="J18" s="24">
        <f ca="1">ROUND(J5*M18/(1+'数据-取费表'!C42),2)</f>
        <v>0</v>
      </c>
      <c r="K18" s="2926"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4924</v>
      </c>
      <c r="D19" s="140" t="s">
        <v>1438</v>
      </c>
      <c r="E19" s="2920"/>
      <c r="F19" s="26"/>
      <c r="G19" s="1852"/>
      <c r="H19" s="1201" t="s">
        <v>1036</v>
      </c>
      <c r="I19" s="348" t="s">
        <v>1439</v>
      </c>
      <c r="J19" s="24">
        <f ca="1">IF(K19="按租金收入计税",ROUND(J5*M19,2),ROUND(C29*M19*0.7,2))</f>
        <v>59.38</v>
      </c>
      <c r="K19" s="1829" t="s">
        <v>1440</v>
      </c>
      <c r="L19" s="348" t="s">
        <v>1424</v>
      </c>
      <c r="M19" s="368">
        <f>IF(K19="按租金收入计税",'数据-取费表'!B51,'数据-取费表'!B50)</f>
        <v>1.2E-2</v>
      </c>
    </row>
    <row r="20" spans="1:37" s="1859" customFormat="1" ht="18" customHeight="1">
      <c r="A20" s="1201" t="s">
        <v>1039</v>
      </c>
      <c r="B20" s="348" t="s">
        <v>1441</v>
      </c>
      <c r="C20" s="24">
        <f ca="1">ROUND(C19*F20,0)</f>
        <v>49</v>
      </c>
      <c r="D20" s="370" t="s">
        <v>1442</v>
      </c>
      <c r="E20" s="348" t="s">
        <v>1424</v>
      </c>
      <c r="F20" s="368">
        <f>'数据-取费表'!B37</f>
        <v>0.01</v>
      </c>
      <c r="G20" s="1855"/>
      <c r="H20" s="1201" t="s">
        <v>1390</v>
      </c>
      <c r="I20" s="165" t="s">
        <v>1443</v>
      </c>
      <c r="J20" s="25">
        <f ca="1">ROUND(M20*M21/10000,2)</f>
        <v>0.39</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2591.77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0"/>
      <c r="F22" s="26"/>
      <c r="G22" s="1852"/>
      <c r="H22" s="1201" t="s">
        <v>1039</v>
      </c>
      <c r="I22" s="348" t="s">
        <v>1451</v>
      </c>
      <c r="J22" s="24">
        <f ca="1">ROUND(J14*M22,1)</f>
        <v>7.1</v>
      </c>
      <c r="K22" s="2926" t="s">
        <v>1452</v>
      </c>
      <c r="L22" s="348" t="s">
        <v>1424</v>
      </c>
      <c r="M22" s="375">
        <f ca="1">INDIRECT("'数据-取费表'!Ak"&amp;$G$1)</f>
        <v>1E-3</v>
      </c>
    </row>
    <row r="23" spans="1:37" s="1859" customFormat="1" ht="18" customHeight="1">
      <c r="A23" s="1201" t="s">
        <v>1034</v>
      </c>
      <c r="B23" s="348" t="s">
        <v>1453</v>
      </c>
      <c r="C23" s="24">
        <f ca="1">IF('数据-取费表'!B22&lt;=1,ROUND(C19*F24*F23/2,0)+ROUND(C20*F24*F23/2,0),ROUND(C19*(POWER((1+F24),F23/2)-1),0)+ROUND(C20*(POWER((1+F24),F23/2)-1),0))</f>
        <v>297</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0</v>
      </c>
      <c r="K23" s="2926" t="s">
        <v>1456</v>
      </c>
      <c r="L23" s="348" t="s">
        <v>1424</v>
      </c>
      <c r="M23" s="377">
        <f ca="1">INDIRECT("'数据-取费表'!Al"&amp;$G$1)</f>
        <v>2.5000000000000001E-4</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0</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0"/>
      <c r="F25" s="26"/>
      <c r="G25" s="1852"/>
      <c r="H25" s="1329" t="s">
        <v>1031</v>
      </c>
      <c r="I25" s="1344" t="s">
        <v>1465</v>
      </c>
      <c r="J25" s="356">
        <f ca="1">J5-J16</f>
        <v>-67</v>
      </c>
      <c r="K25" s="1345" t="s">
        <v>1466</v>
      </c>
      <c r="L25" s="1346"/>
      <c r="M25" s="1347"/>
    </row>
    <row r="26" spans="1:37">
      <c r="A26" s="1201" t="s">
        <v>1034</v>
      </c>
      <c r="B26" s="348" t="s">
        <v>1467</v>
      </c>
      <c r="C26" s="24">
        <f ca="1">ROUND((C19+C20)*F26,0)</f>
        <v>1243</v>
      </c>
      <c r="D26" s="370" t="s">
        <v>1468</v>
      </c>
      <c r="E26" s="359" t="s">
        <v>1469</v>
      </c>
      <c r="F26" s="358">
        <f ca="1">INDIRECT("'数据-取费表'!q"&amp;$G$1)</f>
        <v>0.25</v>
      </c>
      <c r="G26" s="1852"/>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7069</v>
      </c>
      <c r="D29" s="1342"/>
      <c r="E29" s="1340"/>
      <c r="F29" s="1343"/>
      <c r="G29" s="1855"/>
      <c r="H29" s="381" t="s">
        <v>1033</v>
      </c>
      <c r="I29" s="382" t="s">
        <v>1481</v>
      </c>
      <c r="J29" s="383">
        <f ca="1">ROUND(J26/(1+F40)^F41,0)</f>
        <v>0</v>
      </c>
      <c r="K29" s="384" t="s">
        <v>1482</v>
      </c>
      <c r="L29" s="385"/>
      <c r="M29" s="386">
        <f ca="1">INDIRECT("'数据-取费表'!k"&amp;$G$1)</f>
        <v>9862.1200000000026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148</v>
      </c>
      <c r="D30" s="1337" t="s">
        <v>1427</v>
      </c>
      <c r="E30" s="2927"/>
      <c r="F30" s="1294"/>
      <c r="G30" s="1852"/>
      <c r="H30" s="746"/>
      <c r="I30" s="747"/>
      <c r="J30" s="748"/>
      <c r="K30" s="749"/>
      <c r="L30" s="750"/>
      <c r="M30" s="751"/>
    </row>
    <row r="31" spans="1:37" ht="18" customHeight="1">
      <c r="A31" s="1201" t="s">
        <v>1035</v>
      </c>
      <c r="B31" s="348" t="s">
        <v>1431</v>
      </c>
      <c r="C31" s="24">
        <f ca="1">ROUND(IF(项目基本情况!B11="自然人",C5*F31,C32+C33+C34),1)</f>
        <v>126.1</v>
      </c>
      <c r="D31" s="2925" t="s">
        <v>1432</v>
      </c>
      <c r="E31" s="2926"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66.37</v>
      </c>
      <c r="D32" s="2926"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59.38</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0.39</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2591.77</v>
      </c>
      <c r="G35" s="1852"/>
      <c r="H35" s="746"/>
      <c r="I35" s="1861"/>
      <c r="J35" s="1862"/>
      <c r="K35" s="1863"/>
      <c r="L35" s="1860"/>
      <c r="M35" s="1860"/>
    </row>
    <row r="36" spans="1:18" ht="18" customHeight="1">
      <c r="A36" s="1352" t="s">
        <v>1039</v>
      </c>
      <c r="B36" s="348" t="s">
        <v>1451</v>
      </c>
      <c r="C36" s="24">
        <f ca="1">ROUND(C29*F36,1)</f>
        <v>7.1</v>
      </c>
      <c r="D36" s="2926" t="s">
        <v>1484</v>
      </c>
      <c r="E36" s="348" t="s">
        <v>1424</v>
      </c>
      <c r="F36" s="375">
        <f ca="1">INDIRECT("'数据-取费表'!Ak"&amp;$G$1)</f>
        <v>1E-3</v>
      </c>
      <c r="G36" s="1852"/>
      <c r="H36" s="1860"/>
      <c r="I36" s="1861"/>
      <c r="J36" s="1862"/>
      <c r="K36" s="752"/>
      <c r="L36" s="1860"/>
      <c r="M36" s="1860"/>
    </row>
    <row r="37" spans="1:18" ht="18" customHeight="1">
      <c r="A37" s="1201" t="s">
        <v>1075</v>
      </c>
      <c r="B37" s="348" t="s">
        <v>1455</v>
      </c>
      <c r="C37" s="24">
        <f ca="1">ROUND(C13*F37,1)</f>
        <v>1.6</v>
      </c>
      <c r="D37" s="2926" t="s">
        <v>1456</v>
      </c>
      <c r="E37" s="348" t="s">
        <v>1424</v>
      </c>
      <c r="F37" s="377">
        <f ca="1">INDIRECT("'数据-取费表'!Al"&amp;$G$1)</f>
        <v>2.5000000000000001E-4</v>
      </c>
      <c r="G37" s="1852"/>
      <c r="H37" s="1860"/>
      <c r="I37" s="1861"/>
      <c r="J37" s="1862"/>
      <c r="K37" s="752"/>
      <c r="L37" s="1860"/>
      <c r="M37" s="1860"/>
    </row>
    <row r="38" spans="1:18" ht="18" customHeight="1" thickBot="1">
      <c r="A38" s="1339" t="s">
        <v>1393</v>
      </c>
      <c r="B38" s="1340" t="s">
        <v>1441</v>
      </c>
      <c r="C38" s="1341">
        <f ca="1">ROUND(C5*F38,1)</f>
        <v>12.7</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1119</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0</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0.04</v>
      </c>
      <c r="G42" s="1852"/>
      <c r="H42" s="733"/>
      <c r="I42" s="1861"/>
      <c r="J42" s="1862"/>
      <c r="K42" s="752"/>
      <c r="L42" s="733"/>
      <c r="M42" s="733"/>
    </row>
    <row r="43" spans="1:18" ht="18" customHeight="1" thickBot="1">
      <c r="A43" s="381" t="s">
        <v>1033</v>
      </c>
      <c r="B43" s="382" t="s">
        <v>1489</v>
      </c>
      <c r="C43" s="383">
        <f ca="1">ROUND(C40*10000/F43,0)</f>
        <v>0</v>
      </c>
      <c r="D43" s="384" t="s">
        <v>1490</v>
      </c>
      <c r="E43" s="385" t="s">
        <v>1491</v>
      </c>
      <c r="F43" s="386">
        <f ca="1">INDIRECT("'数据-取费表'!k"&amp;$G$1)</f>
        <v>9862.1200000000026</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0</v>
      </c>
      <c r="D46" s="1873" t="str">
        <f>C2</f>
        <v>万元</v>
      </c>
      <c r="E46" s="1867"/>
      <c r="F46" s="1867"/>
      <c r="I46" s="1874" t="s">
        <v>1523</v>
      </c>
      <c r="J46" s="1875"/>
      <c r="K46" s="1876"/>
      <c r="L46" s="1877">
        <f ca="1">IF(M47="住宅",0,IF(L48&gt;J51,L60,J60))</f>
        <v>2842</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40</v>
      </c>
      <c r="M47" s="1839" t="str">
        <f>IF(ISNUMBER(FIND("住宅",C1)),"住宅","非住宅")</f>
        <v>非住宅</v>
      </c>
      <c r="O47" s="1885" t="s">
        <v>1040</v>
      </c>
      <c r="P47" s="1886" t="s">
        <v>1530</v>
      </c>
      <c r="Q47" s="1887">
        <f ca="1">C40+J29</f>
        <v>0</v>
      </c>
      <c r="R47" s="1887" t="s">
        <v>1531</v>
      </c>
    </row>
    <row r="48" spans="1:18" s="1843" customFormat="1" ht="28.5" thickBot="1">
      <c r="A48" s="1360" t="s">
        <v>1135</v>
      </c>
      <c r="B48" s="346" t="s">
        <v>1402</v>
      </c>
      <c r="C48" s="2919">
        <f ca="1">C49+C53+C55</f>
        <v>1267</v>
      </c>
      <c r="D48" s="1362"/>
      <c r="E48" s="1363"/>
      <c r="F48" s="1181"/>
      <c r="G48" s="793"/>
      <c r="H48" s="794"/>
      <c r="I48" s="1888" t="s">
        <v>1532</v>
      </c>
      <c r="J48" s="1889" t="s">
        <v>3121</v>
      </c>
      <c r="K48" s="1890" t="s">
        <v>1533</v>
      </c>
      <c r="L48" s="1891">
        <f ca="1">INDIRECT("'数据-取费表'!f"&amp;$G$1)</f>
        <v>30.87</v>
      </c>
      <c r="O48" s="1885" t="s">
        <v>1041</v>
      </c>
      <c r="P48" s="1886" t="s">
        <v>1534</v>
      </c>
      <c r="Q48" s="1887">
        <f ca="1">J60</f>
        <v>2842</v>
      </c>
      <c r="R48" s="1887" t="s">
        <v>1535</v>
      </c>
    </row>
    <row r="49" spans="1:18" s="1843" customFormat="1" ht="13.5" thickBot="1">
      <c r="A49" s="1194" t="s">
        <v>1136</v>
      </c>
      <c r="B49" s="1830" t="s">
        <v>1492</v>
      </c>
      <c r="C49" s="1364">
        <f ca="1">ROUND(F49*F51*F50*(1-F52)/10000,0)</f>
        <v>1265</v>
      </c>
      <c r="D49" s="1276" t="s">
        <v>3031</v>
      </c>
      <c r="E49" s="1831" t="s">
        <v>1493</v>
      </c>
      <c r="F49" s="1281">
        <f>'数据-取费表'!U7</f>
        <v>3.7</v>
      </c>
      <c r="G49" s="1892"/>
      <c r="H49" s="794"/>
      <c r="I49" s="1888" t="s">
        <v>1536</v>
      </c>
      <c r="J49" s="1893">
        <v>2012</v>
      </c>
      <c r="K49" s="1890" t="s">
        <v>1537</v>
      </c>
      <c r="L49" s="1894"/>
      <c r="O49" s="1895" t="s">
        <v>1042</v>
      </c>
      <c r="P49" s="1886" t="s">
        <v>1538</v>
      </c>
      <c r="Q49" s="1887">
        <f ca="1">C29</f>
        <v>7069</v>
      </c>
      <c r="R49" s="1887" t="s">
        <v>1531</v>
      </c>
    </row>
    <row r="50" spans="1:18" s="1843" customFormat="1" ht="13.5" thickBot="1">
      <c r="A50" s="1195"/>
      <c r="B50" s="1198"/>
      <c r="C50" s="1368"/>
      <c r="D50" s="1172"/>
      <c r="E50" s="1277" t="s">
        <v>1407</v>
      </c>
      <c r="F50" s="1278">
        <f ca="1">F7</f>
        <v>9862.1200000000026</v>
      </c>
      <c r="H50" s="794"/>
      <c r="I50" s="1888" t="s">
        <v>1539</v>
      </c>
      <c r="J50" s="1896">
        <f>SUMPRODUCT((I63:I65=J47)*(J62:L62=J48)*(J63:L65))</f>
        <v>60</v>
      </c>
      <c r="K50" s="1890" t="s">
        <v>1540</v>
      </c>
      <c r="L50" s="1894"/>
      <c r="M50" s="1897"/>
      <c r="O50" s="1895" t="s">
        <v>1043</v>
      </c>
      <c r="P50" s="1886" t="s">
        <v>1541</v>
      </c>
      <c r="Q50" s="1898">
        <f ca="1">J58</f>
        <v>0.40200000000000002</v>
      </c>
      <c r="R50" s="1887"/>
    </row>
    <row r="51" spans="1:18" s="1843" customFormat="1" ht="13.5" thickBot="1">
      <c r="A51" s="1196"/>
      <c r="B51" s="1198"/>
      <c r="C51" s="1199"/>
      <c r="D51" s="1172"/>
      <c r="E51" s="1200" t="s">
        <v>1408</v>
      </c>
      <c r="F51" s="349">
        <f ca="1">F8</f>
        <v>365</v>
      </c>
      <c r="I51" s="1899" t="s">
        <v>1542</v>
      </c>
      <c r="J51" s="1900">
        <f>IF(J49="",J50,J49+J50-YEAR('数据-取费表'!B2))</f>
        <v>55</v>
      </c>
      <c r="K51" s="1901" t="s">
        <v>1543</v>
      </c>
      <c r="L51" s="1902">
        <f ca="1">ROUND(-PV(INDIRECT("'数据-取费表'!h"&amp;$G$1),L48,(C39-C13*C76),0),0)</f>
        <v>8813</v>
      </c>
      <c r="M51" s="1903"/>
      <c r="O51" s="1895" t="s">
        <v>1044</v>
      </c>
      <c r="P51" s="1886" t="s">
        <v>1544</v>
      </c>
      <c r="Q51" s="1898">
        <f>J52</f>
        <v>0.09</v>
      </c>
      <c r="R51" s="1887"/>
    </row>
    <row r="52" spans="1:18" s="1843" customFormat="1" ht="13.5" thickBot="1">
      <c r="A52" s="1196"/>
      <c r="B52" s="1198"/>
      <c r="C52" s="1199"/>
      <c r="D52" s="1172"/>
      <c r="E52" s="1200" t="s">
        <v>1409</v>
      </c>
      <c r="F52" s="1275">
        <v>0.05</v>
      </c>
      <c r="I52" s="1904" t="s">
        <v>1545</v>
      </c>
      <c r="J52" s="1905">
        <v>0.09</v>
      </c>
      <c r="K52" s="1904" t="s">
        <v>1546</v>
      </c>
      <c r="L52" s="1905"/>
      <c r="O52" s="1895" t="s">
        <v>1045</v>
      </c>
      <c r="P52" s="1886" t="s">
        <v>1547</v>
      </c>
      <c r="Q52" s="1887" t="b">
        <f>J53</f>
        <v>0</v>
      </c>
      <c r="R52" s="1887" t="s">
        <v>1548</v>
      </c>
    </row>
    <row r="53" spans="1:18" s="1843" customFormat="1" ht="24.75" thickBot="1">
      <c r="A53" s="1405" t="s">
        <v>1137</v>
      </c>
      <c r="B53" s="1832" t="s">
        <v>1410</v>
      </c>
      <c r="C53" s="362">
        <f ca="1">ROUND(IF(F53="押一",F49*F51*F50/12*F11,IF(F53="押二",F49*F51*F50/12*2*F11,IF(F53="押三",F49*F51*F50/12*3*F11,C54*F11)))/10000,0)</f>
        <v>2</v>
      </c>
      <c r="D53" s="1825" t="s">
        <v>3028</v>
      </c>
      <c r="E53" s="359" t="s">
        <v>1412</v>
      </c>
      <c r="F53" s="1366" t="s">
        <v>3122</v>
      </c>
      <c r="I53" s="1906" t="s">
        <v>1549</v>
      </c>
      <c r="J53" s="1907" t="b">
        <f>IF(M47="住宅",J51,IF(D1="——",MIN(J51,L48),IF(D1="在建（套用方法）",MIN(J51,L48-'数据-取费表'!B24),IF(D1="土地（套用方法）",MIN(J51,L48-'数据-取费表'!B20)))))</f>
        <v>0</v>
      </c>
      <c r="K53" s="3143" t="s">
        <v>1550</v>
      </c>
      <c r="L53" s="3144"/>
      <c r="O53" s="1885" t="s">
        <v>1046</v>
      </c>
      <c r="P53" s="1886" t="s">
        <v>1551</v>
      </c>
      <c r="Q53" s="1887">
        <f ca="1">Q47+Q48</f>
        <v>2842</v>
      </c>
      <c r="R53" s="1887" t="s">
        <v>1047</v>
      </c>
    </row>
    <row r="54" spans="1:18" s="1843" customFormat="1" ht="13.5" thickBot="1">
      <c r="A54" s="1406"/>
      <c r="B54" s="1826" t="s">
        <v>1389</v>
      </c>
      <c r="C54" s="1178"/>
      <c r="D54" s="1825"/>
      <c r="E54" s="292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23"/>
      <c r="F55" s="1908"/>
      <c r="I55" s="1911" t="s">
        <v>1553</v>
      </c>
      <c r="J55" s="1912">
        <f ca="1">ROUND(IF(J47="钢混",J57/J50,1-(1-2%)*(J50-J57)/J50),3)</f>
        <v>0.40200000000000002</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6503</v>
      </c>
      <c r="D56" s="1915"/>
      <c r="E56" s="1916"/>
      <c r="F56" s="1908"/>
      <c r="I56" s="1917" t="s">
        <v>1556</v>
      </c>
      <c r="J56" s="1918" t="s">
        <v>3055</v>
      </c>
      <c r="K56" s="1888" t="s">
        <v>1557</v>
      </c>
      <c r="L56" s="1891" t="str">
        <f ca="1">IF(L48&lt;J51,"——",L48-J53)</f>
        <v>——</v>
      </c>
      <c r="O56" s="1885" t="s">
        <v>1040</v>
      </c>
      <c r="P56" s="1886" t="s">
        <v>1530</v>
      </c>
      <c r="Q56" s="1887">
        <f ca="1">C40+J29</f>
        <v>0</v>
      </c>
      <c r="R56" s="1887" t="s">
        <v>1531</v>
      </c>
    </row>
    <row r="57" spans="1:18" s="1843" customFormat="1" ht="24.75" thickBot="1">
      <c r="A57" s="1919"/>
      <c r="B57" s="1169" t="s">
        <v>1480</v>
      </c>
      <c r="C57" s="283">
        <f ca="1">C29</f>
        <v>7069</v>
      </c>
      <c r="D57" s="1920"/>
      <c r="E57" s="1921"/>
      <c r="F57" s="1922"/>
      <c r="I57" s="1923" t="s">
        <v>1558</v>
      </c>
      <c r="J57" s="1924">
        <f ca="1">IF(OR(M47="住宅",J51&lt;L48,J56="是"),"——",J51-L48)</f>
        <v>24.13</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148</v>
      </c>
      <c r="D58" s="1179" t="s">
        <v>1427</v>
      </c>
      <c r="E58" s="1180"/>
      <c r="F58" s="1181"/>
      <c r="I58" s="1923" t="s">
        <v>1562</v>
      </c>
      <c r="J58" s="1925">
        <f ca="1">IF(J55&lt;0.4,0.4,J55)</f>
        <v>0.40200000000000002</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126.1</v>
      </c>
      <c r="D59" s="1182" t="s">
        <v>1432</v>
      </c>
      <c r="E59" s="1183" t="s">
        <v>1433</v>
      </c>
      <c r="F59" s="369" t="str">
        <f ca="1">IF(项目基本情况!B11="企业","",IF(INDIRECT("'数据-取费表'!c"&amp;$G$1)="住宅",5%,IF(F49*F50*F51/12/(1+'数据-取费表'!C42)&gt;20000,12%,7%)))</f>
        <v/>
      </c>
      <c r="I59" s="1923" t="s">
        <v>1565</v>
      </c>
      <c r="J59" s="1924">
        <f ca="1">IF(OR(M47="住宅",J51&lt;L48,J56="是"),"——",ROUND(C29*J58,0))</f>
        <v>2842</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66.37</v>
      </c>
      <c r="D60" s="1183" t="s">
        <v>1436</v>
      </c>
      <c r="E60" s="1169" t="s">
        <v>1424</v>
      </c>
      <c r="F60" s="378">
        <f t="shared" ref="F60:F66" si="0">F32</f>
        <v>5.5000000000000007E-2</v>
      </c>
      <c r="I60" s="1926" t="s">
        <v>1567</v>
      </c>
      <c r="J60" s="1927">
        <f ca="1">IF(OR(M47="住宅",J51&lt;L48,J56="是"),"0",ROUND(J59/(1+J52)^J53,0))</f>
        <v>2842</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59.38</v>
      </c>
      <c r="D61" s="1829" t="s">
        <v>1440</v>
      </c>
      <c r="E61" s="1169" t="s">
        <v>1424</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0.39</v>
      </c>
      <c r="D62" s="1184" t="s">
        <v>1444</v>
      </c>
      <c r="E62" s="1169" t="s">
        <v>1445</v>
      </c>
      <c r="F62" s="372">
        <f t="shared" si="0"/>
        <v>1.5</v>
      </c>
      <c r="I62" s="1930" t="s">
        <v>1572</v>
      </c>
      <c r="J62" s="1931" t="s">
        <v>1573</v>
      </c>
      <c r="K62" s="1931" t="s">
        <v>1574</v>
      </c>
      <c r="L62" s="1931" t="s">
        <v>1575</v>
      </c>
      <c r="M62" s="1932" t="s">
        <v>1576</v>
      </c>
      <c r="O62" s="1885" t="s">
        <v>1046</v>
      </c>
      <c r="P62" s="1886" t="s">
        <v>1551</v>
      </c>
      <c r="Q62" s="1887">
        <f ca="1">Q56+Q57</f>
        <v>0</v>
      </c>
      <c r="R62" s="1887" t="s">
        <v>1047</v>
      </c>
    </row>
    <row r="63" spans="1:18" s="1843" customFormat="1" ht="13.5" thickBot="1">
      <c r="A63" s="373"/>
      <c r="B63" s="1175"/>
      <c r="C63" s="29"/>
      <c r="D63" s="1185"/>
      <c r="E63" s="1169" t="s">
        <v>1449</v>
      </c>
      <c r="F63" s="349">
        <f t="shared" ca="1" si="0"/>
        <v>2591.77</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7.1</v>
      </c>
      <c r="D64" s="1183" t="s">
        <v>1484</v>
      </c>
      <c r="E64" s="1169" t="s">
        <v>1424</v>
      </c>
      <c r="F64" s="375">
        <f t="shared" ca="1" si="0"/>
        <v>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1.6</v>
      </c>
      <c r="D65" s="1183" t="s">
        <v>1456</v>
      </c>
      <c r="E65" s="1169" t="s">
        <v>1424</v>
      </c>
      <c r="F65" s="377">
        <f t="shared" ca="1" si="0"/>
        <v>2.5000000000000001E-4</v>
      </c>
      <c r="I65" s="1930" t="s">
        <v>1581</v>
      </c>
      <c r="J65" s="1931">
        <v>40</v>
      </c>
      <c r="K65" s="1931">
        <v>30</v>
      </c>
      <c r="L65" s="1931">
        <v>50</v>
      </c>
      <c r="M65" s="1933">
        <v>0.02</v>
      </c>
      <c r="O65" s="1885" t="s">
        <v>1040</v>
      </c>
      <c r="P65" s="1886" t="s">
        <v>1530</v>
      </c>
      <c r="Q65" s="1887">
        <f ca="1">C40+J29</f>
        <v>0</v>
      </c>
      <c r="R65" s="1887" t="s">
        <v>1531</v>
      </c>
    </row>
    <row r="66" spans="1:18" s="1843" customFormat="1" ht="16.5" thickBot="1">
      <c r="A66" s="1201" t="s">
        <v>1506</v>
      </c>
      <c r="B66" s="1169" t="s">
        <v>1441</v>
      </c>
      <c r="C66" s="24">
        <f ca="1">ROUND(C48*F66,1)</f>
        <v>12.7</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1119</v>
      </c>
      <c r="D67" s="1182" t="s">
        <v>1466</v>
      </c>
      <c r="E67" s="1187"/>
      <c r="F67" s="1188"/>
      <c r="O67" s="1895" t="s">
        <v>1042</v>
      </c>
      <c r="P67" s="1886" t="s">
        <v>1564</v>
      </c>
      <c r="Q67" s="1934">
        <f ca="1">L51</f>
        <v>8813</v>
      </c>
      <c r="R67" s="1887" t="s">
        <v>1584</v>
      </c>
    </row>
    <row r="68" spans="1:18" s="1843" customFormat="1" ht="16.5" thickBot="1">
      <c r="A68" s="1166" t="s">
        <v>1032</v>
      </c>
      <c r="B68" s="1167" t="s">
        <v>1487</v>
      </c>
      <c r="C68" s="347">
        <f ca="1">ROUND(C67*(1-((1+F70)/(1+F68))^F69)/(F68-F70),0)</f>
        <v>0</v>
      </c>
      <c r="D68" s="1184" t="s">
        <v>1471</v>
      </c>
      <c r="E68" s="1169" t="s">
        <v>1472</v>
      </c>
      <c r="F68" s="358">
        <f ca="1">F40</f>
        <v>5.5E-2</v>
      </c>
      <c r="O68" s="1895" t="s">
        <v>1043</v>
      </c>
      <c r="P68" s="1935" t="s">
        <v>1585</v>
      </c>
      <c r="Q68" s="1887">
        <f ca="1">ROUND(Q69-Q70*Q71,0)</f>
        <v>566</v>
      </c>
      <c r="R68" s="1887" t="s">
        <v>1051</v>
      </c>
    </row>
    <row r="69" spans="1:18" s="1843" customFormat="1" ht="13.5" thickBot="1">
      <c r="A69" s="1170"/>
      <c r="B69" s="1171"/>
      <c r="C69" s="352"/>
      <c r="D69" s="1189" t="s">
        <v>1475</v>
      </c>
      <c r="E69" s="1169" t="s">
        <v>1476</v>
      </c>
      <c r="F69" s="380">
        <f ca="1">F41</f>
        <v>0</v>
      </c>
      <c r="O69" s="1895" t="s">
        <v>1048</v>
      </c>
      <c r="P69" s="1935" t="s">
        <v>1586</v>
      </c>
      <c r="Q69" s="1887">
        <f ca="1">C39</f>
        <v>1119</v>
      </c>
      <c r="R69" s="1887" t="s">
        <v>1531</v>
      </c>
    </row>
    <row r="70" spans="1:18" s="1843" customFormat="1" ht="13.5" thickBot="1">
      <c r="A70" s="1173"/>
      <c r="B70" s="1174"/>
      <c r="C70" s="356"/>
      <c r="D70" s="1185"/>
      <c r="E70" s="1169" t="s">
        <v>1479</v>
      </c>
      <c r="F70" s="1275">
        <f>'数据-取费表'!V7</f>
        <v>0.04</v>
      </c>
      <c r="O70" s="1895" t="s">
        <v>1049</v>
      </c>
      <c r="P70" s="1935" t="s">
        <v>1587</v>
      </c>
      <c r="Q70" s="1887">
        <f ca="1">C13</f>
        <v>6503</v>
      </c>
      <c r="R70" s="1887" t="s">
        <v>1531</v>
      </c>
    </row>
    <row r="71" spans="1:18" s="1843" customFormat="1" ht="13.5" thickBot="1">
      <c r="A71" s="1190" t="s">
        <v>1033</v>
      </c>
      <c r="B71" s="1191" t="s">
        <v>1489</v>
      </c>
      <c r="C71" s="383">
        <f ca="1">ROUND(C68*10000/F71,0)</f>
        <v>0</v>
      </c>
      <c r="D71" s="1192" t="s">
        <v>1490</v>
      </c>
      <c r="E71" s="1193" t="s">
        <v>1491</v>
      </c>
      <c r="F71" s="386">
        <f ca="1">F43</f>
        <v>9862.1200000000026</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553</v>
      </c>
      <c r="D75" s="1843"/>
      <c r="E75" s="1843"/>
      <c r="F75" s="1843"/>
      <c r="K75" s="1869"/>
      <c r="L75" s="1843"/>
      <c r="O75" s="1885" t="s">
        <v>1046</v>
      </c>
      <c r="P75" s="1886" t="s">
        <v>1551</v>
      </c>
      <c r="Q75" s="1887">
        <f ca="1">Q65+Q66</f>
        <v>0</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0.50600000000000001</v>
      </c>
    </row>
    <row r="80" spans="1:18">
      <c r="B80" s="387" t="s">
        <v>1513</v>
      </c>
      <c r="C80" s="319">
        <f ca="1">ROUND(C75/C39,3)</f>
        <v>0.49399999999999999</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北京市昌平区黄平路19号院3号楼商业及地下车库用房房地产抵押价值预评估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3" t="str">
        <f>项目基本情况!B5</f>
        <v>上海浦东发展银行股份有限公司北京分行</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欧红伟（注册号：1120000080)、梁津（注册号：1119970066)</v>
      </c>
    </row>
    <row r="47" spans="1:9">
      <c r="A47" s="1014"/>
      <c r="B47" s="1014" t="str">
        <f>项目基本情况!K5</f>
        <v/>
      </c>
    </row>
    <row r="48" spans="1:9">
      <c r="A48" s="1014" t="s">
        <v>818</v>
      </c>
      <c r="B48" s="1014" t="s">
        <v>824</v>
      </c>
    </row>
    <row r="49" spans="2:2">
      <c r="B49" s="1943" t="str">
        <f>"康正预评字"&amp;项目基本情况!B2&amp;"号"</f>
        <v>康正预评字2017-1-0959-F01DYGJ1号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C13" sqref="C1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48</v>
      </c>
      <c r="D1" s="1821"/>
      <c r="E1" s="1822" t="s">
        <v>1388</v>
      </c>
      <c r="F1" s="1283" t="b">
        <f>J53</f>
        <v>0</v>
      </c>
      <c r="G1" s="1837">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2222</v>
      </c>
      <c r="C2" s="1846" t="s">
        <v>1518</v>
      </c>
      <c r="D2" s="1846"/>
      <c r="E2" s="1847"/>
      <c r="F2" s="1848"/>
      <c r="G2" s="1849"/>
      <c r="H2" s="1841"/>
      <c r="I2" s="1841"/>
      <c r="J2" s="1841"/>
      <c r="K2" s="1842"/>
      <c r="L2" s="1841"/>
      <c r="M2" s="1841"/>
    </row>
    <row r="3" spans="1:37" ht="18" customHeight="1" thickBot="1">
      <c r="A3" s="1850" t="s">
        <v>1519</v>
      </c>
      <c r="B3" s="1851">
        <f ca="1">IF(ISERROR(B2*10000/F43),0,ROUND(B2*10000/F43,0))</f>
        <v>1797</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262</v>
      </c>
      <c r="D5" s="1823" t="s">
        <v>1403</v>
      </c>
      <c r="E5" s="1293"/>
      <c r="F5" s="1294"/>
      <c r="G5" s="1852"/>
      <c r="H5" s="345">
        <v>1</v>
      </c>
      <c r="I5" s="346" t="s">
        <v>1402</v>
      </c>
      <c r="J5" s="1292">
        <f ca="1">J6+J10+J12</f>
        <v>0</v>
      </c>
      <c r="K5" s="1823" t="s">
        <v>1403</v>
      </c>
      <c r="L5" s="1293"/>
      <c r="M5" s="1294"/>
    </row>
    <row r="6" spans="1:37" ht="18" customHeight="1">
      <c r="A6" s="1291" t="s">
        <v>1035</v>
      </c>
      <c r="B6" s="3140" t="s">
        <v>1404</v>
      </c>
      <c r="C6" s="1296">
        <f ca="1">ROUND(F6*F8*F7*(1-F9)/10000,0)</f>
        <v>262</v>
      </c>
      <c r="D6" s="165" t="s">
        <v>3032</v>
      </c>
      <c r="E6" s="348" t="s">
        <v>1406</v>
      </c>
      <c r="F6" s="349">
        <f ca="1">INDIRECT("'数据-取费表'!u"&amp;$G$1)</f>
        <v>650</v>
      </c>
      <c r="G6" s="1852"/>
      <c r="H6" s="1291" t="s">
        <v>1035</v>
      </c>
      <c r="I6" s="3140" t="s">
        <v>1404</v>
      </c>
      <c r="J6" s="347">
        <f ca="1">ROUND(M6*M8*M7*(1-M9)/10000,0)</f>
        <v>0</v>
      </c>
      <c r="K6" s="165" t="s">
        <v>3031</v>
      </c>
      <c r="L6" s="348" t="s">
        <v>1406</v>
      </c>
      <c r="M6" s="349">
        <f ca="1">INDIRECT("'数据-取费表'!z"&amp;$G$1)</f>
        <v>0</v>
      </c>
    </row>
    <row r="7" spans="1:37" ht="18" customHeight="1">
      <c r="A7" s="1295"/>
      <c r="B7" s="3141"/>
      <c r="C7" s="1297"/>
      <c r="D7" s="353"/>
      <c r="E7" s="1298" t="s">
        <v>1407</v>
      </c>
      <c r="F7" s="349">
        <f ca="1">IF(INDIRECT("'数据-取费表'!ah"&amp;$G$1)="",INDIRECT("'数据-取费表'!k"&amp;$G$1),INDIRECT("'数据-取费表'!ah"&amp;$G$1))</f>
        <v>353</v>
      </c>
      <c r="G7" s="1852"/>
      <c r="H7" s="350"/>
      <c r="I7" s="3141"/>
      <c r="J7" s="352"/>
      <c r="K7" s="353"/>
      <c r="L7" s="348" t="s">
        <v>1407</v>
      </c>
      <c r="M7" s="349">
        <f ca="1">F7</f>
        <v>353</v>
      </c>
    </row>
    <row r="8" spans="1:37" ht="18" customHeight="1">
      <c r="A8" s="350"/>
      <c r="B8" s="3141"/>
      <c r="C8" s="352"/>
      <c r="D8" s="353"/>
      <c r="E8" s="348" t="s">
        <v>1408</v>
      </c>
      <c r="F8" s="349">
        <f ca="1">INDIRECT("'数据-取费表'!ai"&amp;$G$1)</f>
        <v>12</v>
      </c>
      <c r="G8" s="1852"/>
      <c r="H8" s="350"/>
      <c r="I8" s="3141"/>
      <c r="J8" s="352"/>
      <c r="K8" s="353"/>
      <c r="L8" s="348" t="s">
        <v>1408</v>
      </c>
      <c r="M8" s="349">
        <f ca="1">INDIRECT("'数据-取费表'!ai"&amp;$G$1)</f>
        <v>12</v>
      </c>
    </row>
    <row r="9" spans="1:37" ht="18" customHeight="1">
      <c r="A9" s="350"/>
      <c r="B9" s="3142"/>
      <c r="C9" s="352"/>
      <c r="D9" s="353"/>
      <c r="E9" s="348" t="s">
        <v>1409</v>
      </c>
      <c r="F9" s="358">
        <f ca="1">INDIRECT("'数据-取费表'!w"&amp;$G$1)</f>
        <v>0.05</v>
      </c>
      <c r="G9" s="1852"/>
      <c r="H9" s="350"/>
      <c r="I9" s="3142"/>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0</v>
      </c>
      <c r="D10" s="1825" t="s">
        <v>3033</v>
      </c>
      <c r="E10" s="359" t="s">
        <v>1412</v>
      </c>
      <c r="F10" s="1366" t="s">
        <v>3122</v>
      </c>
      <c r="G10" s="1852"/>
      <c r="H10" s="1291" t="s">
        <v>1039</v>
      </c>
      <c r="I10" s="1824" t="s">
        <v>1410</v>
      </c>
      <c r="J10" s="347">
        <f ca="1">ROUND(IF(M10="押一",M6*M8*M7/12*M11,IF(M10="押二",M6*M8*M7/12*2*M11,IF(M10="押三",M6*M8*M7/12*3*M11,J11*M11)))/10000,0)</f>
        <v>0</v>
      </c>
      <c r="K10" s="1825" t="s">
        <v>3034</v>
      </c>
      <c r="L10" s="359" t="s">
        <v>1412</v>
      </c>
      <c r="M10" s="1366" t="s">
        <v>1413</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5110</v>
      </c>
      <c r="D13" s="1331" t="s">
        <v>1417</v>
      </c>
      <c r="E13" s="1331" t="s">
        <v>1418</v>
      </c>
      <c r="F13" s="1332">
        <f ca="1">INDIRECT("'数据-取费表'!y"&amp;$G$1)</f>
        <v>0.92</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3709</v>
      </c>
      <c r="D14" s="1801" t="s">
        <v>1420</v>
      </c>
      <c r="E14" s="1795"/>
      <c r="F14" s="365"/>
      <c r="G14" s="1852"/>
      <c r="H14" s="1201" t="s">
        <v>1035</v>
      </c>
      <c r="I14" s="348" t="s">
        <v>1421</v>
      </c>
      <c r="J14" s="24">
        <f ca="1">C29</f>
        <v>5554</v>
      </c>
      <c r="K14" s="15"/>
      <c r="L14" s="979"/>
      <c r="M14" s="980"/>
    </row>
    <row r="15" spans="1:37" s="1859" customFormat="1" ht="18" customHeight="1" thickBot="1">
      <c r="A15" s="1201" t="s">
        <v>1036</v>
      </c>
      <c r="B15" s="348" t="s">
        <v>1422</v>
      </c>
      <c r="C15" s="24">
        <f ca="1">ROUND(C14*F15,0)</f>
        <v>185</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53</v>
      </c>
      <c r="K16" s="1337" t="s">
        <v>1427</v>
      </c>
      <c r="L16" s="1338"/>
      <c r="M16" s="1294"/>
    </row>
    <row r="17" spans="1:37" s="1859" customFormat="1" ht="18" customHeight="1">
      <c r="A17" s="1201" t="s">
        <v>1391</v>
      </c>
      <c r="B17" s="348" t="s">
        <v>1428</v>
      </c>
      <c r="C17" s="24">
        <f ca="1">ROUND(F17*(F43+INDIRECT("'数据-取费表'!S"&amp;$G$1))/10000,0)</f>
        <v>247</v>
      </c>
      <c r="D17" s="348" t="s">
        <v>1429</v>
      </c>
      <c r="E17" s="348" t="s">
        <v>1430</v>
      </c>
      <c r="F17" s="26">
        <f>'数据-取费表'!B35</f>
        <v>200</v>
      </c>
      <c r="G17" s="1855"/>
      <c r="H17" s="1201" t="s">
        <v>1035</v>
      </c>
      <c r="I17" s="348" t="s">
        <v>1431</v>
      </c>
      <c r="J17" s="24">
        <f ca="1">ROUND(IF(项目基本情况!B11="自然人",J5*M17,J18+J19+J20),1)</f>
        <v>47.1</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56</v>
      </c>
      <c r="D18" s="348" t="s">
        <v>1423</v>
      </c>
      <c r="E18" s="348" t="s">
        <v>1424</v>
      </c>
      <c r="F18" s="368">
        <f>'数据-取费表'!B36</f>
        <v>1.4999999999999999E-2</v>
      </c>
      <c r="G18" s="1855"/>
      <c r="H18" s="1201" t="s">
        <v>1034</v>
      </c>
      <c r="I18" s="348" t="s">
        <v>1435</v>
      </c>
      <c r="J18" s="24">
        <f ca="1">ROUND(J5*M18/(1+'数据-取费表'!C42),2)</f>
        <v>0</v>
      </c>
      <c r="K18" s="1799"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4197</v>
      </c>
      <c r="D19" s="140" t="s">
        <v>1438</v>
      </c>
      <c r="E19" s="1819"/>
      <c r="F19" s="26"/>
      <c r="G19" s="1852"/>
      <c r="H19" s="1201" t="s">
        <v>1036</v>
      </c>
      <c r="I19" s="348" t="s">
        <v>1439</v>
      </c>
      <c r="J19" s="24">
        <f ca="1">IF(K19="按租金收入计税",ROUND(J5*M19,2),ROUND(C29*M19*0.7,2))</f>
        <v>46.65</v>
      </c>
      <c r="K19" s="1829" t="s">
        <v>1440</v>
      </c>
      <c r="L19" s="348" t="s">
        <v>1424</v>
      </c>
      <c r="M19" s="368">
        <f>IF(K19="按租金收入计税",'数据-取费表'!B51,'数据-取费表'!B50)</f>
        <v>1.2E-2</v>
      </c>
    </row>
    <row r="20" spans="1:37" s="1859" customFormat="1" ht="18" customHeight="1">
      <c r="A20" s="1201" t="s">
        <v>1039</v>
      </c>
      <c r="B20" s="348" t="s">
        <v>1441</v>
      </c>
      <c r="C20" s="24">
        <f ca="1">ROUND(C19*F20,0)</f>
        <v>42</v>
      </c>
      <c r="D20" s="370" t="s">
        <v>1442</v>
      </c>
      <c r="E20" s="348" t="s">
        <v>1424</v>
      </c>
      <c r="F20" s="368">
        <f>'数据-取费表'!B37</f>
        <v>0.01</v>
      </c>
      <c r="G20" s="1855"/>
      <c r="H20" s="1201" t="s">
        <v>1390</v>
      </c>
      <c r="I20" s="165" t="s">
        <v>1443</v>
      </c>
      <c r="J20" s="25">
        <f ca="1">ROUND(M20*M21/10000,2)</f>
        <v>0.49</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3248.74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9"/>
      <c r="F22" s="26"/>
      <c r="G22" s="1852"/>
      <c r="H22" s="1201" t="s">
        <v>1039</v>
      </c>
      <c r="I22" s="348" t="s">
        <v>1451</v>
      </c>
      <c r="J22" s="24">
        <f ca="1">ROUND(J14*M22,1)</f>
        <v>5.6</v>
      </c>
      <c r="K22" s="1799" t="s">
        <v>1452</v>
      </c>
      <c r="L22" s="348" t="s">
        <v>1424</v>
      </c>
      <c r="M22" s="375">
        <f ca="1">INDIRECT("'数据-取费表'!Ak"&amp;$G$1)</f>
        <v>1E-3</v>
      </c>
    </row>
    <row r="23" spans="1:37" s="1859" customFormat="1" ht="18" customHeight="1">
      <c r="A23" s="1201" t="s">
        <v>1034</v>
      </c>
      <c r="B23" s="348" t="s">
        <v>1453</v>
      </c>
      <c r="C23" s="24">
        <f ca="1">IF('数据-取费表'!B22&lt;=1,ROUND(C19*F24*F23/2,0)+ROUND(C20*F24*F23/2,0),ROUND(C19*(POWER((1+F24),F23/2)-1),0)+ROUND(C20*(POWER((1+F24),F23/2)-1),0))</f>
        <v>254</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0</v>
      </c>
      <c r="K23" s="1799" t="s">
        <v>1456</v>
      </c>
      <c r="L23" s="348" t="s">
        <v>1457</v>
      </c>
      <c r="M23" s="377">
        <f ca="1">INDIRECT("'数据-取费表'!Al"&amp;$G$1)</f>
        <v>2.5000000000000001E-4</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1819"/>
      <c r="F25" s="26"/>
      <c r="G25" s="1852"/>
      <c r="H25" s="1329" t="s">
        <v>1031</v>
      </c>
      <c r="I25" s="1344" t="s">
        <v>1465</v>
      </c>
      <c r="J25" s="356">
        <f ca="1">J5-J16</f>
        <v>-53</v>
      </c>
      <c r="K25" s="1345" t="s">
        <v>1466</v>
      </c>
      <c r="L25" s="1346"/>
      <c r="M25" s="1347"/>
    </row>
    <row r="26" spans="1:37">
      <c r="A26" s="1201" t="s">
        <v>1034</v>
      </c>
      <c r="B26" s="348" t="s">
        <v>1467</v>
      </c>
      <c r="C26" s="24">
        <f ca="1">ROUND((C19+C20)*F26,0)</f>
        <v>636</v>
      </c>
      <c r="D26" s="370" t="s">
        <v>1468</v>
      </c>
      <c r="E26" s="359" t="s">
        <v>1469</v>
      </c>
      <c r="F26" s="358">
        <f ca="1">INDIRECT("'数据-取费表'!q"&amp;$G$1)</f>
        <v>0.15</v>
      </c>
      <c r="G26" s="1852"/>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1" t="s">
        <v>1036</v>
      </c>
      <c r="B27" s="348" t="s">
        <v>1473</v>
      </c>
      <c r="C27" s="24">
        <f ca="1">ROUND(F21*F26,4)</f>
        <v>3.0000000000000001E-3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5554</v>
      </c>
      <c r="D29" s="1342"/>
      <c r="E29" s="1340"/>
      <c r="F29" s="1343"/>
      <c r="G29" s="1855"/>
      <c r="H29" s="381" t="s">
        <v>1033</v>
      </c>
      <c r="I29" s="382" t="s">
        <v>1481</v>
      </c>
      <c r="J29" s="383">
        <f ca="1">ROUND(J26/(1+F40)^F41,0)</f>
        <v>0</v>
      </c>
      <c r="K29" s="384" t="s">
        <v>1482</v>
      </c>
      <c r="L29" s="385"/>
      <c r="M29" s="386">
        <f ca="1">INDIRECT("'数据-取费表'!k"&amp;$G$1)</f>
        <v>12362.01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70</v>
      </c>
      <c r="D30" s="1337" t="s">
        <v>1427</v>
      </c>
      <c r="E30" s="1338"/>
      <c r="F30" s="1294"/>
      <c r="G30" s="1852"/>
      <c r="H30" s="746"/>
      <c r="I30" s="747"/>
      <c r="J30" s="748"/>
      <c r="K30" s="749"/>
      <c r="L30" s="750"/>
      <c r="M30" s="751"/>
    </row>
    <row r="31" spans="1:37" ht="18" customHeight="1">
      <c r="A31" s="1201" t="s">
        <v>1035</v>
      </c>
      <c r="B31" s="348" t="s">
        <v>1431</v>
      </c>
      <c r="C31" s="24">
        <f ca="1">ROUND(IF(项目基本情况!B11="自然人",C5*F31,C32+C33+C34),1)</f>
        <v>60.9</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13.72</v>
      </c>
      <c r="D32" s="1799"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46.65</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0.49</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3248.74</v>
      </c>
      <c r="G35" s="1852"/>
      <c r="H35" s="746"/>
      <c r="I35" s="1861"/>
      <c r="J35" s="1862"/>
      <c r="K35" s="1863"/>
      <c r="L35" s="1860"/>
      <c r="M35" s="1860"/>
    </row>
    <row r="36" spans="1:18" ht="18" customHeight="1">
      <c r="A36" s="1352" t="s">
        <v>1039</v>
      </c>
      <c r="B36" s="348" t="s">
        <v>1451</v>
      </c>
      <c r="C36" s="24">
        <f ca="1">ROUND(C29*F36,1)</f>
        <v>5.6</v>
      </c>
      <c r="D36" s="1799" t="s">
        <v>1484</v>
      </c>
      <c r="E36" s="348" t="s">
        <v>1424</v>
      </c>
      <c r="F36" s="375">
        <f ca="1">INDIRECT("'数据-取费表'!Ak"&amp;$G$1)</f>
        <v>1E-3</v>
      </c>
      <c r="G36" s="1852"/>
      <c r="H36" s="1860"/>
      <c r="I36" s="1861"/>
      <c r="J36" s="1862"/>
      <c r="K36" s="752"/>
      <c r="L36" s="1860"/>
      <c r="M36" s="1860"/>
    </row>
    <row r="37" spans="1:18" ht="18" customHeight="1">
      <c r="A37" s="1201" t="s">
        <v>1075</v>
      </c>
      <c r="B37" s="348" t="s">
        <v>1455</v>
      </c>
      <c r="C37" s="24">
        <f ca="1">ROUND(C13*F37,1)</f>
        <v>1.3</v>
      </c>
      <c r="D37" s="1799" t="s">
        <v>1456</v>
      </c>
      <c r="E37" s="348" t="s">
        <v>1457</v>
      </c>
      <c r="F37" s="377">
        <f ca="1">INDIRECT("'数据-取费表'!Al"&amp;$G$1)</f>
        <v>2.5000000000000001E-4</v>
      </c>
      <c r="G37" s="1852"/>
      <c r="H37" s="1860"/>
      <c r="I37" s="1861"/>
      <c r="J37" s="1862"/>
      <c r="K37" s="752"/>
      <c r="L37" s="1860"/>
      <c r="M37" s="1860"/>
    </row>
    <row r="38" spans="1:18" ht="18" customHeight="1" thickBot="1">
      <c r="A38" s="1339" t="s">
        <v>1394</v>
      </c>
      <c r="B38" s="1340" t="s">
        <v>1441</v>
      </c>
      <c r="C38" s="1341">
        <f ca="1">ROUND(C5*F38,1)</f>
        <v>2.6</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6">
        <f ca="1">C5-C30</f>
        <v>192</v>
      </c>
      <c r="D39" s="1345" t="s">
        <v>1486</v>
      </c>
      <c r="E39" s="1346"/>
      <c r="F39" s="1347"/>
      <c r="G39" s="1852"/>
      <c r="H39" s="1860"/>
      <c r="I39" s="1861"/>
      <c r="J39" s="1862"/>
      <c r="K39" s="1866"/>
      <c r="L39" s="1860"/>
      <c r="M39" s="1860"/>
    </row>
    <row r="40" spans="1:18" ht="18" customHeight="1">
      <c r="A40" s="345" t="s">
        <v>1032</v>
      </c>
      <c r="B40" s="346" t="s">
        <v>1487</v>
      </c>
      <c r="C40" s="347">
        <f ca="1">ROUND(C39*(1-((1+F42)/(1+F40))^F41)/(F40-F42),0)</f>
        <v>0</v>
      </c>
      <c r="D40" s="371" t="s">
        <v>1471</v>
      </c>
      <c r="E40" s="348" t="s">
        <v>1472</v>
      </c>
      <c r="F40" s="358">
        <f ca="1">INDIRECT("'数据-取费表'!I"&amp;$G$1)</f>
        <v>4.4999999999999998E-2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2.5000000000000001E-2</v>
      </c>
      <c r="G42" s="1852"/>
      <c r="H42" s="733"/>
      <c r="I42" s="1861"/>
      <c r="J42" s="1862"/>
      <c r="K42" s="752"/>
      <c r="L42" s="733"/>
      <c r="M42" s="733"/>
    </row>
    <row r="43" spans="1:18" ht="18" customHeight="1" thickBot="1">
      <c r="A43" s="381" t="s">
        <v>1033</v>
      </c>
      <c r="B43" s="382" t="s">
        <v>1489</v>
      </c>
      <c r="C43" s="383">
        <f ca="1">ROUND(C40*10000/F43,0)</f>
        <v>0</v>
      </c>
      <c r="D43" s="384" t="s">
        <v>1490</v>
      </c>
      <c r="E43" s="385" t="s">
        <v>1491</v>
      </c>
      <c r="F43" s="386">
        <f ca="1">INDIRECT("'数据-取费表'!k"&amp;$G$1)</f>
        <v>12362.01</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0</v>
      </c>
      <c r="D46" s="1873" t="str">
        <f>C2</f>
        <v>万元</v>
      </c>
      <c r="E46" s="1867"/>
      <c r="F46" s="1867"/>
      <c r="I46" s="1874" t="s">
        <v>1523</v>
      </c>
      <c r="J46" s="1875"/>
      <c r="K46" s="1876"/>
      <c r="L46" s="1877">
        <f ca="1">IF(M47="住宅",0,IF(L48&gt;J51,L60,J60))</f>
        <v>2222</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50</v>
      </c>
      <c r="M47" s="1839" t="str">
        <f>IF(ISNUMBER(FIND("住宅",C1)),"住宅","非住宅")</f>
        <v>非住宅</v>
      </c>
      <c r="O47" s="1885" t="s">
        <v>1040</v>
      </c>
      <c r="P47" s="1886" t="s">
        <v>1530</v>
      </c>
      <c r="Q47" s="1887">
        <f ca="1">C40+J29</f>
        <v>0</v>
      </c>
      <c r="R47" s="1887" t="s">
        <v>1531</v>
      </c>
    </row>
    <row r="48" spans="1:18" s="1843" customFormat="1" ht="28.5" thickBot="1">
      <c r="A48" s="1360" t="s">
        <v>1135</v>
      </c>
      <c r="B48" s="346" t="s">
        <v>1402</v>
      </c>
      <c r="C48" s="1818">
        <f ca="1">C49+C53+C55</f>
        <v>0</v>
      </c>
      <c r="D48" s="1362"/>
      <c r="E48" s="1363"/>
      <c r="F48" s="1181"/>
      <c r="G48" s="793"/>
      <c r="H48" s="794"/>
      <c r="I48" s="1888" t="s">
        <v>1532</v>
      </c>
      <c r="J48" s="1889" t="s">
        <v>3121</v>
      </c>
      <c r="K48" s="1890" t="s">
        <v>1533</v>
      </c>
      <c r="L48" s="1891">
        <f ca="1">INDIRECT("'数据-取费表'!f"&amp;$G$1)</f>
        <v>40.880000000000003</v>
      </c>
      <c r="O48" s="1885" t="s">
        <v>1041</v>
      </c>
      <c r="P48" s="1886" t="s">
        <v>1534</v>
      </c>
      <c r="Q48" s="1887">
        <f ca="1">J60</f>
        <v>2222</v>
      </c>
      <c r="R48" s="1887" t="s">
        <v>1535</v>
      </c>
    </row>
    <row r="49" spans="1:18" s="1843" customFormat="1" ht="13.5" thickBot="1">
      <c r="A49" s="1194" t="s">
        <v>1136</v>
      </c>
      <c r="B49" s="1830" t="s">
        <v>1492</v>
      </c>
      <c r="C49" s="1364">
        <f ca="1">ROUND(F49*F51*F50*(1-F52)/10000,0)</f>
        <v>0</v>
      </c>
      <c r="D49" s="1276" t="s">
        <v>3035</v>
      </c>
      <c r="E49" s="1831" t="s">
        <v>1493</v>
      </c>
      <c r="F49" s="1281"/>
      <c r="G49" s="1892"/>
      <c r="H49" s="794"/>
      <c r="I49" s="1888" t="s">
        <v>1536</v>
      </c>
      <c r="J49" s="1893">
        <v>2012</v>
      </c>
      <c r="K49" s="1890" t="s">
        <v>1537</v>
      </c>
      <c r="L49" s="1894"/>
      <c r="O49" s="1895" t="s">
        <v>1042</v>
      </c>
      <c r="P49" s="1886" t="s">
        <v>1538</v>
      </c>
      <c r="Q49" s="1887">
        <f ca="1">C29</f>
        <v>5554</v>
      </c>
      <c r="R49" s="1887" t="s">
        <v>1531</v>
      </c>
    </row>
    <row r="50" spans="1:18" s="1843" customFormat="1" ht="13.5" thickBot="1">
      <c r="A50" s="1195"/>
      <c r="B50" s="1198"/>
      <c r="C50" s="1368"/>
      <c r="D50" s="1172"/>
      <c r="E50" s="1277" t="s">
        <v>1407</v>
      </c>
      <c r="F50" s="1278">
        <f ca="1">F7</f>
        <v>353</v>
      </c>
      <c r="H50" s="794"/>
      <c r="I50" s="1888" t="s">
        <v>1539</v>
      </c>
      <c r="J50" s="1896">
        <f>SUMPRODUCT((I63:I65=J47)*(J62:L62=J48)*(J63:L65))</f>
        <v>60</v>
      </c>
      <c r="K50" s="1890" t="s">
        <v>1540</v>
      </c>
      <c r="L50" s="1894"/>
      <c r="M50" s="1897"/>
      <c r="O50" s="1895" t="s">
        <v>1043</v>
      </c>
      <c r="P50" s="1886" t="s">
        <v>1541</v>
      </c>
      <c r="Q50" s="1898">
        <f ca="1">J58</f>
        <v>0.4</v>
      </c>
      <c r="R50" s="1887"/>
    </row>
    <row r="51" spans="1:18" s="1843" customFormat="1" ht="13.5" thickBot="1">
      <c r="A51" s="1196"/>
      <c r="B51" s="1198"/>
      <c r="C51" s="1199"/>
      <c r="D51" s="1172"/>
      <c r="E51" s="1200" t="s">
        <v>1408</v>
      </c>
      <c r="F51" s="349">
        <f ca="1">F8</f>
        <v>12</v>
      </c>
      <c r="I51" s="1899" t="s">
        <v>1542</v>
      </c>
      <c r="J51" s="1900">
        <f>IF(J49="",J50,J49+J50-YEAR('数据-取费表'!B2))</f>
        <v>55</v>
      </c>
      <c r="K51" s="1901" t="s">
        <v>1543</v>
      </c>
      <c r="L51" s="1902">
        <f ca="1">ROUND(-PV(INDIRECT("'数据-取费表'!h"&amp;$G$1),L48,(C39-C13*C76),0),0)</f>
        <v>-4840</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t="b">
        <f>J53</f>
        <v>0</v>
      </c>
      <c r="R52" s="1887" t="s">
        <v>1548</v>
      </c>
    </row>
    <row r="53" spans="1:18" s="1843" customFormat="1" ht="24.75" thickBot="1">
      <c r="A53" s="1405" t="s">
        <v>1137</v>
      </c>
      <c r="B53" s="1832" t="s">
        <v>1410</v>
      </c>
      <c r="C53" s="362">
        <f ca="1">ROUND(IF(F53="押一",F49*F51*F50/12*F11,IF(F53="押二",F49*F51*F50/12*2*F11,IF(F53="押三",F49*F51*F50/12*3*F11,C54*F11)))/10000,0)</f>
        <v>0</v>
      </c>
      <c r="D53" s="1825" t="s">
        <v>3033</v>
      </c>
      <c r="E53" s="359" t="s">
        <v>1412</v>
      </c>
      <c r="F53" s="1366"/>
      <c r="I53" s="1906" t="s">
        <v>1549</v>
      </c>
      <c r="J53" s="1907" t="b">
        <f>IF(M47="住宅",J51,IF(D1="——",MIN(J51,L48),IF(D1="在建（套用方法）",MIN(J51,L48-'数据-取费表'!B24),IF(D1="土地（套用方法）",MIN(J51,L48-'数据-取费表'!B20)))))</f>
        <v>0</v>
      </c>
      <c r="K53" s="3143" t="s">
        <v>1550</v>
      </c>
      <c r="L53" s="3144"/>
      <c r="O53" s="1885" t="s">
        <v>1046</v>
      </c>
      <c r="P53" s="1886" t="s">
        <v>1551</v>
      </c>
      <c r="Q53" s="1887">
        <f ca="1">Q47+Q48</f>
        <v>2222</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f ca="1">ROUND(IF(J47="钢混",J57/J50,1-(1-2%)*(J50-J57)/J50),3)</f>
        <v>0.23499999999999999</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5110</v>
      </c>
      <c r="D56" s="1915"/>
      <c r="E56" s="1916"/>
      <c r="F56" s="1908"/>
      <c r="I56" s="1917" t="s">
        <v>1556</v>
      </c>
      <c r="J56" s="1918" t="s">
        <v>3055</v>
      </c>
      <c r="K56" s="1888" t="s">
        <v>1557</v>
      </c>
      <c r="L56" s="1891" t="str">
        <f ca="1">IF(L48&lt;J51,"——",L48-J53)</f>
        <v>——</v>
      </c>
      <c r="O56" s="1885" t="s">
        <v>1040</v>
      </c>
      <c r="P56" s="1886" t="s">
        <v>1530</v>
      </c>
      <c r="Q56" s="1887">
        <f ca="1">C40+J29</f>
        <v>0</v>
      </c>
      <c r="R56" s="1887" t="s">
        <v>1531</v>
      </c>
    </row>
    <row r="57" spans="1:18" s="1843" customFormat="1" ht="24.75" thickBot="1">
      <c r="A57" s="1919"/>
      <c r="B57" s="1169" t="s">
        <v>1480</v>
      </c>
      <c r="C57" s="283">
        <f ca="1">C29</f>
        <v>5554</v>
      </c>
      <c r="D57" s="1920"/>
      <c r="E57" s="1921"/>
      <c r="F57" s="1922"/>
      <c r="I57" s="1923" t="s">
        <v>1558</v>
      </c>
      <c r="J57" s="1924">
        <f ca="1">IF(OR(M47="住宅",J51&lt;L48,J56="是"),"——",J51-L48)</f>
        <v>14.119999999999997</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54</v>
      </c>
      <c r="D58" s="1179" t="s">
        <v>1427</v>
      </c>
      <c r="E58" s="1180"/>
      <c r="F58" s="1181"/>
      <c r="I58" s="1923" t="s">
        <v>1562</v>
      </c>
      <c r="J58" s="1925">
        <f ca="1">IF(J55&lt;0.4,0.4,J55)</f>
        <v>0.4</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47.1</v>
      </c>
      <c r="D59" s="1182" t="s">
        <v>1432</v>
      </c>
      <c r="E59" s="1183" t="s">
        <v>1433</v>
      </c>
      <c r="F59" s="369" t="str">
        <f ca="1">IF(项目基本情况!B11="企业","",IF(INDIRECT("'数据-取费表'!c"&amp;$G$1)="住宅",5%,IF(F49*F50*F51/12/(1+'数据-取费表'!C42)&gt;20000,12%,7%)))</f>
        <v/>
      </c>
      <c r="I59" s="1923" t="s">
        <v>1565</v>
      </c>
      <c r="J59" s="1924">
        <f ca="1">IF(OR(M47="住宅",J51&lt;L48,J56="是"),"——",ROUND(C29*J58,0))</f>
        <v>2222</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6" t="s">
        <v>1567</v>
      </c>
      <c r="J60" s="1927">
        <f ca="1">IF(OR(M47="住宅",J51&lt;L48,J56="是"),"0",ROUND(J59/(1+J52)^J53,0))</f>
        <v>2222</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46.65</v>
      </c>
      <c r="D61" s="1829" t="s">
        <v>1440</v>
      </c>
      <c r="E61" s="1169" t="s">
        <v>1496</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0.49</v>
      </c>
      <c r="D62" s="1184" t="s">
        <v>1499</v>
      </c>
      <c r="E62" s="1169" t="s">
        <v>1500</v>
      </c>
      <c r="F62" s="372">
        <f t="shared" si="0"/>
        <v>1.5</v>
      </c>
      <c r="I62" s="1930" t="s">
        <v>1572</v>
      </c>
      <c r="J62" s="1931" t="s">
        <v>1573</v>
      </c>
      <c r="K62" s="1931" t="s">
        <v>1574</v>
      </c>
      <c r="L62" s="1931" t="s">
        <v>1575</v>
      </c>
      <c r="M62" s="1932" t="s">
        <v>1576</v>
      </c>
      <c r="O62" s="1885" t="s">
        <v>1046</v>
      </c>
      <c r="P62" s="1886" t="s">
        <v>1577</v>
      </c>
      <c r="Q62" s="1887">
        <f ca="1">Q56+Q57</f>
        <v>0</v>
      </c>
      <c r="R62" s="1887" t="s">
        <v>1047</v>
      </c>
    </row>
    <row r="63" spans="1:18" s="1843" customFormat="1" ht="13.5" thickBot="1">
      <c r="A63" s="373"/>
      <c r="B63" s="1175"/>
      <c r="C63" s="29"/>
      <c r="D63" s="1185"/>
      <c r="E63" s="1169" t="s">
        <v>1501</v>
      </c>
      <c r="F63" s="349">
        <f t="shared" ca="1" si="0"/>
        <v>3248.74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5.6</v>
      </c>
      <c r="D64" s="1183" t="s">
        <v>1504</v>
      </c>
      <c r="E64" s="1169" t="s">
        <v>1496</v>
      </c>
      <c r="F64" s="375">
        <f t="shared" ca="1" si="0"/>
        <v>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1.3</v>
      </c>
      <c r="D65" s="1183" t="s">
        <v>1456</v>
      </c>
      <c r="E65" s="1169" t="s">
        <v>1457</v>
      </c>
      <c r="F65" s="377">
        <f t="shared" ca="1" si="0"/>
        <v>2.5000000000000001E-4</v>
      </c>
      <c r="I65" s="1930" t="s">
        <v>1581</v>
      </c>
      <c r="J65" s="1931">
        <v>40</v>
      </c>
      <c r="K65" s="1931">
        <v>30</v>
      </c>
      <c r="L65" s="1931">
        <v>50</v>
      </c>
      <c r="M65" s="1933">
        <v>0.02</v>
      </c>
      <c r="O65" s="1885" t="s">
        <v>1040</v>
      </c>
      <c r="P65" s="1886" t="s">
        <v>1582</v>
      </c>
      <c r="Q65" s="1887">
        <f ca="1">C40+J29</f>
        <v>0</v>
      </c>
      <c r="R65" s="1887" t="s">
        <v>1531</v>
      </c>
    </row>
    <row r="66" spans="1:18" s="1843" customFormat="1" ht="16.5" thickBot="1">
      <c r="A66" s="1201" t="s">
        <v>1506</v>
      </c>
      <c r="B66" s="1169" t="s">
        <v>1441</v>
      </c>
      <c r="C66" s="24">
        <f ca="1">ROUND(C48*F66,1)</f>
        <v>0</v>
      </c>
      <c r="D66" s="1183" t="s">
        <v>1507</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-54</v>
      </c>
      <c r="D67" s="1182" t="s">
        <v>1466</v>
      </c>
      <c r="E67" s="1187"/>
      <c r="F67" s="1188"/>
      <c r="O67" s="1895" t="s">
        <v>1042</v>
      </c>
      <c r="P67" s="1886" t="s">
        <v>1564</v>
      </c>
      <c r="Q67" s="1934">
        <f ca="1">L51</f>
        <v>-4840</v>
      </c>
      <c r="R67" s="1887" t="s">
        <v>1584</v>
      </c>
    </row>
    <row r="68" spans="1:18" s="1843" customFormat="1" ht="16.5" thickBot="1">
      <c r="A68" s="1166" t="s">
        <v>1032</v>
      </c>
      <c r="B68" s="1167" t="s">
        <v>1487</v>
      </c>
      <c r="C68" s="347">
        <f ca="1">ROUND(C67*(1-((1+F70)/(1+F68))^F69)/(F68-F70),0)</f>
        <v>0</v>
      </c>
      <c r="D68" s="1184" t="s">
        <v>1471</v>
      </c>
      <c r="E68" s="1169" t="s">
        <v>1472</v>
      </c>
      <c r="F68" s="358">
        <f ca="1">F40</f>
        <v>4.4999999999999998E-2</v>
      </c>
      <c r="O68" s="1895" t="s">
        <v>1043</v>
      </c>
      <c r="P68" s="1935" t="s">
        <v>1585</v>
      </c>
      <c r="Q68" s="1887">
        <f ca="1">ROUND(Q69-Q70*Q71,0)</f>
        <v>-242</v>
      </c>
      <c r="R68" s="1887" t="s">
        <v>1051</v>
      </c>
    </row>
    <row r="69" spans="1:18" s="1843" customFormat="1" ht="13.5" thickBot="1">
      <c r="A69" s="1170"/>
      <c r="B69" s="1171"/>
      <c r="C69" s="352"/>
      <c r="D69" s="1189" t="s">
        <v>1475</v>
      </c>
      <c r="E69" s="1169" t="s">
        <v>1476</v>
      </c>
      <c r="F69" s="380">
        <f ca="1">F41</f>
        <v>0</v>
      </c>
      <c r="O69" s="1895" t="s">
        <v>1048</v>
      </c>
      <c r="P69" s="1935" t="s">
        <v>1586</v>
      </c>
      <c r="Q69" s="1887">
        <f ca="1">C39</f>
        <v>192</v>
      </c>
      <c r="R69" s="1887" t="s">
        <v>1531</v>
      </c>
    </row>
    <row r="70" spans="1:18" s="1843" customFormat="1" ht="13.5" thickBot="1">
      <c r="A70" s="1173"/>
      <c r="B70" s="1174"/>
      <c r="C70" s="356"/>
      <c r="D70" s="1185"/>
      <c r="E70" s="1169" t="s">
        <v>1479</v>
      </c>
      <c r="F70" s="1275"/>
      <c r="O70" s="1895" t="s">
        <v>1049</v>
      </c>
      <c r="P70" s="1935" t="s">
        <v>1587</v>
      </c>
      <c r="Q70" s="1887">
        <f ca="1">C13</f>
        <v>5110</v>
      </c>
      <c r="R70" s="1887" t="s">
        <v>1531</v>
      </c>
    </row>
    <row r="71" spans="1:18" s="1843" customFormat="1" ht="13.5" thickBot="1">
      <c r="A71" s="1190" t="s">
        <v>1033</v>
      </c>
      <c r="B71" s="1191" t="s">
        <v>1489</v>
      </c>
      <c r="C71" s="383">
        <f ca="1">ROUND(C68*10000/F71,0)</f>
        <v>0</v>
      </c>
      <c r="D71" s="1192" t="s">
        <v>1490</v>
      </c>
      <c r="E71" s="1193" t="s">
        <v>1491</v>
      </c>
      <c r="F71" s="386">
        <f ca="1">F43</f>
        <v>12362.01</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434</v>
      </c>
      <c r="D75" s="1843"/>
      <c r="E75" s="1843"/>
      <c r="F75" s="1843"/>
      <c r="K75" s="1869"/>
      <c r="L75" s="1843"/>
      <c r="O75" s="1885" t="s">
        <v>1046</v>
      </c>
      <c r="P75" s="1886" t="s">
        <v>1551</v>
      </c>
      <c r="Q75" s="1887">
        <f ca="1">Q65+Q66</f>
        <v>0</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-1.2599999999999998</v>
      </c>
    </row>
    <row r="80" spans="1:18">
      <c r="B80" s="387" t="s">
        <v>1513</v>
      </c>
      <c r="C80" s="319">
        <f ca="1">ROUND(C75/C39,3)</f>
        <v>2.2599999999999998</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topLeftCell="C7" zoomScale="90" zoomScaleNormal="90" zoomScaleSheetLayoutView="90" workbookViewId="0">
      <selection activeCell="B21" sqref="B2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3113</v>
      </c>
      <c r="D1" s="1821" t="s">
        <v>70</v>
      </c>
      <c r="E1" s="1822" t="s">
        <v>1388</v>
      </c>
      <c r="F1" s="1283">
        <f ca="1">J53</f>
        <v>30.87</v>
      </c>
      <c r="G1" s="1837">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71061</v>
      </c>
      <c r="C2" s="1846" t="s">
        <v>1518</v>
      </c>
      <c r="D2" s="1846"/>
      <c r="E2" s="1847"/>
      <c r="F2" s="1848"/>
      <c r="G2" s="1849"/>
      <c r="H2" s="1841"/>
      <c r="I2" s="1841"/>
      <c r="J2" s="1841"/>
      <c r="K2" s="1842"/>
      <c r="L2" s="1841"/>
      <c r="M2" s="1841"/>
    </row>
    <row r="3" spans="1:37" ht="18" customHeight="1" thickBot="1">
      <c r="A3" s="1850" t="s">
        <v>1519</v>
      </c>
      <c r="B3" s="1851">
        <f ca="1">IF(ISERROR(B2*10000/F43),0,ROUND(B2*10000/F43,0))</f>
        <v>24703</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2628</v>
      </c>
      <c r="D5" s="1823" t="s">
        <v>1403</v>
      </c>
      <c r="E5" s="1293"/>
      <c r="F5" s="1294"/>
      <c r="G5" s="1852"/>
      <c r="H5" s="345">
        <v>1</v>
      </c>
      <c r="I5" s="346" t="s">
        <v>1402</v>
      </c>
      <c r="J5" s="1292">
        <f ca="1">J6+J10+J12</f>
        <v>5692</v>
      </c>
      <c r="K5" s="1823" t="s">
        <v>1403</v>
      </c>
      <c r="L5" s="1293"/>
      <c r="M5" s="1294"/>
    </row>
    <row r="6" spans="1:37" ht="18" customHeight="1">
      <c r="A6" s="1291" t="s">
        <v>1035</v>
      </c>
      <c r="B6" s="3140" t="s">
        <v>1404</v>
      </c>
      <c r="C6" s="1296">
        <f ca="1">ROUND(F6*F8*F7*(1-F9)/10000,0)</f>
        <v>2625</v>
      </c>
      <c r="D6" s="165" t="s">
        <v>3032</v>
      </c>
      <c r="E6" s="348" t="s">
        <v>1406</v>
      </c>
      <c r="F6" s="349">
        <f ca="1">INDIRECT("'数据-取费表'!u"&amp;$G$1)</f>
        <v>2.5</v>
      </c>
      <c r="G6" s="1852"/>
      <c r="H6" s="1291" t="s">
        <v>1035</v>
      </c>
      <c r="I6" s="3140" t="s">
        <v>1404</v>
      </c>
      <c r="J6" s="347">
        <f ca="1">ROUND(M6*M8*M7*(1-M9)/10000,0)</f>
        <v>5685</v>
      </c>
      <c r="K6" s="165" t="s">
        <v>3031</v>
      </c>
      <c r="L6" s="348" t="s">
        <v>1406</v>
      </c>
      <c r="M6" s="349">
        <f ca="1">INDIRECT("'数据-取费表'!z"&amp;$G$1)</f>
        <v>5.7</v>
      </c>
    </row>
    <row r="7" spans="1:37" ht="18" customHeight="1">
      <c r="A7" s="1295"/>
      <c r="B7" s="3141"/>
      <c r="C7" s="1297"/>
      <c r="D7" s="353"/>
      <c r="E7" s="2922" t="s">
        <v>1407</v>
      </c>
      <c r="F7" s="349">
        <f ca="1">IF(INDIRECT("'数据-取费表'!ah"&amp;$G$1)="",INDIRECT("'数据-取费表'!k"&amp;$G$1),INDIRECT("'数据-取费表'!ah"&amp;$G$1))</f>
        <v>28765.559999999998</v>
      </c>
      <c r="G7" s="1852"/>
      <c r="H7" s="350"/>
      <c r="I7" s="3141"/>
      <c r="J7" s="352"/>
      <c r="K7" s="353"/>
      <c r="L7" s="348" t="s">
        <v>1407</v>
      </c>
      <c r="M7" s="349">
        <f ca="1">F7</f>
        <v>28765.559999999998</v>
      </c>
    </row>
    <row r="8" spans="1:37" ht="18" customHeight="1">
      <c r="A8" s="350"/>
      <c r="B8" s="3141"/>
      <c r="C8" s="352"/>
      <c r="D8" s="353"/>
      <c r="E8" s="348" t="s">
        <v>1408</v>
      </c>
      <c r="F8" s="349">
        <f ca="1">INDIRECT("'数据-取费表'!ai"&amp;$G$1)</f>
        <v>365</v>
      </c>
      <c r="G8" s="1852"/>
      <c r="H8" s="350"/>
      <c r="I8" s="3141"/>
      <c r="J8" s="352"/>
      <c r="K8" s="353"/>
      <c r="L8" s="348" t="s">
        <v>1408</v>
      </c>
      <c r="M8" s="349">
        <f ca="1">INDIRECT("'数据-取费表'!ai"&amp;$G$1)</f>
        <v>365</v>
      </c>
    </row>
    <row r="9" spans="1:37" ht="18" customHeight="1">
      <c r="A9" s="350"/>
      <c r="B9" s="3142"/>
      <c r="C9" s="352"/>
      <c r="D9" s="353"/>
      <c r="E9" s="348" t="s">
        <v>1409</v>
      </c>
      <c r="F9" s="358">
        <f ca="1">INDIRECT("'数据-取费表'!w"&amp;$G$1)</f>
        <v>0</v>
      </c>
      <c r="G9" s="1852"/>
      <c r="H9" s="350"/>
      <c r="I9" s="3142"/>
      <c r="J9" s="352"/>
      <c r="K9" s="353"/>
      <c r="L9" s="359" t="s">
        <v>1409</v>
      </c>
      <c r="M9" s="360">
        <f ca="1">INDIRECT("'数据-取费表'!ab"&amp;$G$1)</f>
        <v>0.05</v>
      </c>
    </row>
    <row r="10" spans="1:37" ht="18" customHeight="1">
      <c r="A10" s="1291" t="s">
        <v>1039</v>
      </c>
      <c r="B10" s="1824" t="s">
        <v>1410</v>
      </c>
      <c r="C10" s="362">
        <f ca="1">ROUND(IF(F10="押一",F6*F8*F7/12*F11,IF(F10="押二",F6*F8*F7/12*2*F11,IF(F10="押三",F6*F8*F7/12*3*F11,C11*F11)))/10000,0)</f>
        <v>3</v>
      </c>
      <c r="D10" s="1825" t="s">
        <v>3028</v>
      </c>
      <c r="E10" s="359" t="s">
        <v>1412</v>
      </c>
      <c r="F10" s="1366" t="s">
        <v>3122</v>
      </c>
      <c r="G10" s="1852"/>
      <c r="H10" s="1291" t="s">
        <v>1039</v>
      </c>
      <c r="I10" s="1824" t="s">
        <v>1410</v>
      </c>
      <c r="J10" s="347">
        <f ca="1">ROUND(IF(M10="押一",M6*M8*M7/12*M11,IF(M10="押二",M6*M8*M7/12*2*M11,IF(M10="押三",M6*M8*M7/12*3*M11,J11*M11)))/10000,0)</f>
        <v>7</v>
      </c>
      <c r="K10" s="1825" t="s">
        <v>3028</v>
      </c>
      <c r="L10" s="359" t="s">
        <v>1412</v>
      </c>
      <c r="M10" s="1366" t="s">
        <v>3122</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18969</v>
      </c>
      <c r="D13" s="1331" t="s">
        <v>1417</v>
      </c>
      <c r="E13" s="1331" t="s">
        <v>1418</v>
      </c>
      <c r="F13" s="1332">
        <f ca="1">INDIRECT("'数据-取费表'!y"&amp;$G$1)</f>
        <v>0.92</v>
      </c>
      <c r="G13" s="1852"/>
      <c r="H13" s="1329">
        <v>2</v>
      </c>
      <c r="I13" s="1330" t="s">
        <v>1416</v>
      </c>
      <c r="J13" s="1290">
        <f ca="1">ROUND(J14*J15,0)</f>
        <v>15052</v>
      </c>
      <c r="K13" s="1337" t="s">
        <v>1417</v>
      </c>
      <c r="L13" s="1853"/>
      <c r="M13" s="1854"/>
    </row>
    <row r="14" spans="1:37" ht="18" customHeight="1">
      <c r="A14" s="1201" t="s">
        <v>1034</v>
      </c>
      <c r="B14" s="348" t="s">
        <v>1419</v>
      </c>
      <c r="C14" s="364">
        <f ca="1">INDIRECT("'数据-取费表'!m"&amp;$G$1)+INDIRECT("'数据-取费表'!t"&amp;$G$1)</f>
        <v>12945</v>
      </c>
      <c r="D14" s="2925" t="s">
        <v>1420</v>
      </c>
      <c r="E14" s="2924"/>
      <c r="F14" s="365"/>
      <c r="G14" s="1852"/>
      <c r="H14" s="1201" t="s">
        <v>1035</v>
      </c>
      <c r="I14" s="348" t="s">
        <v>1421</v>
      </c>
      <c r="J14" s="24">
        <f ca="1">C29</f>
        <v>20619</v>
      </c>
      <c r="K14" s="2921"/>
      <c r="L14" s="979"/>
      <c r="M14" s="980"/>
    </row>
    <row r="15" spans="1:37" s="1859" customFormat="1" ht="18" customHeight="1" thickBot="1">
      <c r="A15" s="1201" t="s">
        <v>1036</v>
      </c>
      <c r="B15" s="348" t="s">
        <v>1422</v>
      </c>
      <c r="C15" s="24">
        <f ca="1">ROUND(C14*F15,0)</f>
        <v>647</v>
      </c>
      <c r="D15" s="366" t="s">
        <v>1423</v>
      </c>
      <c r="E15" s="366" t="s">
        <v>1424</v>
      </c>
      <c r="F15" s="367">
        <f>'数据-取费表'!B33</f>
        <v>0.05</v>
      </c>
      <c r="G15" s="1855"/>
      <c r="H15" s="1339" t="s">
        <v>1039</v>
      </c>
      <c r="I15" s="1340" t="s">
        <v>1418</v>
      </c>
      <c r="J15" s="1349">
        <f ca="1">INDIRECT("'数据-取费表'!ad"&amp;$G$1)</f>
        <v>0.73</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554</v>
      </c>
      <c r="K16" s="1337" t="s">
        <v>1427</v>
      </c>
      <c r="L16" s="2927"/>
      <c r="M16" s="1294"/>
    </row>
    <row r="17" spans="1:37" s="1859" customFormat="1" ht="18" customHeight="1">
      <c r="A17" s="1201" t="s">
        <v>1391</v>
      </c>
      <c r="B17" s="348" t="s">
        <v>1428</v>
      </c>
      <c r="C17" s="24">
        <f ca="1">ROUND(F17*(F43+INDIRECT("'数据-取费表'!S"&amp;$G$1))/10000,0)</f>
        <v>575</v>
      </c>
      <c r="D17" s="348" t="s">
        <v>1429</v>
      </c>
      <c r="E17" s="348" t="s">
        <v>1430</v>
      </c>
      <c r="F17" s="26">
        <f>'数据-取费表'!B35</f>
        <v>200</v>
      </c>
      <c r="G17" s="1855"/>
      <c r="H17" s="1201" t="s">
        <v>1035</v>
      </c>
      <c r="I17" s="348" t="s">
        <v>1431</v>
      </c>
      <c r="J17" s="24">
        <f ca="1">ROUND(IF(项目基本情况!B11="自然人",J5*M17,J18+J19+J20),1)</f>
        <v>472.5</v>
      </c>
      <c r="K17" s="2925" t="s">
        <v>1432</v>
      </c>
      <c r="L17" s="2926"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194</v>
      </c>
      <c r="D18" s="348" t="s">
        <v>1423</v>
      </c>
      <c r="E18" s="348" t="s">
        <v>1424</v>
      </c>
      <c r="F18" s="368">
        <f>'数据-取费表'!B36</f>
        <v>1.4999999999999999E-2</v>
      </c>
      <c r="G18" s="1855"/>
      <c r="H18" s="1201" t="s">
        <v>1034</v>
      </c>
      <c r="I18" s="348" t="s">
        <v>1435</v>
      </c>
      <c r="J18" s="24">
        <f ca="1">ROUND(J5*M18/(1+'数据-取费表'!C42),2)</f>
        <v>298.14999999999998</v>
      </c>
      <c r="K18" s="2926"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14361</v>
      </c>
      <c r="D19" s="140" t="s">
        <v>1438</v>
      </c>
      <c r="E19" s="2920"/>
      <c r="F19" s="26"/>
      <c r="G19" s="1852"/>
      <c r="H19" s="1201" t="s">
        <v>1036</v>
      </c>
      <c r="I19" s="348" t="s">
        <v>1439</v>
      </c>
      <c r="J19" s="24">
        <f ca="1">IF(K19="按租金收入计税",ROUND(J5*M19,2),ROUND(C29*M19*0.7,2))</f>
        <v>173.2</v>
      </c>
      <c r="K19" s="1829" t="s">
        <v>1440</v>
      </c>
      <c r="L19" s="348" t="s">
        <v>1424</v>
      </c>
      <c r="M19" s="368">
        <f>IF(K19="按租金收入计税",'数据-取费表'!B51,'数据-取费表'!B50)</f>
        <v>1.2E-2</v>
      </c>
    </row>
    <row r="20" spans="1:37" s="1859" customFormat="1" ht="18" customHeight="1">
      <c r="A20" s="1201" t="s">
        <v>1039</v>
      </c>
      <c r="B20" s="348" t="s">
        <v>1441</v>
      </c>
      <c r="C20" s="24">
        <f ca="1">ROUND(C19*F20,0)</f>
        <v>144</v>
      </c>
      <c r="D20" s="370" t="s">
        <v>1442</v>
      </c>
      <c r="E20" s="348" t="s">
        <v>1424</v>
      </c>
      <c r="F20" s="368">
        <f>'数据-取费表'!B37</f>
        <v>0.01</v>
      </c>
      <c r="G20" s="1855"/>
      <c r="H20" s="1201" t="s">
        <v>1390</v>
      </c>
      <c r="I20" s="165" t="s">
        <v>1443</v>
      </c>
      <c r="J20" s="25">
        <f ca="1">ROUND(M20*M21/10000,2)</f>
        <v>1.1299999999999999</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7559.6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0"/>
      <c r="F22" s="26"/>
      <c r="G22" s="1852"/>
      <c r="H22" s="1201" t="s">
        <v>1039</v>
      </c>
      <c r="I22" s="348" t="s">
        <v>1451</v>
      </c>
      <c r="J22" s="24">
        <f ca="1">ROUND(J14*M22,1)</f>
        <v>20.6</v>
      </c>
      <c r="K22" s="2926" t="s">
        <v>1452</v>
      </c>
      <c r="L22" s="348" t="s">
        <v>1424</v>
      </c>
      <c r="M22" s="375">
        <f ca="1">INDIRECT("'数据-取费表'!Ak"&amp;$G$1)</f>
        <v>1E-3</v>
      </c>
    </row>
    <row r="23" spans="1:37" s="1859" customFormat="1" ht="18" customHeight="1">
      <c r="A23" s="1201" t="s">
        <v>1034</v>
      </c>
      <c r="B23" s="348" t="s">
        <v>1453</v>
      </c>
      <c r="C23" s="24">
        <f ca="1">IF('数据-取费表'!B22&lt;=1,ROUND(C19*F24*F23/2,0)+ROUND(C20*F24*F23/2,0),ROUND(C19*(POWER((1+F24),F23/2)-1),0)+ROUND(C20*(POWER((1+F24),F23/2)-1),0))</f>
        <v>867</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3.8</v>
      </c>
      <c r="K23" s="2926" t="s">
        <v>1456</v>
      </c>
      <c r="L23" s="348" t="s">
        <v>1424</v>
      </c>
      <c r="M23" s="377">
        <f ca="1">INDIRECT("'数据-取费表'!Al"&amp;$G$1)</f>
        <v>2.5000000000000001E-4</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56.9</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0"/>
      <c r="F25" s="26"/>
      <c r="G25" s="1852"/>
      <c r="H25" s="1329" t="s">
        <v>1031</v>
      </c>
      <c r="I25" s="1344" t="s">
        <v>1465</v>
      </c>
      <c r="J25" s="356">
        <f ca="1">J5-J16</f>
        <v>5138</v>
      </c>
      <c r="K25" s="1345" t="s">
        <v>1466</v>
      </c>
      <c r="L25" s="1346"/>
      <c r="M25" s="1347"/>
    </row>
    <row r="26" spans="1:37">
      <c r="A26" s="1201" t="s">
        <v>1034</v>
      </c>
      <c r="B26" s="348" t="s">
        <v>1467</v>
      </c>
      <c r="C26" s="24">
        <f ca="1">ROUND((C19+C20)*F26,0)</f>
        <v>3626</v>
      </c>
      <c r="D26" s="370" t="s">
        <v>1468</v>
      </c>
      <c r="E26" s="359" t="s">
        <v>1469</v>
      </c>
      <c r="F26" s="358">
        <f ca="1">INDIRECT("'数据-取费表'!q"&amp;$G$1)</f>
        <v>0.25</v>
      </c>
      <c r="G26" s="1852"/>
      <c r="H26" s="345" t="s">
        <v>1032</v>
      </c>
      <c r="I26" s="346" t="s">
        <v>1470</v>
      </c>
      <c r="J26" s="347">
        <f ca="1">IF(J5&lt;&gt;0,ROUND(J25*(1-((1+M28)/(1+M26))^M27)/(M26-M28),0),0)</f>
        <v>85341</v>
      </c>
      <c r="K26" s="371" t="s">
        <v>1471</v>
      </c>
      <c r="L26" s="348" t="s">
        <v>1472</v>
      </c>
      <c r="M26" s="358">
        <f ca="1">INDIRECT("'数据-取费表'!I"&amp;$G$1)</f>
        <v>5.5E-2</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20.010000000000002</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0.04</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20619</v>
      </c>
      <c r="D29" s="1342"/>
      <c r="E29" s="1340"/>
      <c r="F29" s="1343"/>
      <c r="G29" s="1855"/>
      <c r="H29" s="381" t="s">
        <v>1033</v>
      </c>
      <c r="I29" s="382" t="s">
        <v>1481</v>
      </c>
      <c r="J29" s="383">
        <f ca="1">ROUND(J26/(1+F40)^F41,0)</f>
        <v>47713</v>
      </c>
      <c r="K29" s="384" t="s">
        <v>1482</v>
      </c>
      <c r="L29" s="385"/>
      <c r="M29" s="386">
        <f ca="1">INDIRECT("'数据-取费表'!k"&amp;$G$1)</f>
        <v>28765.559999999998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364</v>
      </c>
      <c r="D30" s="1337" t="s">
        <v>1427</v>
      </c>
      <c r="E30" s="2927"/>
      <c r="F30" s="1294"/>
      <c r="G30" s="1852"/>
      <c r="H30" s="746"/>
      <c r="I30" s="747"/>
      <c r="J30" s="748"/>
      <c r="K30" s="749"/>
      <c r="L30" s="750"/>
      <c r="M30" s="751"/>
    </row>
    <row r="31" spans="1:37" ht="18" customHeight="1">
      <c r="A31" s="1201" t="s">
        <v>1035</v>
      </c>
      <c r="B31" s="348" t="s">
        <v>1431</v>
      </c>
      <c r="C31" s="24">
        <f ca="1">ROUND(IF(项目基本情况!B11="自然人",C5*F31,C32+C33+C34),1)</f>
        <v>312</v>
      </c>
      <c r="D31" s="2925" t="s">
        <v>1432</v>
      </c>
      <c r="E31" s="2926"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137.66</v>
      </c>
      <c r="D32" s="2926"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173.2</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1.1299999999999999</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7559.6</v>
      </c>
      <c r="G35" s="1852"/>
      <c r="H35" s="746"/>
      <c r="I35" s="1861"/>
      <c r="J35" s="1862"/>
      <c r="K35" s="1863"/>
      <c r="L35" s="1860"/>
      <c r="M35" s="1860"/>
    </row>
    <row r="36" spans="1:18" ht="18" customHeight="1">
      <c r="A36" s="1352" t="s">
        <v>1039</v>
      </c>
      <c r="B36" s="348" t="s">
        <v>1451</v>
      </c>
      <c r="C36" s="24">
        <f ca="1">ROUND(C29*F36,1)</f>
        <v>20.6</v>
      </c>
      <c r="D36" s="2926" t="s">
        <v>1484</v>
      </c>
      <c r="E36" s="348" t="s">
        <v>1424</v>
      </c>
      <c r="F36" s="375">
        <f ca="1">INDIRECT("'数据-取费表'!Ak"&amp;$G$1)</f>
        <v>1E-3</v>
      </c>
      <c r="G36" s="1852"/>
      <c r="H36" s="1860"/>
      <c r="I36" s="1861"/>
      <c r="J36" s="1862"/>
      <c r="K36" s="752"/>
      <c r="L36" s="1860"/>
      <c r="M36" s="1860"/>
    </row>
    <row r="37" spans="1:18" ht="18" customHeight="1">
      <c r="A37" s="1201" t="s">
        <v>1075</v>
      </c>
      <c r="B37" s="348" t="s">
        <v>1455</v>
      </c>
      <c r="C37" s="24">
        <f ca="1">ROUND(C13*F37,1)</f>
        <v>4.7</v>
      </c>
      <c r="D37" s="2926" t="s">
        <v>1456</v>
      </c>
      <c r="E37" s="348" t="s">
        <v>1424</v>
      </c>
      <c r="F37" s="377">
        <f ca="1">INDIRECT("'数据-取费表'!Al"&amp;$G$1)</f>
        <v>2.5000000000000001E-4</v>
      </c>
      <c r="G37" s="1852"/>
      <c r="H37" s="1860"/>
      <c r="I37" s="1861"/>
      <c r="J37" s="1862"/>
      <c r="K37" s="752"/>
      <c r="L37" s="1860"/>
      <c r="M37" s="1860"/>
    </row>
    <row r="38" spans="1:18" ht="18" customHeight="1" thickBot="1">
      <c r="A38" s="1339" t="s">
        <v>1393</v>
      </c>
      <c r="B38" s="1340" t="s">
        <v>1441</v>
      </c>
      <c r="C38" s="1341">
        <f ca="1">ROUND(C5*F38,1)</f>
        <v>26.3</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2264</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22768</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10.86</v>
      </c>
      <c r="G41" s="1852"/>
      <c r="H41" s="733"/>
      <c r="I41" s="1861"/>
      <c r="J41" s="1862"/>
      <c r="K41" s="752"/>
      <c r="L41" s="733"/>
      <c r="M41" s="733"/>
    </row>
    <row r="42" spans="1:18" ht="18" customHeight="1">
      <c r="A42" s="354"/>
      <c r="B42" s="355"/>
      <c r="C42" s="356"/>
      <c r="D42" s="374"/>
      <c r="E42" s="348" t="s">
        <v>1479</v>
      </c>
      <c r="F42" s="358">
        <f ca="1">INDIRECT("'数据-取费表'!v"&amp;$G$1)</f>
        <v>0.05</v>
      </c>
      <c r="G42" s="1852"/>
      <c r="H42" s="733"/>
      <c r="I42" s="1861"/>
      <c r="J42" s="1862"/>
      <c r="K42" s="752"/>
      <c r="L42" s="733"/>
      <c r="M42" s="733"/>
    </row>
    <row r="43" spans="1:18" ht="18" customHeight="1" thickBot="1">
      <c r="A43" s="381" t="s">
        <v>1033</v>
      </c>
      <c r="B43" s="382" t="s">
        <v>1489</v>
      </c>
      <c r="C43" s="383">
        <f ca="1">ROUND(C40*10000/F43,0)</f>
        <v>7915</v>
      </c>
      <c r="D43" s="384" t="s">
        <v>1490</v>
      </c>
      <c r="E43" s="385" t="s">
        <v>1491</v>
      </c>
      <c r="F43" s="386">
        <f ca="1">INDIRECT("'数据-取费表'!k"&amp;$G$1)</f>
        <v>28765.559999999998</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8591</v>
      </c>
      <c r="D46" s="1873" t="str">
        <f>C2</f>
        <v>万元</v>
      </c>
      <c r="E46" s="1867"/>
      <c r="F46" s="1867"/>
      <c r="I46" s="1874" t="s">
        <v>1523</v>
      </c>
      <c r="J46" s="1875"/>
      <c r="K46" s="1876"/>
      <c r="L46" s="1877">
        <f ca="1">IF(M47="住宅",0,IF(L48&gt;J51,L60,J60))</f>
        <v>580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40</v>
      </c>
      <c r="M47" s="1839" t="str">
        <f>IF(ISNUMBER(FIND("住宅",C1)),"住宅","非住宅")</f>
        <v>非住宅</v>
      </c>
      <c r="O47" s="1885" t="s">
        <v>1040</v>
      </c>
      <c r="P47" s="1886" t="s">
        <v>1530</v>
      </c>
      <c r="Q47" s="1887">
        <f ca="1">C40+J29</f>
        <v>70481</v>
      </c>
      <c r="R47" s="1887" t="s">
        <v>1531</v>
      </c>
    </row>
    <row r="48" spans="1:18" s="1843" customFormat="1" ht="28.5" thickBot="1">
      <c r="A48" s="1360" t="s">
        <v>1135</v>
      </c>
      <c r="B48" s="346" t="s">
        <v>1402</v>
      </c>
      <c r="C48" s="2919">
        <f ca="1">C49+C53+C55</f>
        <v>3696</v>
      </c>
      <c r="D48" s="1362"/>
      <c r="E48" s="1363"/>
      <c r="F48" s="1181"/>
      <c r="G48" s="793"/>
      <c r="H48" s="794"/>
      <c r="I48" s="1888" t="s">
        <v>1532</v>
      </c>
      <c r="J48" s="1889" t="s">
        <v>3121</v>
      </c>
      <c r="K48" s="1890" t="s">
        <v>1533</v>
      </c>
      <c r="L48" s="1891">
        <f ca="1">INDIRECT("'数据-取费表'!f"&amp;$G$1)</f>
        <v>30.87</v>
      </c>
      <c r="O48" s="1885" t="s">
        <v>1041</v>
      </c>
      <c r="P48" s="1886" t="s">
        <v>1534</v>
      </c>
      <c r="Q48" s="1887">
        <f ca="1">J60</f>
        <v>580</v>
      </c>
      <c r="R48" s="1887" t="s">
        <v>1535</v>
      </c>
    </row>
    <row r="49" spans="1:18" s="1843" customFormat="1" ht="13.5" thickBot="1">
      <c r="A49" s="1194" t="s">
        <v>1136</v>
      </c>
      <c r="B49" s="1830" t="s">
        <v>1492</v>
      </c>
      <c r="C49" s="1364">
        <f ca="1">ROUND(F49*F51*F50*(1-F52)/10000,0)</f>
        <v>3691</v>
      </c>
      <c r="D49" s="1276" t="s">
        <v>3031</v>
      </c>
      <c r="E49" s="1831" t="s">
        <v>1493</v>
      </c>
      <c r="F49" s="1281">
        <f>'数据-取费表'!U7</f>
        <v>3.7</v>
      </c>
      <c r="G49" s="1892"/>
      <c r="H49" s="794"/>
      <c r="I49" s="1888" t="s">
        <v>1536</v>
      </c>
      <c r="J49" s="1893">
        <v>2012</v>
      </c>
      <c r="K49" s="1890" t="s">
        <v>1537</v>
      </c>
      <c r="L49" s="1894"/>
      <c r="O49" s="1895" t="s">
        <v>1042</v>
      </c>
      <c r="P49" s="1886" t="s">
        <v>1538</v>
      </c>
      <c r="Q49" s="1887">
        <f ca="1">C29</f>
        <v>20619</v>
      </c>
      <c r="R49" s="1887" t="s">
        <v>1531</v>
      </c>
    </row>
    <row r="50" spans="1:18" s="1843" customFormat="1" ht="13.5" thickBot="1">
      <c r="A50" s="1195"/>
      <c r="B50" s="1198"/>
      <c r="C50" s="1368"/>
      <c r="D50" s="1172"/>
      <c r="E50" s="1277" t="s">
        <v>1407</v>
      </c>
      <c r="F50" s="1278">
        <f ca="1">F7</f>
        <v>28765.559999999998</v>
      </c>
      <c r="H50" s="794"/>
      <c r="I50" s="1888" t="s">
        <v>1539</v>
      </c>
      <c r="J50" s="1896">
        <f>SUMPRODUCT((I63:I65=J47)*(J62:L62=J48)*(J63:L65))</f>
        <v>60</v>
      </c>
      <c r="K50" s="1890" t="s">
        <v>1540</v>
      </c>
      <c r="L50" s="1894"/>
      <c r="M50" s="1897"/>
      <c r="O50" s="1895" t="s">
        <v>1043</v>
      </c>
      <c r="P50" s="1886" t="s">
        <v>1541</v>
      </c>
      <c r="Q50" s="1898">
        <f ca="1">J58</f>
        <v>0.40200000000000002</v>
      </c>
      <c r="R50" s="1887"/>
    </row>
    <row r="51" spans="1:18" s="1843" customFormat="1" ht="13.5" thickBot="1">
      <c r="A51" s="1196"/>
      <c r="B51" s="1198"/>
      <c r="C51" s="1199"/>
      <c r="D51" s="1172"/>
      <c r="E51" s="1200" t="s">
        <v>1408</v>
      </c>
      <c r="F51" s="349">
        <f ca="1">F8</f>
        <v>365</v>
      </c>
      <c r="I51" s="1899" t="s">
        <v>1542</v>
      </c>
      <c r="J51" s="1900">
        <f>IF(J49="",J50,J49+J50-YEAR('数据-取费表'!B2))</f>
        <v>55</v>
      </c>
      <c r="K51" s="1901" t="s">
        <v>1543</v>
      </c>
      <c r="L51" s="1902">
        <f ca="1">ROUND(-PV(INDIRECT("'数据-取费表'!h"&amp;$G$1),L48,(C39-C13*C76),0),0)</f>
        <v>10143</v>
      </c>
      <c r="M51" s="1903"/>
      <c r="O51" s="1895" t="s">
        <v>1044</v>
      </c>
      <c r="P51" s="1886" t="s">
        <v>1544</v>
      </c>
      <c r="Q51" s="1898">
        <f>J52</f>
        <v>0.09</v>
      </c>
      <c r="R51" s="1887"/>
    </row>
    <row r="52" spans="1:18" s="1843" customFormat="1" ht="13.5" thickBot="1">
      <c r="A52" s="1196"/>
      <c r="B52" s="1198"/>
      <c r="C52" s="1199"/>
      <c r="D52" s="1172"/>
      <c r="E52" s="1200" t="s">
        <v>1409</v>
      </c>
      <c r="F52" s="1275">
        <f>'数据-取费表'!W7</f>
        <v>0.05</v>
      </c>
      <c r="I52" s="1904" t="s">
        <v>1545</v>
      </c>
      <c r="J52" s="1905">
        <v>0.09</v>
      </c>
      <c r="K52" s="1904" t="s">
        <v>1546</v>
      </c>
      <c r="L52" s="1905"/>
      <c r="O52" s="1895" t="s">
        <v>1045</v>
      </c>
      <c r="P52" s="1886" t="s">
        <v>1547</v>
      </c>
      <c r="Q52" s="1887">
        <f ca="1">J53</f>
        <v>30.87</v>
      </c>
      <c r="R52" s="1887" t="s">
        <v>1548</v>
      </c>
    </row>
    <row r="53" spans="1:18" s="1843" customFormat="1" ht="24.75" thickBot="1">
      <c r="A53" s="1405" t="s">
        <v>1137</v>
      </c>
      <c r="B53" s="1832" t="s">
        <v>1410</v>
      </c>
      <c r="C53" s="362">
        <f ca="1">ROUND(IF(F53="押一",F49*F51*F50/12*F11,IF(F53="押二",F49*F51*F50/12*2*F11,IF(F53="押三",F49*F51*F50/12*3*F11,C54*F11)))/10000,0)</f>
        <v>5</v>
      </c>
      <c r="D53" s="1825" t="s">
        <v>3028</v>
      </c>
      <c r="E53" s="359" t="s">
        <v>1412</v>
      </c>
      <c r="F53" s="1366" t="s">
        <v>3122</v>
      </c>
      <c r="I53" s="1906" t="s">
        <v>1549</v>
      </c>
      <c r="J53" s="1907">
        <f ca="1">IF(M47="住宅",J51,IF(D1="——",MIN(J51,L48),IF(D1="在建（套用方法）",MIN(J51,L48-'数据-取费表'!B24),IF(D1="土地（套用方法）",MIN(J51,L48-'数据-取费表'!B20)))))</f>
        <v>30.87</v>
      </c>
      <c r="K53" s="3143" t="s">
        <v>1550</v>
      </c>
      <c r="L53" s="3144"/>
      <c r="O53" s="1885" t="s">
        <v>1046</v>
      </c>
      <c r="P53" s="1886" t="s">
        <v>1551</v>
      </c>
      <c r="Q53" s="1887">
        <f ca="1">Q47+Q48</f>
        <v>71061</v>
      </c>
      <c r="R53" s="1887" t="s">
        <v>1047</v>
      </c>
    </row>
    <row r="54" spans="1:18" s="1843" customFormat="1" ht="13.5" thickBot="1">
      <c r="A54" s="1406"/>
      <c r="B54" s="1826" t="s">
        <v>1389</v>
      </c>
      <c r="C54" s="1178"/>
      <c r="D54" s="1825"/>
      <c r="E54" s="292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23"/>
      <c r="F55" s="1908"/>
      <c r="I55" s="1911" t="s">
        <v>1553</v>
      </c>
      <c r="J55" s="1912">
        <f ca="1">ROUND(IF(J47="钢混",J57/J50,1-(1-2%)*(J50-J57)/J50),3)</f>
        <v>0.40200000000000002</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18969</v>
      </c>
      <c r="D56" s="1915"/>
      <c r="E56" s="1916"/>
      <c r="F56" s="1908"/>
      <c r="I56" s="1917" t="s">
        <v>1556</v>
      </c>
      <c r="J56" s="1918" t="s">
        <v>3055</v>
      </c>
      <c r="K56" s="1888" t="s">
        <v>1557</v>
      </c>
      <c r="L56" s="1891" t="str">
        <f ca="1">IF(L48&lt;J51,"——",L48-J53)</f>
        <v>——</v>
      </c>
      <c r="O56" s="1885" t="s">
        <v>1040</v>
      </c>
      <c r="P56" s="1886" t="s">
        <v>1530</v>
      </c>
      <c r="Q56" s="1887">
        <f ca="1">C40+J29</f>
        <v>70481</v>
      </c>
      <c r="R56" s="1887" t="s">
        <v>1531</v>
      </c>
    </row>
    <row r="57" spans="1:18" s="1843" customFormat="1" ht="24.75" thickBot="1">
      <c r="A57" s="1919"/>
      <c r="B57" s="1169" t="s">
        <v>1480</v>
      </c>
      <c r="C57" s="283">
        <f ca="1">C29</f>
        <v>20619</v>
      </c>
      <c r="D57" s="1920"/>
      <c r="E57" s="1921"/>
      <c r="F57" s="1922"/>
      <c r="I57" s="1923" t="s">
        <v>1558</v>
      </c>
      <c r="J57" s="1924">
        <f ca="1">IF(OR(M47="住宅",J51&lt;L48,J56="是"),"——",J51-L48)</f>
        <v>24.13</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430</v>
      </c>
      <c r="D58" s="1179" t="s">
        <v>1427</v>
      </c>
      <c r="E58" s="1180"/>
      <c r="F58" s="1181"/>
      <c r="I58" s="1923" t="s">
        <v>1562</v>
      </c>
      <c r="J58" s="1925">
        <f ca="1">IF(J55&lt;0.4,0.4,J55)</f>
        <v>0.40200000000000002</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367.9</v>
      </c>
      <c r="D59" s="1182" t="s">
        <v>1432</v>
      </c>
      <c r="E59" s="1183" t="s">
        <v>1433</v>
      </c>
      <c r="F59" s="369" t="str">
        <f ca="1">IF(项目基本情况!B11="企业","",IF(INDIRECT("'数据-取费表'!c"&amp;$G$1)="住宅",5%,IF(F49*F50*F51/12/(1+'数据-取费表'!C42)&gt;20000,12%,7%)))</f>
        <v/>
      </c>
      <c r="I59" s="1923" t="s">
        <v>1565</v>
      </c>
      <c r="J59" s="1924">
        <f ca="1">IF(OR(M47="住宅",J51&lt;L48,J56="是"),"——",ROUND(C29*J58,0))</f>
        <v>8289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193.6</v>
      </c>
      <c r="D60" s="1183" t="s">
        <v>1436</v>
      </c>
      <c r="E60" s="1169" t="s">
        <v>1424</v>
      </c>
      <c r="F60" s="378">
        <f t="shared" ref="F60:F66" si="0">F32</f>
        <v>5.5000000000000007E-2</v>
      </c>
      <c r="I60" s="1926" t="s">
        <v>1567</v>
      </c>
      <c r="J60" s="1927">
        <f ca="1">IF(OR(M47="住宅",J51&lt;L48,J56="是"),"0",ROUND(J59/(1+J52)^J53,0))</f>
        <v>580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173.2</v>
      </c>
      <c r="D61" s="1829" t="s">
        <v>1440</v>
      </c>
      <c r="E61" s="1169" t="s">
        <v>1424</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1.1299999999999999</v>
      </c>
      <c r="D62" s="1184" t="s">
        <v>1444</v>
      </c>
      <c r="E62" s="1169" t="s">
        <v>1445</v>
      </c>
      <c r="F62" s="372">
        <f t="shared" si="0"/>
        <v>1.5</v>
      </c>
      <c r="I62" s="1930" t="s">
        <v>1572</v>
      </c>
      <c r="J62" s="1931" t="s">
        <v>1573</v>
      </c>
      <c r="K62" s="1931" t="s">
        <v>1574</v>
      </c>
      <c r="L62" s="1931" t="s">
        <v>1575</v>
      </c>
      <c r="M62" s="1932" t="s">
        <v>1576</v>
      </c>
      <c r="O62" s="1885" t="s">
        <v>1046</v>
      </c>
      <c r="P62" s="1886" t="s">
        <v>1551</v>
      </c>
      <c r="Q62" s="1887">
        <f ca="1">Q56+Q57</f>
        <v>70481</v>
      </c>
      <c r="R62" s="1887" t="s">
        <v>1047</v>
      </c>
    </row>
    <row r="63" spans="1:18" s="1843" customFormat="1" ht="13.5" thickBot="1">
      <c r="A63" s="373"/>
      <c r="B63" s="1175"/>
      <c r="C63" s="29"/>
      <c r="D63" s="1185"/>
      <c r="E63" s="1169" t="s">
        <v>1449</v>
      </c>
      <c r="F63" s="349">
        <f t="shared" ca="1" si="0"/>
        <v>7559.6</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20.6</v>
      </c>
      <c r="D64" s="1183" t="s">
        <v>1484</v>
      </c>
      <c r="E64" s="1169" t="s">
        <v>1424</v>
      </c>
      <c r="F64" s="375">
        <f t="shared" ca="1" si="0"/>
        <v>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4.7</v>
      </c>
      <c r="D65" s="1183" t="s">
        <v>1456</v>
      </c>
      <c r="E65" s="1169" t="s">
        <v>1424</v>
      </c>
      <c r="F65" s="377">
        <f t="shared" ca="1" si="0"/>
        <v>2.5000000000000001E-4</v>
      </c>
      <c r="I65" s="1930" t="s">
        <v>1581</v>
      </c>
      <c r="J65" s="1931">
        <v>40</v>
      </c>
      <c r="K65" s="1931">
        <v>30</v>
      </c>
      <c r="L65" s="1931">
        <v>50</v>
      </c>
      <c r="M65" s="1933">
        <v>0.02</v>
      </c>
      <c r="O65" s="1885" t="s">
        <v>1040</v>
      </c>
      <c r="P65" s="1886" t="s">
        <v>1530</v>
      </c>
      <c r="Q65" s="1887">
        <f ca="1">C40+J29</f>
        <v>70481</v>
      </c>
      <c r="R65" s="1887" t="s">
        <v>1531</v>
      </c>
    </row>
    <row r="66" spans="1:18" s="1843" customFormat="1" ht="16.5" thickBot="1">
      <c r="A66" s="1201" t="s">
        <v>1506</v>
      </c>
      <c r="B66" s="1169" t="s">
        <v>1441</v>
      </c>
      <c r="C66" s="24">
        <f ca="1">ROUND(C48*F66,1)</f>
        <v>37</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3266</v>
      </c>
      <c r="D67" s="1182" t="s">
        <v>1466</v>
      </c>
      <c r="E67" s="1187"/>
      <c r="F67" s="1188"/>
      <c r="O67" s="1895" t="s">
        <v>1042</v>
      </c>
      <c r="P67" s="1886" t="s">
        <v>1564</v>
      </c>
      <c r="Q67" s="1934">
        <f ca="1">L51</f>
        <v>10143</v>
      </c>
      <c r="R67" s="1887" t="s">
        <v>1584</v>
      </c>
    </row>
    <row r="68" spans="1:18" s="1843" customFormat="1" ht="16.5" thickBot="1">
      <c r="A68" s="1166" t="s">
        <v>1032</v>
      </c>
      <c r="B68" s="1167" t="s">
        <v>1487</v>
      </c>
      <c r="C68" s="347">
        <f ca="1">ROUND(C67*(1-((1+F70)/(1+F68))^F69)/(F68-F70),0)</f>
        <v>31359</v>
      </c>
      <c r="D68" s="1184" t="s">
        <v>1471</v>
      </c>
      <c r="E68" s="1169" t="s">
        <v>1472</v>
      </c>
      <c r="F68" s="358">
        <f ca="1">F40</f>
        <v>5.5E-2</v>
      </c>
      <c r="O68" s="1895" t="s">
        <v>1043</v>
      </c>
      <c r="P68" s="1935" t="s">
        <v>1585</v>
      </c>
      <c r="Q68" s="1887">
        <f ca="1">ROUND(Q69-Q70*Q71,0)</f>
        <v>652</v>
      </c>
      <c r="R68" s="1887" t="s">
        <v>1051</v>
      </c>
    </row>
    <row r="69" spans="1:18" s="1843" customFormat="1" ht="13.5" thickBot="1">
      <c r="A69" s="1170"/>
      <c r="B69" s="1171"/>
      <c r="C69" s="352"/>
      <c r="D69" s="1189" t="s">
        <v>1475</v>
      </c>
      <c r="E69" s="1169" t="s">
        <v>1476</v>
      </c>
      <c r="F69" s="380">
        <f ca="1">F41</f>
        <v>10.86</v>
      </c>
      <c r="O69" s="1895" t="s">
        <v>1048</v>
      </c>
      <c r="P69" s="1935" t="s">
        <v>1586</v>
      </c>
      <c r="Q69" s="1887">
        <f ca="1">C39</f>
        <v>2264</v>
      </c>
      <c r="R69" s="1887" t="s">
        <v>1531</v>
      </c>
    </row>
    <row r="70" spans="1:18" s="1843" customFormat="1" ht="13.5" thickBot="1">
      <c r="A70" s="1173"/>
      <c r="B70" s="1174"/>
      <c r="C70" s="356"/>
      <c r="D70" s="1185"/>
      <c r="E70" s="1169" t="s">
        <v>1479</v>
      </c>
      <c r="F70" s="1275">
        <f>'数据-取费表'!V7</f>
        <v>0.04</v>
      </c>
      <c r="O70" s="1895" t="s">
        <v>1049</v>
      </c>
      <c r="P70" s="1935" t="s">
        <v>1587</v>
      </c>
      <c r="Q70" s="1887">
        <f ca="1">C13</f>
        <v>18969</v>
      </c>
      <c r="R70" s="1887" t="s">
        <v>1531</v>
      </c>
    </row>
    <row r="71" spans="1:18" s="1843" customFormat="1" ht="13.5" thickBot="1">
      <c r="A71" s="1190" t="s">
        <v>1033</v>
      </c>
      <c r="B71" s="1191" t="s">
        <v>1489</v>
      </c>
      <c r="C71" s="383">
        <f ca="1">ROUND(C68*10000/F71,0)</f>
        <v>10902</v>
      </c>
      <c r="D71" s="1192" t="s">
        <v>1490</v>
      </c>
      <c r="E71" s="1193" t="s">
        <v>1491</v>
      </c>
      <c r="F71" s="386">
        <f ca="1">F43</f>
        <v>28765.559999999998</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1612</v>
      </c>
      <c r="D75" s="1843"/>
      <c r="E75" s="1843"/>
      <c r="F75" s="1843"/>
      <c r="K75" s="1869"/>
      <c r="L75" s="1843"/>
      <c r="O75" s="1885" t="s">
        <v>1046</v>
      </c>
      <c r="P75" s="1886" t="s">
        <v>1551</v>
      </c>
      <c r="Q75" s="1887">
        <f ca="1">Q65+Q66</f>
        <v>70481</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0.28800000000000003</v>
      </c>
    </row>
    <row r="80" spans="1:18">
      <c r="B80" s="387" t="s">
        <v>1513</v>
      </c>
      <c r="C80" s="319">
        <f ca="1">ROUND(C75/C39,3)</f>
        <v>0.71199999999999997</v>
      </c>
    </row>
    <row r="81" spans="2:3">
      <c r="B81" s="315" t="s">
        <v>1514</v>
      </c>
      <c r="C81" s="283"/>
    </row>
    <row r="82" spans="2:3">
      <c r="B82" s="318" t="s">
        <v>1515</v>
      </c>
      <c r="C82" s="320">
        <f ca="1">1-C83</f>
        <v>0.16700000000000004</v>
      </c>
    </row>
    <row r="83" spans="2:3">
      <c r="B83" s="318" t="s">
        <v>1516</v>
      </c>
      <c r="C83" s="319">
        <f ca="1">ROUND(C13/C40,3)</f>
        <v>0.83299999999999996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7"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145" t="s">
        <v>2083</v>
      </c>
      <c r="B1" s="3146"/>
      <c r="C1" s="3146"/>
      <c r="D1" s="3146"/>
      <c r="E1" s="3146"/>
      <c r="F1" s="3146"/>
      <c r="G1" s="314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42.75">
      <c r="A3" s="416" t="s">
        <v>2086</v>
      </c>
      <c r="B3" s="1268" t="s">
        <v>2087</v>
      </c>
      <c r="C3" s="2939"/>
      <c r="D3" s="2368"/>
      <c r="E3" s="432" t="s">
        <v>2086</v>
      </c>
      <c r="F3" s="2369" t="s">
        <v>2088</v>
      </c>
      <c r="G3" s="2370" t="s">
        <v>2089</v>
      </c>
      <c r="H3" s="2366"/>
      <c r="I3" s="2366"/>
      <c r="J3" s="2366"/>
      <c r="K3" s="2366"/>
      <c r="L3" s="2366"/>
      <c r="M3" s="2366"/>
      <c r="N3" s="2366"/>
      <c r="O3" s="2366"/>
      <c r="P3" s="2366"/>
      <c r="Q3" s="2366"/>
      <c r="R3" s="2366"/>
    </row>
    <row r="4" spans="1:29" ht="54">
      <c r="A4" s="432"/>
      <c r="B4" s="1796" t="s">
        <v>2090</v>
      </c>
      <c r="C4" s="2940" t="s">
        <v>3081</v>
      </c>
      <c r="D4" s="2368"/>
      <c r="E4" s="2371"/>
      <c r="F4" s="42" t="s">
        <v>2091</v>
      </c>
      <c r="G4" s="2372" t="s">
        <v>2092</v>
      </c>
      <c r="H4" s="2366"/>
      <c r="I4" s="2366"/>
      <c r="J4" s="2366"/>
      <c r="K4" s="2366"/>
      <c r="L4" s="2366"/>
      <c r="M4" s="2366"/>
      <c r="N4" s="2366"/>
      <c r="O4" s="2366"/>
      <c r="P4" s="2366"/>
      <c r="Q4" s="2366"/>
      <c r="R4" s="2366"/>
    </row>
    <row r="5" spans="1:29" ht="27">
      <c r="A5" s="432"/>
      <c r="B5" s="1796" t="s">
        <v>2093</v>
      </c>
      <c r="C5" s="2940"/>
      <c r="D5" s="2368"/>
      <c r="E5" s="2371"/>
      <c r="F5" s="1796" t="s">
        <v>2094</v>
      </c>
      <c r="G5" s="2372" t="s">
        <v>2095</v>
      </c>
      <c r="H5" s="2366"/>
      <c r="I5" s="2366"/>
      <c r="J5" s="2366"/>
      <c r="K5" s="2366"/>
      <c r="L5" s="2366"/>
      <c r="M5" s="2366"/>
      <c r="N5" s="2366"/>
      <c r="O5" s="2366"/>
      <c r="P5" s="2366"/>
      <c r="Q5" s="2366"/>
      <c r="R5" s="2366"/>
    </row>
    <row r="6" spans="1:29" ht="81">
      <c r="A6" s="432"/>
      <c r="B6" s="1796" t="s">
        <v>2096</v>
      </c>
      <c r="C6" s="2941" t="s">
        <v>3082</v>
      </c>
      <c r="D6" s="2368"/>
      <c r="E6" s="2371"/>
      <c r="F6" s="1796" t="s">
        <v>2097</v>
      </c>
      <c r="G6" s="2372" t="s">
        <v>2098</v>
      </c>
      <c r="H6" s="2366"/>
      <c r="I6" s="2366"/>
      <c r="J6" s="2366"/>
      <c r="K6" s="2366"/>
      <c r="L6" s="2366"/>
      <c r="M6" s="2366"/>
      <c r="N6" s="2366"/>
      <c r="O6" s="2366"/>
      <c r="P6" s="2366"/>
      <c r="Q6" s="2366"/>
      <c r="R6" s="2366"/>
    </row>
    <row r="7" spans="1:29" ht="54.75" thickBot="1">
      <c r="A7" s="432"/>
      <c r="B7" s="1796" t="s">
        <v>2094</v>
      </c>
      <c r="C7" s="2941" t="s">
        <v>3085</v>
      </c>
      <c r="D7" s="2373"/>
      <c r="E7" s="2374"/>
      <c r="F7" s="2375" t="s">
        <v>2099</v>
      </c>
      <c r="G7" s="2376" t="s">
        <v>2100</v>
      </c>
      <c r="H7" s="2366"/>
      <c r="I7" s="2366"/>
      <c r="J7" s="2366"/>
      <c r="K7" s="2366"/>
      <c r="L7" s="2366"/>
      <c r="M7" s="2366"/>
      <c r="N7" s="2366"/>
      <c r="O7" s="2366"/>
      <c r="P7" s="2366"/>
      <c r="Q7" s="2366"/>
      <c r="R7" s="2366"/>
    </row>
    <row r="8" spans="1:29" ht="15">
      <c r="A8" s="432"/>
      <c r="B8" s="1796" t="s">
        <v>2097</v>
      </c>
      <c r="C8" s="2940" t="s">
        <v>3086</v>
      </c>
      <c r="D8" s="2373"/>
      <c r="E8" s="2373"/>
      <c r="F8" s="1133"/>
      <c r="G8" s="1133"/>
      <c r="H8" s="2366"/>
      <c r="I8" s="2366"/>
      <c r="J8" s="2366"/>
      <c r="K8" s="2366"/>
      <c r="L8" s="2366"/>
      <c r="M8" s="2366"/>
      <c r="N8" s="2366"/>
      <c r="O8" s="2366"/>
      <c r="P8" s="2366"/>
      <c r="Q8" s="2366"/>
      <c r="R8" s="2366"/>
    </row>
    <row r="9" spans="1:29" ht="54">
      <c r="A9" s="432"/>
      <c r="B9" s="1796" t="s">
        <v>2101</v>
      </c>
      <c r="C9" s="2940" t="s">
        <v>3083</v>
      </c>
      <c r="D9" s="2368"/>
      <c r="E9" s="2373"/>
      <c r="F9" s="1133"/>
      <c r="G9" s="1133"/>
      <c r="H9" s="2366"/>
      <c r="I9" s="2366"/>
      <c r="J9" s="2366"/>
      <c r="K9" s="2366"/>
      <c r="L9" s="2366"/>
      <c r="M9" s="2366"/>
      <c r="N9" s="2366"/>
      <c r="O9" s="2366"/>
      <c r="P9" s="2366"/>
      <c r="Q9" s="2366"/>
      <c r="R9" s="2366"/>
    </row>
    <row r="10" spans="1:29" s="117" customFormat="1" ht="15.75" thickBot="1">
      <c r="A10" s="2377"/>
      <c r="B10" s="2378" t="s">
        <v>2102</v>
      </c>
      <c r="C10" s="2942" t="s">
        <v>3084</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2103</v>
      </c>
      <c r="B13" s="2383"/>
      <c r="C13" s="2383"/>
      <c r="D13" s="2390"/>
      <c r="E13" s="2383"/>
      <c r="F13" s="2383"/>
      <c r="G13" s="2383"/>
    </row>
    <row r="14" spans="1:29" ht="15.75" thickBot="1">
      <c r="A14" s="2394"/>
      <c r="B14" s="2395"/>
      <c r="C14" s="2396" t="s">
        <v>2104</v>
      </c>
      <c r="D14" s="2368"/>
      <c r="E14" s="2397"/>
      <c r="F14" s="2397"/>
      <c r="G14" s="2363" t="s">
        <v>2105</v>
      </c>
    </row>
    <row r="15" spans="1:29" ht="42.75">
      <c r="A15" s="68" t="s">
        <v>2106</v>
      </c>
      <c r="B15" s="1267" t="s">
        <v>2087</v>
      </c>
      <c r="C15" s="2398">
        <f>C3</f>
        <v>0</v>
      </c>
      <c r="D15" s="2368"/>
      <c r="E15" s="2399" t="s">
        <v>2107</v>
      </c>
      <c r="F15" s="1267" t="s">
        <v>2108</v>
      </c>
      <c r="G15" s="135" t="str">
        <f>G3</f>
        <v>估价对象位于XX开发区，园区建设成熟度XX，产业集聚程度XX</v>
      </c>
    </row>
    <row r="16" spans="1:29" ht="57">
      <c r="A16" s="646"/>
      <c r="B16" s="2400" t="s">
        <v>2090</v>
      </c>
      <c r="C16" s="2401" t="str">
        <f>C4</f>
        <v>估价对象位于回龙观与西三旗商圈之间，周边商业氛围较好，人流量一般，商业繁华度较好</v>
      </c>
      <c r="D16" s="2368"/>
      <c r="E16" s="2402"/>
      <c r="F16" s="2403" t="s">
        <v>2091</v>
      </c>
      <c r="G16" s="136" t="str">
        <f>G4</f>
        <v>估价对象周边道路状况、公共交通通达情况、停车便捷程度，综合评价交通便捷度较好</v>
      </c>
    </row>
    <row r="17" spans="1:18" ht="15">
      <c r="A17" s="646"/>
      <c r="B17" s="2400" t="s">
        <v>2093</v>
      </c>
      <c r="C17" s="2401">
        <f>C5</f>
        <v>0</v>
      </c>
      <c r="D17" s="2373"/>
      <c r="E17" s="2402"/>
      <c r="F17" s="2403" t="s">
        <v>2109</v>
      </c>
      <c r="G17" s="1570"/>
    </row>
    <row r="18" spans="1:18" ht="85.5">
      <c r="A18" s="646"/>
      <c r="B18" s="2403" t="s">
        <v>2096</v>
      </c>
      <c r="C18" s="136" t="str">
        <f>C6</f>
        <v>估价对象周边有371、462等公交线路并有8号线等，公共交通通达情况；项目自身有停车位、停车便捷程度较好，综合评价交通便捷度较好</v>
      </c>
      <c r="D18" s="2373"/>
      <c r="E18" s="2402"/>
      <c r="F18" s="2403" t="s">
        <v>2099</v>
      </c>
      <c r="G18" s="136" t="str">
        <f>G7</f>
        <v>该园区内是否有污染型企业，绿化情况，卫生条件，整体环境状况判断</v>
      </c>
    </row>
    <row r="19" spans="1:18" ht="28.5">
      <c r="A19" s="646"/>
      <c r="B19" s="2403" t="s">
        <v>2110</v>
      </c>
      <c r="C19" s="2945" t="s">
        <v>3101</v>
      </c>
      <c r="D19" s="2368"/>
      <c r="E19" s="2402"/>
      <c r="F19" s="1796" t="s">
        <v>2094</v>
      </c>
      <c r="G19" s="136" t="str">
        <f>G5</f>
        <v>估价对象所在区域公共配套设施齐备情况</v>
      </c>
    </row>
    <row r="20" spans="1:18" ht="57">
      <c r="A20" s="646"/>
      <c r="B20" s="2403" t="s">
        <v>2111</v>
      </c>
      <c r="C20" s="2401" t="str">
        <f>C9</f>
        <v>区域自然环境：南店公园等；人文环境：北京石油管理干部学院；综合评价环境状况较好</v>
      </c>
      <c r="D20" s="2373"/>
      <c r="E20" s="2402"/>
      <c r="F20" s="1796" t="s">
        <v>2112</v>
      </c>
      <c r="G20" s="136" t="str">
        <f>G6</f>
        <v>估价对象所在区域基础设施水平</v>
      </c>
    </row>
    <row r="21" spans="1:18" ht="42.75">
      <c r="A21" s="646"/>
      <c r="B21" s="1796" t="s">
        <v>2094</v>
      </c>
      <c r="C21" s="136" t="str">
        <f>C7</f>
        <v>估价对象所在区域公共配套设施较齐备；综合评价公用设施及基础设施水平较好</v>
      </c>
      <c r="D21" s="2368"/>
      <c r="E21" s="2402"/>
      <c r="F21" s="2403" t="s">
        <v>2113</v>
      </c>
      <c r="G21" s="2404" t="s">
        <v>3087</v>
      </c>
    </row>
    <row r="22" spans="1:18" ht="13.5" customHeight="1">
      <c r="A22" s="646"/>
      <c r="B22" s="1796" t="s">
        <v>2097</v>
      </c>
      <c r="C22" s="136" t="str">
        <f>C8</f>
        <v>基础设施水平七通一平；</v>
      </c>
      <c r="D22" s="2368"/>
      <c r="E22" s="2402"/>
      <c r="F22" s="2403" t="s">
        <v>2102</v>
      </c>
      <c r="G22" s="2943" t="s">
        <v>3088</v>
      </c>
    </row>
    <row r="23" spans="1:18" s="2366" customFormat="1" ht="15.75" thickBot="1">
      <c r="A23" s="646"/>
      <c r="B23" s="2403" t="s">
        <v>2113</v>
      </c>
      <c r="C23" s="2404" t="s">
        <v>3090</v>
      </c>
      <c r="D23" s="2391"/>
      <c r="E23" s="2405"/>
      <c r="F23" s="2406" t="s">
        <v>2114</v>
      </c>
      <c r="G23" s="2944" t="s">
        <v>3089</v>
      </c>
      <c r="H23" s="2391"/>
      <c r="I23" s="2392"/>
      <c r="J23" s="2391"/>
      <c r="K23" s="2391"/>
      <c r="L23" s="2392"/>
      <c r="M23" s="2391"/>
      <c r="N23" s="2391"/>
      <c r="O23" s="2392"/>
      <c r="P23" s="2391"/>
      <c r="Q23" s="2391"/>
      <c r="R23" s="2393"/>
    </row>
    <row r="24" spans="1:18" s="2366" customFormat="1" ht="15.75" thickBot="1">
      <c r="A24" s="2407"/>
      <c r="B24" s="2406" t="s">
        <v>2115</v>
      </c>
      <c r="C24" s="137" t="str">
        <f>C10</f>
        <v>城市次干道——文华路</v>
      </c>
      <c r="D24" s="2391"/>
      <c r="E24" s="2408"/>
      <c r="F24" s="2408"/>
      <c r="G24" s="2409"/>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A3" sqref="A3"/>
    </sheetView>
  </sheetViews>
  <sheetFormatPr defaultRowHeight="13.5"/>
  <cols>
    <col min="1" max="1" width="23.375" style="1739" customWidth="1"/>
    <col min="2" max="9" width="15.75" style="1739" customWidth="1"/>
    <col min="10" max="16384" width="9" style="1739"/>
  </cols>
  <sheetData>
    <row r="1" spans="1:10" ht="16.5">
      <c r="A1" s="1744" t="s">
        <v>1366</v>
      </c>
      <c r="B1" s="1744">
        <f>SUM(B14:B23)</f>
        <v>65110.920000000006</v>
      </c>
      <c r="C1" s="1743"/>
      <c r="D1" s="1743"/>
      <c r="E1" s="1743"/>
      <c r="F1" s="1743"/>
      <c r="G1" s="1741"/>
    </row>
    <row r="2" spans="1:10" ht="16.5">
      <c r="A2" s="1744" t="s">
        <v>1354</v>
      </c>
      <c r="B2" s="1744">
        <f>SUM(C14:C23)</f>
        <v>17111.18</v>
      </c>
      <c r="C2" s="1743"/>
      <c r="D2" s="1743"/>
      <c r="E2" s="1743"/>
      <c r="F2" s="1743"/>
      <c r="G2" s="1741"/>
    </row>
    <row r="3" spans="1:10" ht="16.5">
      <c r="A3" s="1744" t="s">
        <v>1363</v>
      </c>
      <c r="B3" s="1745">
        <f>项目基本情况!D3</f>
        <v>43039</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142086</v>
      </c>
      <c r="C5" s="1744">
        <f ca="1">ROUND(B5*10000/$B$1,0)</f>
        <v>21822</v>
      </c>
      <c r="D5" s="1744">
        <f ca="1">ROUND(B5*10000/$B$2,0)</f>
        <v>83037</v>
      </c>
      <c r="E5" s="1743"/>
      <c r="F5" s="1741"/>
      <c r="G5" s="1741"/>
    </row>
    <row r="6" spans="1:10" ht="16.5">
      <c r="A6" s="1744" t="s">
        <v>1357</v>
      </c>
      <c r="B6" s="1744">
        <f ca="1">SUM(G14:G23)</f>
        <v>142086</v>
      </c>
      <c r="C6" s="1744">
        <f ca="1">ROUND(B6*10000/$B$1,0)</f>
        <v>21822</v>
      </c>
      <c r="D6" s="1744">
        <f ca="1">ROUND(B6*10000/$B$2,0)</f>
        <v>83037</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'数据-汇总表'!E3</f>
        <v>65110.920000000006</v>
      </c>
      <c r="C14" s="1742">
        <f>'数据-汇总表'!D3</f>
        <v>17111.18</v>
      </c>
      <c r="D14" s="1742">
        <f ca="1">结果表!H118</f>
        <v>142086</v>
      </c>
      <c r="E14" s="1742">
        <f ca="1">ROUND(D14*10000/B14,0)</f>
        <v>21822</v>
      </c>
      <c r="F14" s="1742">
        <f ca="1">ROUND(D14*10000/C14,0)</f>
        <v>83037</v>
      </c>
      <c r="G14" s="1742">
        <f ca="1">结果表!D122</f>
        <v>142086</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38"/>
      <c r="C1" s="243"/>
      <c r="D1" s="243"/>
      <c r="E1" s="243"/>
      <c r="F1" s="243"/>
      <c r="G1" s="1379">
        <f>MATCH(B1,'数据-取费表'!A6:A16,0)+5</f>
        <v>10</v>
      </c>
    </row>
    <row r="2" spans="1:9" s="245" customFormat="1" ht="18" customHeight="1">
      <c r="A2" s="246" t="s">
        <v>2325</v>
      </c>
      <c r="B2" s="247">
        <f ca="1">IF(D2="——",C52,C52-E2)</f>
        <v>153616</v>
      </c>
      <c r="C2" s="244" t="s">
        <v>2326</v>
      </c>
      <c r="D2" s="2544" t="s">
        <v>3116</v>
      </c>
      <c r="E2" s="1440">
        <f ca="1">SUMIF(INDIRECT("'"&amp;G2&amp;"'"&amp;"!A:A"),"承租人权益价值",INDIRECT("'"&amp;G2&amp;"'"&amp;"!c:c"))</f>
        <v>8591</v>
      </c>
      <c r="F2" s="2545" t="s">
        <v>2326</v>
      </c>
      <c r="G2" s="2546" t="s">
        <v>3110</v>
      </c>
    </row>
    <row r="3" spans="1:9" s="245" customFormat="1" ht="18" customHeight="1" thickBot="1">
      <c r="A3" s="248" t="s">
        <v>2327</v>
      </c>
      <c r="B3" s="249">
        <f ca="1">ROUND(B2*10000/(IF(B1="",'数据-汇总表'!E3,INDIRECT("'数据-取费表'!k"&amp;$G$1))),0)</f>
        <v>23593</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 ca="1">C6+C7+C8</f>
        <v>82679</v>
      </c>
      <c r="D5" s="256" t="s">
        <v>2332</v>
      </c>
      <c r="E5" s="257" t="s">
        <v>2333</v>
      </c>
      <c r="F5" s="257" t="s">
        <v>2334</v>
      </c>
      <c r="G5" s="258"/>
    </row>
    <row r="6" spans="1:9" s="259" customFormat="1" ht="13.5" customHeight="1">
      <c r="A6" s="949" t="s">
        <v>2335</v>
      </c>
      <c r="B6" s="260" t="s">
        <v>2336</v>
      </c>
      <c r="C6" s="261">
        <f ca="1">基准地价修正!W5+基准地价修正!E33+基准地价修正!E39</f>
        <v>78968</v>
      </c>
      <c r="D6" s="262"/>
      <c r="E6" s="263"/>
      <c r="F6" s="263"/>
      <c r="G6" s="264"/>
    </row>
    <row r="7" spans="1:9" s="259" customFormat="1" ht="13.5" customHeight="1">
      <c r="A7" s="949" t="s">
        <v>2337</v>
      </c>
      <c r="B7" s="260" t="s">
        <v>2338</v>
      </c>
      <c r="C7" s="265">
        <f ca="1">ROUND(C6*F7,0)</f>
        <v>2409</v>
      </c>
      <c r="D7" s="265"/>
      <c r="E7" s="263"/>
      <c r="F7" s="266">
        <f>'数据-取费表'!B48+'数据-取费表'!B49</f>
        <v>3.0499999999999999E-2</v>
      </c>
      <c r="G7" s="264"/>
    </row>
    <row r="8" spans="1:9" s="268" customFormat="1">
      <c r="A8" s="949" t="s">
        <v>2339</v>
      </c>
      <c r="B8" s="260" t="s">
        <v>2340</v>
      </c>
      <c r="C8" s="265">
        <f>IF(G8="已包含在土地购买价格中","0",IF(B1="",'数据-取费表'!B29,IF(G9="全部缴纳",C9+C10,H9)))</f>
        <v>1302</v>
      </c>
      <c r="D8" s="267"/>
      <c r="E8" s="265"/>
      <c r="F8" s="266"/>
      <c r="G8" s="2547" t="s">
        <v>3118</v>
      </c>
    </row>
    <row r="9" spans="1:9" s="259" customFormat="1" ht="13.5" customHeight="1">
      <c r="A9" s="950" t="s">
        <v>800</v>
      </c>
      <c r="B9" s="269" t="s">
        <v>2341</v>
      </c>
      <c r="C9" s="270">
        <f ca="1">ROUND(D9*E9/10000,0)</f>
        <v>0</v>
      </c>
      <c r="D9" s="1032">
        <f ca="1">IF(B1="",'数据-汇总表'!E5,IF(INDIRECT("'数据-取费表'!c"&amp;$G$1)="住宅",INDIRECT("'数据-取费表'!k"&amp;$G$1),0))</f>
        <v>0</v>
      </c>
      <c r="E9" s="270">
        <f>'数据-取费表'!B27</f>
        <v>160</v>
      </c>
      <c r="F9" s="266"/>
      <c r="G9" s="2548" t="s">
        <v>3117</v>
      </c>
      <c r="H9" s="1390"/>
      <c r="I9" s="2549" t="s">
        <v>2342</v>
      </c>
    </row>
    <row r="10" spans="1:9" s="259" customFormat="1" ht="13.5" customHeight="1">
      <c r="A10" s="950" t="s">
        <v>801</v>
      </c>
      <c r="B10" s="269" t="s">
        <v>2343</v>
      </c>
      <c r="C10" s="270">
        <f ca="1">ROUND(D10*E10/10000,0)</f>
        <v>1302</v>
      </c>
      <c r="D10" s="1032">
        <f ca="1">IF(B1="",'数据-汇总表'!E6,IF(INDIRECT("'数据-取费表'!c"&amp;$G$1)="住宅",INDIRECT("'数据-取费表'!s"&amp;$G$1),INDIRECT("'数据-取费表'!k"&amp;$G$1)+INDIRECT("'数据-取费表'!s"&amp;$G$1)))</f>
        <v>65110.920000000006</v>
      </c>
      <c r="E10" s="270">
        <f>'数据-取费表'!B28</f>
        <v>200</v>
      </c>
      <c r="F10" s="266"/>
      <c r="G10" s="271"/>
    </row>
    <row r="11" spans="1:9" s="259" customFormat="1" ht="13.5" hidden="1" customHeight="1">
      <c r="A11" s="272" t="s">
        <v>7</v>
      </c>
      <c r="B11" s="260" t="s">
        <v>2344</v>
      </c>
      <c r="C11" s="256"/>
      <c r="D11" s="1034"/>
      <c r="E11" s="263"/>
      <c r="F11" s="263"/>
      <c r="G11" s="264"/>
    </row>
    <row r="12" spans="1:9" s="259" customFormat="1" ht="13.5" hidden="1" customHeight="1">
      <c r="A12" s="272" t="s">
        <v>8</v>
      </c>
      <c r="B12" s="260" t="s">
        <v>2345</v>
      </c>
      <c r="C12" s="256">
        <v>0</v>
      </c>
      <c r="D12" s="1034"/>
      <c r="E12" s="273"/>
      <c r="F12" s="266">
        <v>3.0499999999999999E-2</v>
      </c>
      <c r="G12" s="264"/>
    </row>
    <row r="13" spans="1:9" s="259" customFormat="1" ht="13.5" hidden="1" customHeight="1">
      <c r="A13" s="272" t="s">
        <v>9</v>
      </c>
      <c r="B13" s="260" t="s">
        <v>2346</v>
      </c>
      <c r="C13" s="256"/>
      <c r="D13" s="1034"/>
      <c r="E13" s="263"/>
      <c r="F13" s="263"/>
      <c r="G13" s="264"/>
    </row>
    <row r="14" spans="1:9" s="259" customFormat="1" ht="13.5" hidden="1" customHeight="1">
      <c r="A14" s="272" t="s">
        <v>10</v>
      </c>
      <c r="B14" s="260" t="s">
        <v>2347</v>
      </c>
      <c r="C14" s="256"/>
      <c r="D14" s="1034"/>
      <c r="E14" s="263"/>
      <c r="F14" s="263"/>
      <c r="G14" s="264" t="s">
        <v>2348</v>
      </c>
    </row>
    <row r="15" spans="1:9" s="259" customFormat="1" ht="13.5" hidden="1" customHeight="1">
      <c r="A15" s="272" t="s">
        <v>11</v>
      </c>
      <c r="B15" s="260" t="s">
        <v>2349</v>
      </c>
      <c r="C15" s="265"/>
      <c r="D15" s="1034"/>
      <c r="E15" s="263"/>
      <c r="F15" s="263"/>
      <c r="G15" s="264" t="s">
        <v>2350</v>
      </c>
    </row>
    <row r="16" spans="1:9" s="259" customFormat="1" ht="13.5" hidden="1" customHeight="1">
      <c r="A16" s="272" t="s">
        <v>12</v>
      </c>
      <c r="B16" s="260" t="s">
        <v>2347</v>
      </c>
      <c r="C16" s="265"/>
      <c r="D16" s="1034"/>
      <c r="E16" s="263"/>
      <c r="F16" s="263"/>
      <c r="G16" s="264"/>
    </row>
    <row r="17" spans="1:7" s="259" customFormat="1" ht="13.5" hidden="1" customHeight="1">
      <c r="A17" s="272" t="s">
        <v>13</v>
      </c>
      <c r="B17" s="260" t="s">
        <v>2351</v>
      </c>
      <c r="C17" s="274"/>
      <c r="D17" s="1035"/>
      <c r="E17" s="274"/>
      <c r="F17" s="274"/>
      <c r="G17" s="264" t="s">
        <v>2350</v>
      </c>
    </row>
    <row r="18" spans="1:7" s="259" customFormat="1" ht="13.5" hidden="1" customHeight="1">
      <c r="A18" s="272" t="s">
        <v>14</v>
      </c>
      <c r="B18" s="260" t="s">
        <v>2352</v>
      </c>
      <c r="C18" s="265">
        <v>0</v>
      </c>
      <c r="D18" s="1034"/>
      <c r="E18" s="263"/>
      <c r="F18" s="266">
        <v>3.0499999999999999E-2</v>
      </c>
      <c r="G18" s="264" t="s">
        <v>2353</v>
      </c>
    </row>
    <row r="19" spans="1:7" s="268" customFormat="1" ht="13.5" customHeight="1">
      <c r="A19" s="300" t="s">
        <v>2354</v>
      </c>
      <c r="B19" s="255" t="s">
        <v>2355</v>
      </c>
      <c r="C19" s="256" t="str">
        <f>IF(G19="已包含在土地取得成本中","0",ROUND(D19*E19/10000,0))</f>
        <v>0</v>
      </c>
      <c r="D19" s="1036">
        <f ca="1">D9+D10</f>
        <v>65110.920000000006</v>
      </c>
      <c r="E19" s="256">
        <f>'数据-取费表'!B31</f>
        <v>200</v>
      </c>
      <c r="F19" s="276"/>
      <c r="G19" s="2547" t="s">
        <v>3119</v>
      </c>
    </row>
    <row r="20" spans="1:7" s="259" customFormat="1" ht="13.5" customHeight="1">
      <c r="A20" s="300" t="s">
        <v>2356</v>
      </c>
      <c r="B20" s="255" t="s">
        <v>2357</v>
      </c>
      <c r="C20" s="277">
        <f ca="1">ROUND((C5+C19)*F20,0)</f>
        <v>827</v>
      </c>
      <c r="D20" s="277"/>
      <c r="E20" s="277"/>
      <c r="F20" s="278">
        <f>'数据-取费表'!B37</f>
        <v>0.01</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4">
        <f ca="1">ROUND(SUM(C23:C25),0)</f>
        <v>10220</v>
      </c>
      <c r="D22" s="280">
        <f ca="1">C26</f>
        <v>1.1999999999999999E-3</v>
      </c>
      <c r="E22" s="281" t="s">
        <v>2361</v>
      </c>
      <c r="F22" s="282">
        <f ca="1">'数据-取费表'!B40</f>
        <v>4.7500000000000001E-2</v>
      </c>
      <c r="G22" s="279" t="str">
        <f>IF('数据-取费表'!B22&lt;=1,"单利计息","复利计息")</f>
        <v>复利计息</v>
      </c>
    </row>
    <row r="23" spans="1:7" s="259" customFormat="1" ht="13.5" customHeight="1">
      <c r="A23" s="951" t="s">
        <v>2365</v>
      </c>
      <c r="B23" s="260" t="s">
        <v>2366</v>
      </c>
      <c r="C23" s="1355">
        <f ca="1">ROUND(IF('数据-取费表'!B22&lt;=1,C5*F22*'数据-取费表'!B23,C5*(POWER((1+F22),'数据-取费表'!B23)-1)),0)</f>
        <v>10171</v>
      </c>
      <c r="D23" s="283"/>
      <c r="E23" s="283"/>
      <c r="F23" s="284"/>
      <c r="G23" s="285" t="s">
        <v>2367</v>
      </c>
    </row>
    <row r="24" spans="1:7" s="259" customFormat="1" ht="13.5" customHeight="1">
      <c r="A24" s="951" t="s">
        <v>2368</v>
      </c>
      <c r="B24" s="260" t="s">
        <v>2369</v>
      </c>
      <c r="C24" s="1355">
        <f ca="1">ROUND(IF('数据-取费表'!B22&lt;=1,C19*F22*('数据-取费表'!B19/2+'数据-取费表'!B21),C19*(POWER((1+F22),('数据-取费表'!B19/2+'数据-取费表'!B21))-1)),0)</f>
        <v>0</v>
      </c>
      <c r="D24" s="283"/>
      <c r="E24" s="283"/>
      <c r="F24" s="284"/>
      <c r="G24" s="285" t="s">
        <v>2370</v>
      </c>
    </row>
    <row r="25" spans="1:7" s="259" customFormat="1" ht="24">
      <c r="A25" s="951" t="s">
        <v>2371</v>
      </c>
      <c r="B25" s="260" t="s">
        <v>2372</v>
      </c>
      <c r="C25" s="1355">
        <f ca="1">ROUND(IF('数据-取费表'!B22&lt;=1,C20*F22*'数据-取费表'!B23/2,C20*(POWER((1+F22),'数据-取费表'!B23/2)-1)),0)</f>
        <v>49</v>
      </c>
      <c r="D25" s="283"/>
      <c r="E25" s="286"/>
      <c r="F25" s="284"/>
      <c r="G25" s="287" t="s">
        <v>2373</v>
      </c>
    </row>
    <row r="26" spans="1:7" s="259" customFormat="1">
      <c r="A26" s="951" t="s">
        <v>795</v>
      </c>
      <c r="B26" s="260" t="s">
        <v>2374</v>
      </c>
      <c r="C26" s="283">
        <f ca="1">ROUND(IF('数据-取费表'!B22&lt;=1,F21*F22*'数据-取费表'!B23/2,F21*(POWER((1+F22),'数据-取费表'!B23/2)-1)),4)</f>
        <v>1.1999999999999999E-3</v>
      </c>
      <c r="D26" s="283"/>
      <c r="E26" s="286"/>
      <c r="F26" s="284"/>
      <c r="G26" s="288"/>
    </row>
    <row r="27" spans="1:7" s="259" customFormat="1" ht="24.75">
      <c r="A27" s="300" t="s">
        <v>2375</v>
      </c>
      <c r="B27" s="289" t="s">
        <v>2376</v>
      </c>
      <c r="C27" s="290">
        <f ca="1">C28</f>
        <v>19206</v>
      </c>
      <c r="D27" s="280">
        <f ca="1">C29</f>
        <v>4.5999999999999999E-3</v>
      </c>
      <c r="E27" s="281" t="s">
        <v>2377</v>
      </c>
      <c r="F27" s="291">
        <f ca="1">IF(B1="",'数据-取费表'!Q16,INDIRECT("'数据-取费表'!q"&amp;$G$1))</f>
        <v>0.23</v>
      </c>
      <c r="G27" s="292" t="s">
        <v>2378</v>
      </c>
    </row>
    <row r="28" spans="1:7" s="259" customFormat="1" ht="13.5" customHeight="1">
      <c r="A28" s="951" t="s">
        <v>791</v>
      </c>
      <c r="B28" s="293" t="s">
        <v>2379</v>
      </c>
      <c r="C28" s="294">
        <f ca="1">ROUND((C5+C19+C20)*F27*'数据-取费表'!B21/'数据-取费表'!B20,0)</f>
        <v>19206</v>
      </c>
      <c r="D28" s="280"/>
      <c r="E28" s="281"/>
      <c r="F28" s="291"/>
      <c r="G28" s="292"/>
    </row>
    <row r="29" spans="1:7" s="259" customFormat="1" ht="13.5" customHeight="1">
      <c r="A29" s="951" t="s">
        <v>792</v>
      </c>
      <c r="B29" s="293" t="s">
        <v>2380</v>
      </c>
      <c r="C29" s="283">
        <f ca="1">ROUND(C21*F27*'数据-取费表'!B21/'数据-取费表'!B20,4)</f>
        <v>4.5999999999999999E-3</v>
      </c>
      <c r="D29" s="280"/>
      <c r="E29" s="281"/>
      <c r="F29" s="291"/>
      <c r="G29" s="292"/>
    </row>
    <row r="30" spans="1:7" s="259" customFormat="1" ht="13.5" customHeight="1">
      <c r="A30" s="300" t="s">
        <v>2381</v>
      </c>
      <c r="B30" s="255" t="s">
        <v>2382</v>
      </c>
      <c r="C30" s="280">
        <f>ROUND(F30/(1+'数据-取费表'!C42),4)</f>
        <v>5.2400000000000002E-2</v>
      </c>
      <c r="D30" s="281" t="s">
        <v>2377</v>
      </c>
      <c r="E30" s="286"/>
      <c r="F30" s="282">
        <f>'数据-取费表'!B41</f>
        <v>5.5000000000000007E-2</v>
      </c>
      <c r="G30" s="279" t="s">
        <v>2383</v>
      </c>
    </row>
    <row r="31" spans="1:7" ht="16.5" customHeight="1">
      <c r="A31" s="254">
        <v>1</v>
      </c>
      <c r="B31" s="255" t="s">
        <v>2384</v>
      </c>
      <c r="C31" s="256">
        <f ca="1">ROUND((C5+C19+C20+C22+C27)/(1-C21-D22-D27-C30),0)</f>
        <v>122512</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30533</v>
      </c>
      <c r="D33" s="277"/>
      <c r="E33" s="257"/>
      <c r="F33" s="286"/>
      <c r="G33" s="279"/>
    </row>
    <row r="34" spans="1:7" s="303" customFormat="1" ht="13.5" customHeight="1">
      <c r="A34" s="951" t="s">
        <v>791</v>
      </c>
      <c r="B34" s="260" t="s">
        <v>2388</v>
      </c>
      <c r="C34" s="265">
        <f ca="1">IF(B1="",IF(F34=100%,'数据-取费表'!M16,'数据-取费表'!O16),IF(F34=100%,INDIRECT("'数据-取费表'!m"&amp;$G$1)+INDIRECT("'数据-取费表'!t"&amp;$G$1),INDIRECT("'数据-取费表'!o"&amp;$G$1)+INDIRECT("'数据-取费表'!aq"&amp;$G$1)))</f>
        <v>27447</v>
      </c>
      <c r="D34" s="262"/>
      <c r="E34" s="265"/>
      <c r="F34" s="302">
        <f ca="1">IF('数据-取费表'!B24=0,1,IF(B1="",'数据-取费表'!N16,INDIRECT("'数据-取费表'!n"&amp;$G$1)))</f>
        <v>1</v>
      </c>
      <c r="G34" s="264" t="s">
        <v>2389</v>
      </c>
    </row>
    <row r="35" spans="1:7" ht="13.5" customHeight="1">
      <c r="A35" s="951" t="s">
        <v>796</v>
      </c>
      <c r="B35" s="260" t="s">
        <v>2390</v>
      </c>
      <c r="C35" s="265">
        <f ca="1">ROUND(C34*F35,0)</f>
        <v>1372</v>
      </c>
      <c r="D35" s="265"/>
      <c r="E35" s="265"/>
      <c r="F35" s="304">
        <f>'数据-取费表'!B33</f>
        <v>0.05</v>
      </c>
      <c r="G35" s="264" t="s">
        <v>2391</v>
      </c>
    </row>
    <row r="36" spans="1:7" ht="24">
      <c r="A36" s="951"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2393</v>
      </c>
    </row>
    <row r="37" spans="1:7" s="303" customFormat="1" ht="13.5" customHeight="1">
      <c r="A37" s="951" t="s">
        <v>798</v>
      </c>
      <c r="B37" s="260" t="s">
        <v>2394</v>
      </c>
      <c r="C37" s="294">
        <f ca="1">ROUND(E37*D37*F34/10000,0)</f>
        <v>1302</v>
      </c>
      <c r="D37" s="262">
        <f ca="1">D19</f>
        <v>65110.920000000006</v>
      </c>
      <c r="E37" s="294">
        <f>'数据-取费表'!B35</f>
        <v>200</v>
      </c>
      <c r="F37" s="304"/>
      <c r="G37" s="306" t="s">
        <v>2395</v>
      </c>
    </row>
    <row r="38" spans="1:7" ht="13.5" customHeight="1">
      <c r="A38" s="951" t="s">
        <v>799</v>
      </c>
      <c r="B38" s="260" t="s">
        <v>2396</v>
      </c>
      <c r="C38" s="265">
        <f ca="1">ROUND(C34*F38,0)</f>
        <v>412</v>
      </c>
      <c r="D38" s="265"/>
      <c r="E38" s="265"/>
      <c r="F38" s="304">
        <f>'数据-取费表'!B36</f>
        <v>1.4999999999999999E-2</v>
      </c>
      <c r="G38" s="264" t="s">
        <v>2391</v>
      </c>
    </row>
    <row r="39" spans="1:7" s="259" customFormat="1" ht="13.5" customHeight="1">
      <c r="A39" s="300" t="s">
        <v>2397</v>
      </c>
      <c r="B39" s="255" t="s">
        <v>2398</v>
      </c>
      <c r="C39" s="277">
        <f ca="1">ROUND(C33*F20,0)</f>
        <v>305</v>
      </c>
      <c r="D39" s="277"/>
      <c r="E39" s="277"/>
      <c r="F39" s="278"/>
      <c r="G39" s="279" t="s">
        <v>2399</v>
      </c>
    </row>
    <row r="40" spans="1:7" s="259" customFormat="1" ht="13.5" customHeight="1">
      <c r="A40" s="300" t="s">
        <v>2400</v>
      </c>
      <c r="B40" s="255" t="s">
        <v>2401</v>
      </c>
      <c r="C40" s="1729">
        <f>F21</f>
        <v>0.02</v>
      </c>
      <c r="D40" s="281" t="s">
        <v>2402</v>
      </c>
      <c r="E40" s="277"/>
      <c r="F40" s="278"/>
      <c r="G40" s="279" t="s">
        <v>2403</v>
      </c>
    </row>
    <row r="41" spans="1:7" s="259" customFormat="1" ht="13.5" customHeight="1">
      <c r="A41" s="300" t="s">
        <v>2404</v>
      </c>
      <c r="B41" s="255" t="s">
        <v>2405</v>
      </c>
      <c r="C41" s="277">
        <f ca="1">ROUND(SUM(C42:C43),0)</f>
        <v>1842</v>
      </c>
      <c r="D41" s="280">
        <f ca="1">C44</f>
        <v>1.1999999999999999E-3</v>
      </c>
      <c r="E41" s="281" t="s">
        <v>2402</v>
      </c>
      <c r="F41" s="282"/>
      <c r="G41" s="279" t="str">
        <f>IF('数据-取费表'!B22&lt;=1,"单利计息","复利计息")</f>
        <v>复利计息</v>
      </c>
    </row>
    <row r="42" spans="1:7" ht="13.5" customHeight="1">
      <c r="A42" s="951" t="s">
        <v>791</v>
      </c>
      <c r="B42" s="260" t="s">
        <v>2406</v>
      </c>
      <c r="C42" s="283">
        <f ca="1">ROUND(IF('数据-取费表'!B22&lt;=1,C33*F22*'数据-取费表'!B21/2,C33*(POWER((1+F22),'数据-取费表'!B21/2)-1)),0)</f>
        <v>1824</v>
      </c>
      <c r="D42" s="283"/>
      <c r="E42" s="283"/>
      <c r="F42" s="284"/>
      <c r="G42" s="3147" t="s">
        <v>2407</v>
      </c>
    </row>
    <row r="43" spans="1:7" ht="13.5" customHeight="1">
      <c r="A43" s="951" t="s">
        <v>792</v>
      </c>
      <c r="B43" s="260" t="s">
        <v>2408</v>
      </c>
      <c r="C43" s="283">
        <f ca="1">ROUND(IF('数据-取费表'!B22&lt;=1,C39*F22*'数据-取费表'!B21/2,C39*(POWER((1+F22),'数据-取费表'!B21/2)-1)),0)</f>
        <v>18</v>
      </c>
      <c r="D43" s="283"/>
      <c r="E43" s="283"/>
      <c r="F43" s="284"/>
      <c r="G43" s="3148"/>
    </row>
    <row r="44" spans="1:7" ht="13.5" customHeight="1">
      <c r="A44" s="951" t="s">
        <v>793</v>
      </c>
      <c r="B44" s="260" t="s">
        <v>2409</v>
      </c>
      <c r="C44" s="283">
        <f ca="1">ROUND(IF('数据-取费表'!B22&lt;=1,C40*F22*'数据-取费表'!B21/2,C40*(POWER((1+F22),'数据-取费表'!B21/2)-1)),4)</f>
        <v>1.1999999999999999E-3</v>
      </c>
      <c r="D44" s="283"/>
      <c r="E44" s="283"/>
      <c r="F44" s="284"/>
      <c r="G44" s="3149"/>
    </row>
    <row r="45" spans="1:7" s="259" customFormat="1" ht="13.5" customHeight="1">
      <c r="A45" s="300" t="s">
        <v>2410</v>
      </c>
      <c r="B45" s="289" t="s">
        <v>2376</v>
      </c>
      <c r="C45" s="290">
        <f ca="1">C46</f>
        <v>7093</v>
      </c>
      <c r="D45" s="280">
        <f ca="1">C47</f>
        <v>4.5999999999999999E-3</v>
      </c>
      <c r="E45" s="281" t="s">
        <v>2402</v>
      </c>
      <c r="F45" s="291"/>
      <c r="G45" s="292" t="s">
        <v>2411</v>
      </c>
    </row>
    <row r="46" spans="1:7" s="259" customFormat="1" ht="13.5" customHeight="1">
      <c r="A46" s="951" t="s">
        <v>791</v>
      </c>
      <c r="B46" s="293" t="s">
        <v>2412</v>
      </c>
      <c r="C46" s="294">
        <f ca="1">ROUND((C33+C39)*F27,0)</f>
        <v>7093</v>
      </c>
      <c r="D46" s="308"/>
      <c r="E46" s="281"/>
      <c r="F46" s="291"/>
      <c r="G46" s="292"/>
    </row>
    <row r="47" spans="1:7" s="259" customFormat="1" ht="13.5" customHeight="1">
      <c r="A47" s="951" t="s">
        <v>792</v>
      </c>
      <c r="B47" s="293" t="s">
        <v>2413</v>
      </c>
      <c r="C47" s="283">
        <f ca="1">ROUND(C40*F27,4)</f>
        <v>4.5999999999999999E-3</v>
      </c>
      <c r="D47" s="308"/>
      <c r="E47" s="281"/>
      <c r="F47" s="291"/>
      <c r="G47" s="292"/>
    </row>
    <row r="48" spans="1:7" s="259" customFormat="1" ht="13.5" customHeight="1">
      <c r="A48" s="300" t="s">
        <v>2375</v>
      </c>
      <c r="B48" s="255" t="s">
        <v>2414</v>
      </c>
      <c r="C48" s="1729">
        <f>ROUND(F30/(1+'数据-取费表'!C42),4)</f>
        <v>5.2400000000000002E-2</v>
      </c>
      <c r="D48" s="281" t="s">
        <v>2402</v>
      </c>
      <c r="E48" s="277"/>
      <c r="F48" s="282"/>
      <c r="G48" s="279" t="s">
        <v>2415</v>
      </c>
    </row>
    <row r="49" spans="1:7" ht="16.5" customHeight="1">
      <c r="A49" s="300" t="s">
        <v>2381</v>
      </c>
      <c r="B49" s="255" t="s">
        <v>2416</v>
      </c>
      <c r="C49" s="277">
        <f ca="1">ROUND((C33+C39+C41+C45)/(1-C40-D41-D45-C48),0)</f>
        <v>43147</v>
      </c>
      <c r="D49" s="277"/>
      <c r="E49" s="277"/>
      <c r="F49" s="309"/>
      <c r="G49" s="279" t="s">
        <v>2417</v>
      </c>
    </row>
    <row r="50" spans="1:7" s="303" customFormat="1" ht="24">
      <c r="A50" s="300" t="s">
        <v>2418</v>
      </c>
      <c r="B50" s="255" t="s">
        <v>2419</v>
      </c>
      <c r="C50" s="277"/>
      <c r="D50" s="277"/>
      <c r="E50" s="277"/>
      <c r="F50" s="309">
        <f>IF('数据-取费表'!B24=0,'数据-取费表'!N16,1)</f>
        <v>0.92</v>
      </c>
      <c r="G50" s="292" t="s">
        <v>2420</v>
      </c>
    </row>
    <row r="51" spans="1:7" ht="16.5" customHeight="1">
      <c r="A51" s="300" t="s">
        <v>2421</v>
      </c>
      <c r="B51" s="255" t="s">
        <v>2422</v>
      </c>
      <c r="C51" s="277">
        <f ca="1">ROUND(C49*F50,0)</f>
        <v>39695</v>
      </c>
      <c r="D51" s="277"/>
      <c r="E51" s="277"/>
      <c r="F51" s="309"/>
      <c r="G51" s="279" t="s">
        <v>2423</v>
      </c>
    </row>
    <row r="52" spans="1:7" s="253" customFormat="1" ht="16.5" thickBot="1">
      <c r="A52" s="310" t="s">
        <v>2424</v>
      </c>
      <c r="B52" s="311"/>
      <c r="C52" s="312">
        <f ca="1">C31+C51</f>
        <v>162207</v>
      </c>
      <c r="D52" s="311"/>
      <c r="E52" s="311"/>
      <c r="F52" s="311"/>
      <c r="G52" s="313"/>
    </row>
    <row r="55" spans="1:7" ht="15">
      <c r="B55" s="315" t="s">
        <v>2425</v>
      </c>
      <c r="C55" s="316"/>
    </row>
    <row r="56" spans="1:7">
      <c r="B56" s="318" t="s">
        <v>1515</v>
      </c>
      <c r="C56" s="320">
        <f ca="1">1-C57</f>
        <v>0.755</v>
      </c>
    </row>
    <row r="57" spans="1:7">
      <c r="B57" s="318" t="s">
        <v>1516</v>
      </c>
      <c r="C57" s="319">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D35" sqref="D3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38"/>
      <c r="C1" s="2550" t="s">
        <v>2426</v>
      </c>
      <c r="D1" s="243"/>
      <c r="E1" s="243"/>
      <c r="F1" s="243"/>
      <c r="G1" s="1379">
        <f>MATCH(B1,'数据-取费表'!A6:A16,0)+5</f>
        <v>10</v>
      </c>
      <c r="H1" s="1282" t="str">
        <f>IF(ISERROR(FIND("住宅",B1)),"非住宅","住宅")</f>
        <v>非住宅</v>
      </c>
    </row>
    <row r="2" spans="1:8" s="245" customFormat="1" ht="18" customHeight="1">
      <c r="A2" s="246" t="s">
        <v>2325</v>
      </c>
      <c r="B2" s="247">
        <f ca="1">ROUND(IF(D2="——",C52/10000,C52/10000-E2),0)</f>
        <v>43553</v>
      </c>
      <c r="C2" s="244" t="s">
        <v>2326</v>
      </c>
      <c r="D2" s="2544" t="s">
        <v>70</v>
      </c>
      <c r="E2" s="1440" t="e">
        <f ca="1">SUMIF(INDIRECT("'"&amp;G2&amp;"'"&amp;"!A:A"),"承租人权益价值",INDIRECT("'"&amp;G2&amp;"'"&amp;"!c:c"))</f>
        <v>#REF!</v>
      </c>
      <c r="F2" s="2545" t="s">
        <v>2326</v>
      </c>
      <c r="G2" s="2546"/>
    </row>
    <row r="3" spans="1:8" s="245" customFormat="1" ht="18" customHeight="1" thickBot="1">
      <c r="A3" s="248" t="s">
        <v>2327</v>
      </c>
      <c r="B3" s="249">
        <f ca="1">ROUND(B2*10000/(IF(B1="",'数据-汇总表'!E3,INDIRECT("'数据-取费表'!k"&amp;$G$1))),0)</f>
        <v>6689</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13022184</v>
      </c>
      <c r="D5" s="256" t="s">
        <v>2332</v>
      </c>
      <c r="E5" s="257" t="s">
        <v>2333</v>
      </c>
      <c r="F5" s="257" t="s">
        <v>2334</v>
      </c>
      <c r="G5" s="258"/>
    </row>
    <row r="6" spans="1:8" s="259" customFormat="1" ht="13.5" customHeight="1">
      <c r="A6" s="949" t="s">
        <v>2335</v>
      </c>
      <c r="B6" s="260" t="s">
        <v>2336</v>
      </c>
      <c r="C6" s="261"/>
      <c r="D6" s="262"/>
      <c r="E6" s="263"/>
      <c r="F6" s="263"/>
      <c r="G6" s="264"/>
    </row>
    <row r="7" spans="1:8" s="259" customFormat="1" ht="13.5" customHeight="1">
      <c r="A7" s="949" t="s">
        <v>2337</v>
      </c>
      <c r="B7" s="260" t="s">
        <v>2338</v>
      </c>
      <c r="C7" s="265">
        <f>ROUND(C6*F7,0)</f>
        <v>0</v>
      </c>
      <c r="D7" s="265"/>
      <c r="E7" s="263"/>
      <c r="F7" s="266">
        <f>'数据-取费表'!B48+'数据-取费表'!B49</f>
        <v>3.0499999999999999E-2</v>
      </c>
      <c r="G7" s="264"/>
    </row>
    <row r="8" spans="1:8" s="268" customFormat="1">
      <c r="A8" s="949" t="s">
        <v>2339</v>
      </c>
      <c r="B8" s="260" t="s">
        <v>2340</v>
      </c>
      <c r="C8" s="265">
        <f ca="1">IF(G8="已包含在土地购买价格中",0,C9+C10)</f>
        <v>13022184</v>
      </c>
      <c r="D8" s="267"/>
      <c r="E8" s="265"/>
      <c r="F8" s="266"/>
      <c r="G8" s="2547"/>
    </row>
    <row r="9" spans="1:8" s="259" customFormat="1" ht="13.5" customHeight="1">
      <c r="A9" s="950" t="s">
        <v>800</v>
      </c>
      <c r="B9" s="269" t="s">
        <v>2341</v>
      </c>
      <c r="C9" s="270">
        <f ca="1">ROUND(D9*E9,0)</f>
        <v>0</v>
      </c>
      <c r="D9" s="1032">
        <f ca="1">IF(B1="",'数据-汇总表'!E5,IF(INDIRECT("'数据-取费表'!c"&amp;$G$1)="住宅",INDIRECT("'数据-取费表'!k"&amp;$G$1),0))</f>
        <v>0</v>
      </c>
      <c r="E9" s="270">
        <f>'数据-取费表'!B27</f>
        <v>160</v>
      </c>
      <c r="F9" s="266"/>
      <c r="G9" s="271"/>
    </row>
    <row r="10" spans="1:8" s="259" customFormat="1" ht="13.5" customHeight="1">
      <c r="A10" s="950" t="s">
        <v>801</v>
      </c>
      <c r="B10" s="269" t="s">
        <v>2343</v>
      </c>
      <c r="C10" s="270">
        <f ca="1">ROUND(D10*E10,0)</f>
        <v>13022184</v>
      </c>
      <c r="D10" s="1032">
        <f ca="1">IF(B1="",'数据-汇总表'!E6,IF(INDIRECT("'数据-取费表'!c"&amp;$G$1)="住宅",INDIRECT("'数据-取费表'!s"&amp;$G$1),INDIRECT("'数据-取费表'!k"&amp;$G$1)+INDIRECT("'数据-取费表'!s"&amp;$G$1)))</f>
        <v>65110.920000000006</v>
      </c>
      <c r="E10" s="270">
        <f>'数据-取费表'!B28</f>
        <v>200</v>
      </c>
      <c r="F10" s="266"/>
      <c r="G10" s="271"/>
    </row>
    <row r="11" spans="1:8" s="259" customFormat="1" ht="13.5" hidden="1" customHeight="1">
      <c r="A11" s="272" t="s">
        <v>7</v>
      </c>
      <c r="B11" s="260" t="s">
        <v>2344</v>
      </c>
      <c r="C11" s="256"/>
      <c r="D11" s="1034"/>
      <c r="E11" s="263"/>
      <c r="F11" s="263"/>
      <c r="G11" s="264"/>
    </row>
    <row r="12" spans="1:8" s="259" customFormat="1" ht="13.5" hidden="1" customHeight="1">
      <c r="A12" s="272" t="s">
        <v>8</v>
      </c>
      <c r="B12" s="260" t="s">
        <v>2427</v>
      </c>
      <c r="C12" s="256">
        <v>0</v>
      </c>
      <c r="D12" s="1034"/>
      <c r="E12" s="273"/>
      <c r="F12" s="266">
        <v>3.0499999999999999E-2</v>
      </c>
      <c r="G12" s="264"/>
    </row>
    <row r="13" spans="1:8" s="259" customFormat="1" ht="13.5" hidden="1" customHeight="1">
      <c r="A13" s="272" t="s">
        <v>9</v>
      </c>
      <c r="B13" s="260" t="s">
        <v>2428</v>
      </c>
      <c r="C13" s="256"/>
      <c r="D13" s="1034"/>
      <c r="E13" s="263"/>
      <c r="F13" s="263"/>
      <c r="G13" s="264"/>
    </row>
    <row r="14" spans="1:8" s="259" customFormat="1" ht="13.5" hidden="1" customHeight="1">
      <c r="A14" s="272" t="s">
        <v>10</v>
      </c>
      <c r="B14" s="260" t="s">
        <v>2340</v>
      </c>
      <c r="C14" s="256"/>
      <c r="D14" s="1034"/>
      <c r="E14" s="263"/>
      <c r="F14" s="263"/>
      <c r="G14" s="264" t="s">
        <v>2429</v>
      </c>
    </row>
    <row r="15" spans="1:8" s="259" customFormat="1" ht="13.5" hidden="1" customHeight="1">
      <c r="A15" s="272" t="s">
        <v>11</v>
      </c>
      <c r="B15" s="260" t="s">
        <v>2430</v>
      </c>
      <c r="C15" s="265"/>
      <c r="D15" s="1034"/>
      <c r="E15" s="263"/>
      <c r="F15" s="263"/>
      <c r="G15" s="264" t="s">
        <v>2431</v>
      </c>
    </row>
    <row r="16" spans="1:8" s="259" customFormat="1" ht="13.5" hidden="1" customHeight="1">
      <c r="A16" s="272" t="s">
        <v>12</v>
      </c>
      <c r="B16" s="260" t="s">
        <v>2340</v>
      </c>
      <c r="C16" s="265"/>
      <c r="D16" s="1034"/>
      <c r="E16" s="263"/>
      <c r="F16" s="263"/>
      <c r="G16" s="264"/>
    </row>
    <row r="17" spans="1:7" s="259" customFormat="1" ht="13.5" hidden="1" customHeight="1">
      <c r="A17" s="272" t="s">
        <v>13</v>
      </c>
      <c r="B17" s="260" t="s">
        <v>2432</v>
      </c>
      <c r="C17" s="274"/>
      <c r="D17" s="1035"/>
      <c r="E17" s="274"/>
      <c r="F17" s="274"/>
      <c r="G17" s="264" t="s">
        <v>2431</v>
      </c>
    </row>
    <row r="18" spans="1:7" s="259" customFormat="1" ht="13.5" hidden="1" customHeight="1">
      <c r="A18" s="272" t="s">
        <v>14</v>
      </c>
      <c r="B18" s="260" t="s">
        <v>2433</v>
      </c>
      <c r="C18" s="265">
        <v>0</v>
      </c>
      <c r="D18" s="1034"/>
      <c r="E18" s="263"/>
      <c r="F18" s="266">
        <v>3.0499999999999999E-2</v>
      </c>
      <c r="G18" s="264" t="s">
        <v>2434</v>
      </c>
    </row>
    <row r="19" spans="1:7" s="268" customFormat="1" ht="13.5" customHeight="1">
      <c r="A19" s="300" t="s">
        <v>2435</v>
      </c>
      <c r="B19" s="255" t="s">
        <v>2436</v>
      </c>
      <c r="C19" s="256">
        <f ca="1">IF(G19="已包含在土地取得成本中","0",ROUND(D19*E19,0))</f>
        <v>13022184</v>
      </c>
      <c r="D19" s="1036">
        <f ca="1">D9+D10</f>
        <v>65110.920000000006</v>
      </c>
      <c r="E19" s="256">
        <f>'数据-取费表'!B31</f>
        <v>200</v>
      </c>
      <c r="F19" s="276"/>
      <c r="G19" s="2547"/>
    </row>
    <row r="20" spans="1:7" s="259" customFormat="1" ht="13.5" customHeight="1">
      <c r="A20" s="300" t="s">
        <v>2437</v>
      </c>
      <c r="B20" s="255" t="s">
        <v>2438</v>
      </c>
      <c r="C20" s="277">
        <f ca="1">ROUND((C5+C19)*F20,0)</f>
        <v>260444</v>
      </c>
      <c r="D20" s="277"/>
      <c r="E20" s="277"/>
      <c r="F20" s="278">
        <f>'数据-取费表'!B37</f>
        <v>0.01</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0">
        <f ca="1">ROUND(SUM(C23:C25),0)</f>
        <v>3219371</v>
      </c>
      <c r="D22" s="280">
        <f ca="1">C26</f>
        <v>1.1999999999999999E-3</v>
      </c>
      <c r="E22" s="281" t="s">
        <v>2442</v>
      </c>
      <c r="F22" s="282">
        <f ca="1">'数据-取费表'!B40</f>
        <v>4.7500000000000001E-2</v>
      </c>
      <c r="G22" s="279" t="str">
        <f>IF('数据-取费表'!B22&lt;=1,"单利计息","复利计息")</f>
        <v>复利计息</v>
      </c>
    </row>
    <row r="23" spans="1:7" s="259" customFormat="1" ht="13.5" customHeight="1">
      <c r="A23" s="951" t="s">
        <v>2335</v>
      </c>
      <c r="B23" s="260" t="s">
        <v>2446</v>
      </c>
      <c r="C23" s="1381">
        <f ca="1">ROUND(IF('数据-取费表'!B22&lt;=1,C5*F22*'数据-取费表'!B22,C5*(POWER((1+F22),'数据-取费表'!B22)-1)),0)</f>
        <v>1601908</v>
      </c>
      <c r="D23" s="283"/>
      <c r="E23" s="283"/>
      <c r="F23" s="284"/>
      <c r="G23" s="285" t="s">
        <v>2447</v>
      </c>
    </row>
    <row r="24" spans="1:7" s="259" customFormat="1" ht="13.5" customHeight="1">
      <c r="A24" s="951" t="s">
        <v>2337</v>
      </c>
      <c r="B24" s="260" t="s">
        <v>2448</v>
      </c>
      <c r="C24" s="1381">
        <f ca="1">ROUND(IF('数据-取费表'!B22&lt;=1,C19*F22*('数据-取费表'!B19/2+'数据-取费表'!B20),C19*(POWER((1+F22),('数据-取费表'!B19/2+'数据-取费表'!B20))-1)),0)</f>
        <v>1601908</v>
      </c>
      <c r="D24" s="283"/>
      <c r="E24" s="283"/>
      <c r="F24" s="284"/>
      <c r="G24" s="285" t="s">
        <v>2449</v>
      </c>
    </row>
    <row r="25" spans="1:7" s="259" customFormat="1" ht="24">
      <c r="A25" s="951" t="s">
        <v>2339</v>
      </c>
      <c r="B25" s="260" t="s">
        <v>2450</v>
      </c>
      <c r="C25" s="1381">
        <f ca="1">ROUND(IF('数据-取费表'!B22&lt;=1,C20*F22*'数据-取费表'!B22/2,C20*(POWER((1+F22),'数据-取费表'!B22/2)-1)),0)</f>
        <v>15555</v>
      </c>
      <c r="D25" s="283"/>
      <c r="E25" s="286"/>
      <c r="F25" s="284"/>
      <c r="G25" s="287" t="s">
        <v>2451</v>
      </c>
    </row>
    <row r="26" spans="1:7" s="259" customFormat="1">
      <c r="A26" s="951" t="s">
        <v>795</v>
      </c>
      <c r="B26" s="260" t="s">
        <v>2374</v>
      </c>
      <c r="C26" s="283">
        <f ca="1">ROUND(IF('数据-取费表'!B22&lt;=1,F21*F22*'数据-取费表'!B22/2,F21*(POWER((1+F22),'数据-取费表'!B22/2)-1)),4)</f>
        <v>1.1999999999999999E-3</v>
      </c>
      <c r="D26" s="283"/>
      <c r="E26" s="286"/>
      <c r="F26" s="284"/>
      <c r="G26" s="288"/>
    </row>
    <row r="27" spans="1:7" s="259" customFormat="1" ht="24.75">
      <c r="A27" s="300" t="s">
        <v>2375</v>
      </c>
      <c r="B27" s="289" t="s">
        <v>2376</v>
      </c>
      <c r="C27" s="290">
        <f ca="1">C28</f>
        <v>6050107</v>
      </c>
      <c r="D27" s="280">
        <f ca="1">C29</f>
        <v>4.5999999999999999E-3</v>
      </c>
      <c r="E27" s="281" t="s">
        <v>2377</v>
      </c>
      <c r="F27" s="291">
        <f ca="1">IF(B1="",'数据-取费表'!Q16,INDIRECT("'数据-取费表'!q"&amp;$G$1))</f>
        <v>0.23</v>
      </c>
      <c r="G27" s="292" t="s">
        <v>2378</v>
      </c>
    </row>
    <row r="28" spans="1:7" s="259" customFormat="1" ht="13.5" customHeight="1">
      <c r="A28" s="951" t="s">
        <v>791</v>
      </c>
      <c r="B28" s="293" t="s">
        <v>2379</v>
      </c>
      <c r="C28" s="294">
        <f ca="1">ROUND((C5+C19+C20)*F27,0)</f>
        <v>6050107</v>
      </c>
      <c r="D28" s="280"/>
      <c r="E28" s="281"/>
      <c r="F28" s="291"/>
      <c r="G28" s="292"/>
    </row>
    <row r="29" spans="1:7" s="259" customFormat="1" ht="13.5" customHeight="1">
      <c r="A29" s="951" t="s">
        <v>792</v>
      </c>
      <c r="B29" s="293" t="s">
        <v>2380</v>
      </c>
      <c r="C29" s="283">
        <f ca="1">ROUND(C21*F27,4)</f>
        <v>4.5999999999999999E-3</v>
      </c>
      <c r="D29" s="280"/>
      <c r="E29" s="281"/>
      <c r="F29" s="291"/>
      <c r="G29" s="292"/>
    </row>
    <row r="30" spans="1:7" s="259" customFormat="1" ht="13.5" customHeight="1">
      <c r="A30" s="300" t="s">
        <v>2381</v>
      </c>
      <c r="B30" s="255" t="s">
        <v>2382</v>
      </c>
      <c r="C30" s="280">
        <f>ROUND(F30/(1+'数据-取费表'!C42),4)</f>
        <v>5.2400000000000002E-2</v>
      </c>
      <c r="D30" s="281" t="s">
        <v>2377</v>
      </c>
      <c r="E30" s="286"/>
      <c r="F30" s="282">
        <f>'数据-取费表'!B41</f>
        <v>5.5000000000000007E-2</v>
      </c>
      <c r="G30" s="279" t="s">
        <v>2383</v>
      </c>
    </row>
    <row r="31" spans="1:7" ht="16.5" customHeight="1">
      <c r="A31" s="254">
        <v>1</v>
      </c>
      <c r="B31" s="255" t="s">
        <v>2384</v>
      </c>
      <c r="C31" s="256">
        <f ca="1">ROUND((C5+C19+C20+C22+C27)/(1-C21-D22-D27-C30),0)</f>
        <v>38592200</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305317957</v>
      </c>
      <c r="D33" s="277"/>
      <c r="E33" s="257"/>
      <c r="F33" s="286"/>
      <c r="G33" s="279"/>
    </row>
    <row r="34" spans="1:7" s="303" customFormat="1" ht="13.5" customHeight="1">
      <c r="A34" s="951" t="s">
        <v>791</v>
      </c>
      <c r="B34" s="260" t="s">
        <v>2388</v>
      </c>
      <c r="C34" s="265">
        <f ca="1">ROUND(IF(B1="",SUMPRODUCT('数据-取费表'!K6:K14,'数据-取费表'!L6:L14),INDIRECT("'数据-取费表'!l"&amp;$G$1)*INDIRECT("'数据-取费表'!k"&amp;$G$1)+'数据-取费表'!L14*INDIRECT("'数据-取费表'!S"&amp;$G$1)),0)</f>
        <v>274456125</v>
      </c>
      <c r="D34" s="262"/>
      <c r="E34" s="265"/>
      <c r="F34" s="302"/>
      <c r="G34" s="264"/>
    </row>
    <row r="35" spans="1:7" ht="13.5" customHeight="1">
      <c r="A35" s="951" t="s">
        <v>796</v>
      </c>
      <c r="B35" s="260" t="s">
        <v>2390</v>
      </c>
      <c r="C35" s="265">
        <f ca="1">ROUND(C34*F35,0)</f>
        <v>13722806</v>
      </c>
      <c r="D35" s="265"/>
      <c r="E35" s="265"/>
      <c r="F35" s="304">
        <f>'数据-取费表'!B33</f>
        <v>0.05</v>
      </c>
      <c r="G35" s="264" t="s">
        <v>2391</v>
      </c>
    </row>
    <row r="36" spans="1:7" ht="24">
      <c r="A36" s="951" t="s">
        <v>797</v>
      </c>
      <c r="B36" s="260" t="s">
        <v>2392</v>
      </c>
      <c r="C36" s="265">
        <f ca="1">ROUND(IF(B1="",SUM('数据-取费表'!AP6:AP13)*F36,IF(INDIRECT("'数据-取费表'!c"&amp;$G$1)="住宅",INDIRECT("'数据-取费表'!k"&amp;$G$1)*INDIRECT("'数据-取费表'!l"&amp;$G$1)*F36,0)),0)</f>
        <v>0</v>
      </c>
      <c r="D36" s="265"/>
      <c r="E36" s="265"/>
      <c r="F36" s="304">
        <f>'数据-取费表'!B34</f>
        <v>0</v>
      </c>
      <c r="G36" s="305" t="s">
        <v>2393</v>
      </c>
    </row>
    <row r="37" spans="1:7" s="303" customFormat="1" ht="13.5" customHeight="1">
      <c r="A37" s="951" t="s">
        <v>798</v>
      </c>
      <c r="B37" s="260" t="s">
        <v>2394</v>
      </c>
      <c r="C37" s="294">
        <f ca="1">ROUND(E37*D37,0)</f>
        <v>13022184</v>
      </c>
      <c r="D37" s="262">
        <f ca="1">D19</f>
        <v>65110.920000000006</v>
      </c>
      <c r="E37" s="294">
        <f>'数据-取费表'!B35</f>
        <v>200</v>
      </c>
      <c r="F37" s="304"/>
      <c r="G37" s="306"/>
    </row>
    <row r="38" spans="1:7" ht="13.5" customHeight="1">
      <c r="A38" s="951" t="s">
        <v>799</v>
      </c>
      <c r="B38" s="260" t="s">
        <v>2396</v>
      </c>
      <c r="C38" s="265">
        <f ca="1">ROUND(C34*F38,0)</f>
        <v>4116842</v>
      </c>
      <c r="D38" s="265"/>
      <c r="E38" s="265"/>
      <c r="F38" s="304">
        <f>'数据-取费表'!B36</f>
        <v>1.4999999999999999E-2</v>
      </c>
      <c r="G38" s="264" t="s">
        <v>2391</v>
      </c>
    </row>
    <row r="39" spans="1:7" s="259" customFormat="1" ht="13.5" customHeight="1">
      <c r="A39" s="300" t="s">
        <v>2397</v>
      </c>
      <c r="B39" s="255" t="s">
        <v>2398</v>
      </c>
      <c r="C39" s="277">
        <f ca="1">ROUND(C33*F20,0)</f>
        <v>3053180</v>
      </c>
      <c r="D39" s="277"/>
      <c r="E39" s="277"/>
      <c r="F39" s="278"/>
      <c r="G39" s="279" t="s">
        <v>2399</v>
      </c>
    </row>
    <row r="40" spans="1:7" s="259" customFormat="1" ht="13.5" customHeight="1">
      <c r="A40" s="300" t="s">
        <v>2400</v>
      </c>
      <c r="B40" s="255" t="s">
        <v>2401</v>
      </c>
      <c r="C40" s="1729">
        <f>F21</f>
        <v>0.02</v>
      </c>
      <c r="D40" s="281" t="s">
        <v>2402</v>
      </c>
      <c r="E40" s="277"/>
      <c r="F40" s="278"/>
      <c r="G40" s="279" t="s">
        <v>2403</v>
      </c>
    </row>
    <row r="41" spans="1:7" s="259" customFormat="1" ht="13.5" customHeight="1">
      <c r="A41" s="300" t="s">
        <v>2404</v>
      </c>
      <c r="B41" s="255" t="s">
        <v>2405</v>
      </c>
      <c r="C41" s="277">
        <f ca="1">ROUND(SUM(C42:C43),0)</f>
        <v>18416984</v>
      </c>
      <c r="D41" s="280">
        <f ca="1">C44</f>
        <v>1.1999999999999999E-3</v>
      </c>
      <c r="E41" s="281" t="s">
        <v>2402</v>
      </c>
      <c r="F41" s="282"/>
      <c r="G41" s="279" t="str">
        <f>IF('数据-取费表'!B22&lt;=1,"单利计息","复利计息")</f>
        <v>复利计息</v>
      </c>
    </row>
    <row r="42" spans="1:7" ht="13.5" customHeight="1">
      <c r="A42" s="951" t="s">
        <v>791</v>
      </c>
      <c r="B42" s="260" t="s">
        <v>2406</v>
      </c>
      <c r="C42" s="283">
        <f ca="1">ROUND(IF('数据-取费表'!B22&lt;=1,C33*F22*'数据-取费表'!B20/2,C33*(POWER((1+F22),'数据-取费表'!B20/2)-1)),0)</f>
        <v>18234638</v>
      </c>
      <c r="D42" s="283"/>
      <c r="E42" s="283"/>
      <c r="F42" s="284"/>
      <c r="G42" s="3147" t="s">
        <v>2454</v>
      </c>
    </row>
    <row r="43" spans="1:7" ht="13.5" customHeight="1">
      <c r="A43" s="951" t="s">
        <v>792</v>
      </c>
      <c r="B43" s="260" t="s">
        <v>2408</v>
      </c>
      <c r="C43" s="283">
        <f ca="1">ROUND(IF('数据-取费表'!B22&lt;=1,C39*F22*'数据-取费表'!B20/2,C39*(POWER((1+F22),'数据-取费表'!B20/2)-1)),0)</f>
        <v>182346</v>
      </c>
      <c r="D43" s="283"/>
      <c r="E43" s="283"/>
      <c r="F43" s="284"/>
      <c r="G43" s="3148"/>
    </row>
    <row r="44" spans="1:7" ht="13.5" customHeight="1">
      <c r="A44" s="951" t="s">
        <v>793</v>
      </c>
      <c r="B44" s="260" t="s">
        <v>2409</v>
      </c>
      <c r="C44" s="283">
        <f ca="1">ROUND(IF('数据-取费表'!B22&lt;=1,C40*F22*'数据-取费表'!B20/2,C40*(POWER((1+F22),'数据-取费表'!B20/2)-1)),4)</f>
        <v>1.1999999999999999E-3</v>
      </c>
      <c r="D44" s="283"/>
      <c r="E44" s="283"/>
      <c r="F44" s="284"/>
      <c r="G44" s="3149"/>
    </row>
    <row r="45" spans="1:7" s="259" customFormat="1" ht="13.5" customHeight="1">
      <c r="A45" s="300" t="s">
        <v>2410</v>
      </c>
      <c r="B45" s="289" t="s">
        <v>2376</v>
      </c>
      <c r="C45" s="290">
        <f ca="1">C46</f>
        <v>70925362</v>
      </c>
      <c r="D45" s="280">
        <f ca="1">C47</f>
        <v>4.5999999999999999E-3</v>
      </c>
      <c r="E45" s="281" t="s">
        <v>2402</v>
      </c>
      <c r="F45" s="291"/>
      <c r="G45" s="292" t="s">
        <v>2411</v>
      </c>
    </row>
    <row r="46" spans="1:7" s="259" customFormat="1" ht="13.5" customHeight="1">
      <c r="A46" s="951" t="s">
        <v>791</v>
      </c>
      <c r="B46" s="293" t="s">
        <v>2412</v>
      </c>
      <c r="C46" s="294">
        <f ca="1">ROUND((C33+C39)*F27,0)</f>
        <v>70925362</v>
      </c>
      <c r="D46" s="308"/>
      <c r="E46" s="281"/>
      <c r="F46" s="291"/>
      <c r="G46" s="292"/>
    </row>
    <row r="47" spans="1:7" s="259" customFormat="1" ht="13.5" customHeight="1">
      <c r="A47" s="951" t="s">
        <v>792</v>
      </c>
      <c r="B47" s="293" t="s">
        <v>2413</v>
      </c>
      <c r="C47" s="283">
        <f ca="1">ROUND(C40*F27,4)</f>
        <v>4.5999999999999999E-3</v>
      </c>
      <c r="D47" s="308"/>
      <c r="E47" s="281"/>
      <c r="F47" s="291"/>
      <c r="G47" s="292"/>
    </row>
    <row r="48" spans="1:7" s="259" customFormat="1" ht="13.5" customHeight="1">
      <c r="A48" s="300" t="s">
        <v>2375</v>
      </c>
      <c r="B48" s="255" t="s">
        <v>2414</v>
      </c>
      <c r="C48" s="307">
        <f>ROUND(F30/(1+'数据-取费表'!C42),4)</f>
        <v>5.2400000000000002E-2</v>
      </c>
      <c r="D48" s="281" t="s">
        <v>2402</v>
      </c>
      <c r="E48" s="277"/>
      <c r="F48" s="282"/>
      <c r="G48" s="279" t="s">
        <v>2415</v>
      </c>
    </row>
    <row r="49" spans="1:7" ht="16.5" customHeight="1">
      <c r="A49" s="300" t="s">
        <v>2381</v>
      </c>
      <c r="B49" s="255" t="s">
        <v>2455</v>
      </c>
      <c r="C49" s="277">
        <f ca="1">ROUND((C33+C39+C41+C45)/(1-C40-D41-D45-C48),0)</f>
        <v>431453117</v>
      </c>
      <c r="D49" s="277"/>
      <c r="E49" s="277"/>
      <c r="F49" s="309"/>
      <c r="G49" s="279" t="s">
        <v>2417</v>
      </c>
    </row>
    <row r="50" spans="1:7" s="303" customFormat="1">
      <c r="A50" s="300" t="s">
        <v>2418</v>
      </c>
      <c r="B50" s="255" t="s">
        <v>2419</v>
      </c>
      <c r="C50" s="277"/>
      <c r="D50" s="277"/>
      <c r="E50" s="277"/>
      <c r="F50" s="309">
        <f>IF('数据-取费表'!B24=0,'数据-取费表'!N16,1)</f>
        <v>0.92</v>
      </c>
      <c r="G50" s="292"/>
    </row>
    <row r="51" spans="1:7" ht="16.5" customHeight="1">
      <c r="A51" s="300" t="s">
        <v>2421</v>
      </c>
      <c r="B51" s="255" t="s">
        <v>2456</v>
      </c>
      <c r="C51" s="277">
        <f ca="1">ROUND(C49*F50,0)</f>
        <v>396936868</v>
      </c>
      <c r="D51" s="277"/>
      <c r="E51" s="277"/>
      <c r="F51" s="309"/>
      <c r="G51" s="279" t="s">
        <v>2423</v>
      </c>
    </row>
    <row r="52" spans="1:7" s="253" customFormat="1" ht="16.5" thickBot="1">
      <c r="A52" s="310" t="s">
        <v>2424</v>
      </c>
      <c r="B52" s="311"/>
      <c r="C52" s="312">
        <f ca="1">C31+C51</f>
        <v>435529068</v>
      </c>
      <c r="D52" s="311"/>
      <c r="E52" s="311"/>
      <c r="F52" s="311"/>
      <c r="G52" s="313"/>
    </row>
    <row r="55" spans="1:7" ht="15">
      <c r="B55" s="315" t="s">
        <v>2425</v>
      </c>
      <c r="C55" s="316"/>
    </row>
    <row r="56" spans="1:7">
      <c r="B56" s="318" t="s">
        <v>1515</v>
      </c>
      <c r="C56" s="320">
        <f ca="1">1-C57</f>
        <v>8.8999999999999968E-2</v>
      </c>
    </row>
    <row r="57" spans="1:7">
      <c r="B57" s="318" t="s">
        <v>1516</v>
      </c>
      <c r="C57" s="319">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2457</v>
      </c>
      <c r="B1" s="1582"/>
      <c r="C1" s="1583"/>
      <c r="D1" s="1581"/>
      <c r="E1" s="321"/>
      <c r="F1" s="321"/>
      <c r="G1" s="1582"/>
      <c r="H1" s="321"/>
      <c r="I1" s="321"/>
      <c r="J1" s="321"/>
      <c r="K1" s="321">
        <f>MATCH(C1,'数据-取费表'!A6:A16,0)+5</f>
        <v>10</v>
      </c>
    </row>
    <row r="2" spans="1:33" ht="18" customHeight="1">
      <c r="A2" s="246" t="s">
        <v>2325</v>
      </c>
      <c r="B2" s="249">
        <f ca="1">C32</f>
        <v>0</v>
      </c>
      <c r="C2" s="321" t="s">
        <v>2458</v>
      </c>
      <c r="D2" s="321"/>
      <c r="E2" s="321"/>
      <c r="F2" s="321"/>
      <c r="G2" s="321"/>
      <c r="H2" s="321"/>
      <c r="I2" s="321"/>
      <c r="J2" s="321"/>
      <c r="K2" s="321"/>
    </row>
    <row r="3" spans="1:33" ht="18" customHeight="1" thickBot="1">
      <c r="A3" s="248" t="s">
        <v>2327</v>
      </c>
      <c r="B3" s="249">
        <f ca="1">ROUND(B2*10000/IF(C1="",'数据-汇总表'!E3,INDIRECT("'数据-取费表'!K"&amp;$K$1)),0)</f>
        <v>0</v>
      </c>
      <c r="C3" s="321" t="s">
        <v>2459</v>
      </c>
      <c r="D3" s="321"/>
      <c r="E3" s="321"/>
      <c r="F3" s="321"/>
      <c r="G3" s="321"/>
      <c r="H3" s="321"/>
      <c r="I3" s="321"/>
      <c r="J3" s="321"/>
      <c r="K3" s="321"/>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12362.01</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8"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1335</v>
      </c>
      <c r="B11" s="972" t="s">
        <v>2478</v>
      </c>
      <c r="C11" s="324">
        <f ca="1">IF(C1="",'数据-取费表'!P16,INDIRECT("'数据-取费表'!p"&amp;$K$1)+INDIRECT("'数据-取费表'!ar"&amp;$K$1))</f>
        <v>0</v>
      </c>
      <c r="D11" s="973"/>
      <c r="E11" s="376"/>
      <c r="F11" s="974">
        <f ca="1">1-IF('数据-取费表'!B24=0,1,IF(C1="",'数据-取费表'!N16,INDIRECT("'数据-取费表'!n"&amp;$K$1)))</f>
        <v>0</v>
      </c>
      <c r="G11" s="8"/>
      <c r="H11" s="968"/>
      <c r="I11" s="968"/>
      <c r="J11" s="968"/>
      <c r="K11" s="969"/>
    </row>
    <row r="12" spans="1:33" s="975" customFormat="1" ht="13.5" customHeight="1">
      <c r="A12" s="971" t="s">
        <v>1336</v>
      </c>
      <c r="B12" s="972" t="s">
        <v>2479</v>
      </c>
      <c r="C12" s="24">
        <f ca="1">ROUND(C11*F12,0)</f>
        <v>0</v>
      </c>
      <c r="D12" s="973"/>
      <c r="E12" s="376"/>
      <c r="F12" s="976">
        <f>'数据-取费表'!B33</f>
        <v>0.05</v>
      </c>
      <c r="G12" s="8" t="s">
        <v>2480</v>
      </c>
      <c r="H12" s="968"/>
      <c r="I12" s="968"/>
      <c r="J12" s="968"/>
      <c r="K12" s="969"/>
    </row>
    <row r="13" spans="1:33" s="975" customFormat="1" ht="13.5" customHeight="1">
      <c r="A13" s="971" t="s">
        <v>1337</v>
      </c>
      <c r="B13" s="972" t="s">
        <v>2481</v>
      </c>
      <c r="C13" s="24">
        <f ca="1">ROUND(IF(C1="",SUMIF('数据-取费表'!C:C,"住宅",'数据-取费表'!P:P)*F13,IF(INDIRECT("'数据-取费表'!c"&amp;$K$1)="住宅",INDIRECT("'数据-取费表'!P"&amp;$K$1)*F13,0)),0)</f>
        <v>0</v>
      </c>
      <c r="D13" s="1033"/>
      <c r="E13" s="376"/>
      <c r="F13" s="976">
        <f>'数据-取费表'!B34</f>
        <v>0</v>
      </c>
      <c r="G13" s="8" t="s">
        <v>2482</v>
      </c>
      <c r="H13" s="968"/>
      <c r="I13" s="968"/>
      <c r="J13" s="968"/>
      <c r="K13" s="969"/>
    </row>
    <row r="14" spans="1:33" s="977" customFormat="1" ht="13.5" customHeight="1">
      <c r="A14" s="971" t="s">
        <v>1338</v>
      </c>
      <c r="B14" s="972" t="s">
        <v>2483</v>
      </c>
      <c r="C14" s="24">
        <f ca="1">ROUND(D14*E14*F11/10000,0)</f>
        <v>0</v>
      </c>
      <c r="D14" s="1033">
        <f ca="1">IF(C1="",'数据-汇总表'!E3,INDIRECT("'数据-取费表'!K"&amp;$K$1)+INDIRECT("'数据-取费表'!S"&amp;$K$1))</f>
        <v>65110.920000000006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65110.920000000006</v>
      </c>
      <c r="E17" s="24">
        <f>'数据-取费表'!B32</f>
        <v>0</v>
      </c>
      <c r="F17" s="978"/>
      <c r="G17" s="140" t="s">
        <v>2489</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2490</v>
      </c>
      <c r="C18" s="24">
        <f ca="1">C19+C20-IF(C1="",'数据-取费表'!B29,IF(G18="已全部缴纳",C19+C20,H18))</f>
        <v>0</v>
      </c>
      <c r="D18" s="1033"/>
      <c r="E18" s="24"/>
      <c r="F18" s="976"/>
      <c r="G18" s="2553"/>
      <c r="H18" s="1578"/>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80"/>
      <c r="I19" s="981"/>
      <c r="J19" s="981"/>
      <c r="K19" s="982"/>
    </row>
    <row r="20" spans="1:33" s="975" customFormat="1" ht="13.5" customHeight="1">
      <c r="A20" s="971" t="s">
        <v>806</v>
      </c>
      <c r="B20" s="972" t="s">
        <v>2493</v>
      </c>
      <c r="C20" s="24">
        <f ca="1">ROUND(D20*E20/10000,0)</f>
        <v>1302</v>
      </c>
      <c r="D20" s="1033">
        <f ca="1">IF(C1="",'数据-汇总表'!E6,IF(INDIRECT("'数据-取费表'!c"&amp;$K$1)="住宅",INDIRECT("'数据-取费表'!s"&amp;$K$1),INDIRECT("'数据-取费表'!k"&amp;$K$1)+INDIRECT("'数据-取费表'!s"&amp;$K$1)))</f>
        <v>65110.920000000006</v>
      </c>
      <c r="E20" s="24">
        <f>'数据-取费表'!B28</f>
        <v>200</v>
      </c>
      <c r="F20" s="976"/>
      <c r="G20" s="15"/>
      <c r="H20" s="981"/>
      <c r="I20" s="981"/>
      <c r="J20" s="981"/>
      <c r="K20" s="982"/>
    </row>
    <row r="21" spans="1:33" s="975" customFormat="1" ht="13.5" customHeight="1">
      <c r="A21" s="961" t="s">
        <v>802</v>
      </c>
      <c r="B21" s="985" t="s">
        <v>2494</v>
      </c>
      <c r="C21" s="986">
        <f ca="1">C16+C17+C18</f>
        <v>0</v>
      </c>
      <c r="D21" s="987"/>
      <c r="E21" s="326"/>
      <c r="F21" s="326"/>
      <c r="G21" s="140" t="s">
        <v>2495</v>
      </c>
      <c r="H21" s="979"/>
      <c r="I21" s="979"/>
      <c r="J21" s="979"/>
      <c r="K21" s="980"/>
    </row>
    <row r="22" spans="1:33" s="975" customFormat="1" ht="13.5" customHeight="1">
      <c r="A22" s="961" t="s">
        <v>2467</v>
      </c>
      <c r="B22" s="985" t="s">
        <v>2496</v>
      </c>
      <c r="C22" s="986">
        <f ca="1">ROUND(C21*F22,0)</f>
        <v>0</v>
      </c>
      <c r="D22" s="326"/>
      <c r="E22" s="326"/>
      <c r="F22" s="988">
        <f>'数据-取费表'!B37</f>
        <v>0.01</v>
      </c>
      <c r="G22" s="8" t="s">
        <v>2497</v>
      </c>
      <c r="H22" s="968"/>
      <c r="I22" s="968"/>
      <c r="J22" s="968"/>
      <c r="K22" s="969"/>
    </row>
    <row r="23" spans="1:33" s="975" customFormat="1" ht="13.5" customHeight="1">
      <c r="A23" s="961" t="s">
        <v>2469</v>
      </c>
      <c r="B23" s="985" t="s">
        <v>2498</v>
      </c>
      <c r="C23" s="986">
        <f ca="1">ROUND(C4*F23*F11,0)</f>
        <v>0</v>
      </c>
      <c r="D23" s="326"/>
      <c r="E23" s="326"/>
      <c r="F23" s="988">
        <f>'数据-取费表'!B38</f>
        <v>0.02</v>
      </c>
      <c r="G23" s="8" t="s">
        <v>2499</v>
      </c>
      <c r="H23" s="968"/>
      <c r="I23" s="968"/>
      <c r="J23" s="968"/>
      <c r="K23" s="969"/>
    </row>
    <row r="24" spans="1:33" s="975" customFormat="1" ht="13.5" customHeight="1">
      <c r="A24" s="961" t="s">
        <v>2500</v>
      </c>
      <c r="B24" s="985" t="s">
        <v>2501</v>
      </c>
      <c r="C24" s="325">
        <f>ROUND(F24/(1+'数据-取费表'!C42),4)</f>
        <v>2.9000000000000001E-2</v>
      </c>
      <c r="D24" s="326" t="s">
        <v>15</v>
      </c>
      <c r="E24" s="326"/>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9"/>
      <c r="E26" s="330"/>
      <c r="F26" s="331"/>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9"/>
      <c r="E27" s="330"/>
      <c r="F27" s="331"/>
      <c r="G27" s="2555" t="str">
        <f>IF('数据-取费表'!B22&lt;=1,"（1）-（3）项×年利率×建设期÷2","（1）-（3）项×((1+年利率)^(建设期÷2)-1)")</f>
        <v>（1）-（3）项×((1+年利率)^(建设期÷2)-1)</v>
      </c>
      <c r="H27" s="979"/>
      <c r="I27" s="979"/>
      <c r="J27" s="979"/>
      <c r="K27" s="980"/>
    </row>
    <row r="28" spans="1:33" s="334" customFormat="1" ht="13.5" customHeight="1">
      <c r="A28" s="961" t="s">
        <v>2507</v>
      </c>
      <c r="B28" s="2556" t="s">
        <v>2508</v>
      </c>
      <c r="C28" s="332">
        <f ca="1">C30</f>
        <v>0</v>
      </c>
      <c r="D28" s="325">
        <f ca="1">C29</f>
        <v>0</v>
      </c>
      <c r="E28" s="327" t="s">
        <v>15</v>
      </c>
      <c r="F28" s="333">
        <f ca="1">IF(C1="",'数据-取费表'!Q16,INDIRECT("'数据-取费表'!q"&amp;$K$1))</f>
        <v>0.23</v>
      </c>
      <c r="G28" s="989"/>
      <c r="H28" s="990"/>
      <c r="I28" s="990"/>
      <c r="J28" s="990"/>
      <c r="K28" s="991"/>
    </row>
    <row r="29" spans="1:33" s="336" customFormat="1" ht="13.5" customHeight="1">
      <c r="A29" s="971" t="s">
        <v>803</v>
      </c>
      <c r="B29" s="994" t="s">
        <v>2509</v>
      </c>
      <c r="C29" s="329">
        <f ca="1">ROUND((1+C24)*F28*'数据-取费表'!B24/'数据-取费表'!B20,4)</f>
        <v>0</v>
      </c>
      <c r="D29" s="329"/>
      <c r="E29" s="330"/>
      <c r="F29" s="335"/>
      <c r="G29" s="140" t="s">
        <v>2510</v>
      </c>
      <c r="H29" s="979"/>
      <c r="I29" s="979"/>
      <c r="J29" s="979"/>
      <c r="K29" s="980"/>
    </row>
    <row r="30" spans="1:33" s="336" customFormat="1" ht="13.5" customHeight="1">
      <c r="A30" s="971" t="s">
        <v>804</v>
      </c>
      <c r="B30" s="994" t="s">
        <v>2511</v>
      </c>
      <c r="C30" s="337">
        <f ca="1">ROUND((C21+C22+C23)*F28,0)</f>
        <v>0</v>
      </c>
      <c r="D30" s="329"/>
      <c r="E30" s="330"/>
      <c r="F30" s="335"/>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opLeftCell="A37" zoomScale="90" zoomScaleNormal="90" zoomScaleSheetLayoutView="90" workbookViewId="0">
      <selection activeCell="D35" sqref="D3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c r="D1" s="1821"/>
      <c r="E1" s="1822" t="s">
        <v>1388</v>
      </c>
      <c r="F1" s="1283" t="b">
        <f>J53</f>
        <v>0</v>
      </c>
      <c r="G1" s="1837">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5" t="s">
        <v>1590</v>
      </c>
      <c r="I3" s="1841"/>
      <c r="J3" s="1841"/>
      <c r="K3" s="1842"/>
      <c r="L3" s="1841"/>
      <c r="M3" s="1841"/>
    </row>
    <row r="4" spans="1:37" ht="18" customHeight="1">
      <c r="A4" s="341" t="s">
        <v>1597</v>
      </c>
      <c r="B4" s="342" t="s">
        <v>1598</v>
      </c>
      <c r="C4" s="342" t="s">
        <v>1599</v>
      </c>
      <c r="D4" s="342" t="s">
        <v>1600</v>
      </c>
      <c r="E4" s="343" t="s">
        <v>1601</v>
      </c>
      <c r="F4" s="344"/>
      <c r="G4" s="1852"/>
      <c r="H4" s="341" t="s">
        <v>1597</v>
      </c>
      <c r="I4" s="342" t="s">
        <v>1598</v>
      </c>
      <c r="J4" s="342" t="s">
        <v>1599</v>
      </c>
      <c r="K4" s="342" t="s">
        <v>1600</v>
      </c>
      <c r="L4" s="343" t="s">
        <v>1601</v>
      </c>
      <c r="M4" s="344"/>
    </row>
    <row r="5" spans="1:37" ht="18" customHeight="1">
      <c r="A5" s="345">
        <v>1</v>
      </c>
      <c r="B5" s="346" t="s">
        <v>1602</v>
      </c>
      <c r="C5" s="1292">
        <f ca="1">C6+C10+C12</f>
        <v>0</v>
      </c>
      <c r="D5" s="1823" t="s">
        <v>1603</v>
      </c>
      <c r="E5" s="1293"/>
      <c r="F5" s="1294"/>
      <c r="G5" s="1852"/>
      <c r="H5" s="345">
        <v>1</v>
      </c>
      <c r="I5" s="346" t="s">
        <v>1602</v>
      </c>
      <c r="J5" s="1292">
        <f ca="1">J6+J10+J12</f>
        <v>0</v>
      </c>
      <c r="K5" s="1823" t="s">
        <v>1603</v>
      </c>
      <c r="L5" s="1293"/>
      <c r="M5" s="1294"/>
    </row>
    <row r="6" spans="1:37" ht="18" customHeight="1">
      <c r="A6" s="1291" t="s">
        <v>1035</v>
      </c>
      <c r="B6" s="3140" t="s">
        <v>1404</v>
      </c>
      <c r="C6" s="1296">
        <f ca="1">ROUND(F6*F8*F7*(1-F9),0)</f>
        <v>0</v>
      </c>
      <c r="D6" s="165" t="s">
        <v>3027</v>
      </c>
      <c r="E6" s="348" t="s">
        <v>1406</v>
      </c>
      <c r="F6" s="349">
        <f ca="1">INDIRECT("'数据-取费表'!u"&amp;$G$1)</f>
        <v>0</v>
      </c>
      <c r="G6" s="1852"/>
      <c r="H6" s="1291" t="s">
        <v>1035</v>
      </c>
      <c r="I6" s="3140" t="s">
        <v>1404</v>
      </c>
      <c r="J6" s="347">
        <f ca="1">ROUND(M6*M8*M7*(1-M9),0)</f>
        <v>0</v>
      </c>
      <c r="K6" s="1835" t="s">
        <v>3030</v>
      </c>
      <c r="L6" s="348" t="s">
        <v>1406</v>
      </c>
      <c r="M6" s="349">
        <f ca="1">INDIRECT("'数据-取费表'!z"&amp;$G$1)</f>
        <v>0</v>
      </c>
    </row>
    <row r="7" spans="1:37" ht="18" customHeight="1">
      <c r="A7" s="1295"/>
      <c r="B7" s="3141"/>
      <c r="C7" s="1297"/>
      <c r="D7" s="353"/>
      <c r="E7" s="1298" t="s">
        <v>1407</v>
      </c>
      <c r="F7" s="349">
        <f ca="1">IF(INDIRECT("'数据-取费表'!ah"&amp;$G$1)="",INDIRECT("'数据-取费表'!k"&amp;$G$1),INDIRECT("'数据-取费表'!ah"&amp;$G$1))</f>
        <v>0</v>
      </c>
      <c r="G7" s="1852"/>
      <c r="H7" s="350"/>
      <c r="I7" s="3141"/>
      <c r="J7" s="352"/>
      <c r="K7" s="353"/>
      <c r="L7" s="348" t="s">
        <v>1407</v>
      </c>
      <c r="M7" s="349">
        <f ca="1">F7</f>
        <v>0</v>
      </c>
    </row>
    <row r="8" spans="1:37" ht="18" customHeight="1">
      <c r="A8" s="350"/>
      <c r="B8" s="3141"/>
      <c r="C8" s="352"/>
      <c r="D8" s="353"/>
      <c r="E8" s="348" t="s">
        <v>1408</v>
      </c>
      <c r="F8" s="349">
        <f ca="1">INDIRECT("'数据-取费表'!ai"&amp;$G$1)</f>
        <v>0</v>
      </c>
      <c r="G8" s="1852"/>
      <c r="H8" s="350"/>
      <c r="I8" s="3141"/>
      <c r="J8" s="352"/>
      <c r="K8" s="353"/>
      <c r="L8" s="348" t="s">
        <v>1408</v>
      </c>
      <c r="M8" s="349">
        <f ca="1">INDIRECT("'数据-取费表'!ai"&amp;$G$1)</f>
        <v>0</v>
      </c>
    </row>
    <row r="9" spans="1:37" ht="18" customHeight="1">
      <c r="A9" s="350"/>
      <c r="B9" s="3142"/>
      <c r="C9" s="352"/>
      <c r="D9" s="353"/>
      <c r="E9" s="348" t="s">
        <v>1409</v>
      </c>
      <c r="F9" s="358">
        <f ca="1">INDIRECT("'数据-取费表'!w"&amp;$G$1)</f>
        <v>0</v>
      </c>
      <c r="G9" s="1852"/>
      <c r="H9" s="350"/>
      <c r="I9" s="3142"/>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ROUND(IF(F10="押一",F6*F8*F7/12*F11,IF(F10="押二",F6*F8*F7/12*2*F11,IF(F10="押三",F6*F8*F7/12*3*F11,C11*F11))),0)</f>
        <v>0</v>
      </c>
      <c r="D10" s="1825" t="s">
        <v>3028</v>
      </c>
      <c r="E10" s="359" t="s">
        <v>1412</v>
      </c>
      <c r="F10" s="1366"/>
      <c r="G10" s="1852"/>
      <c r="H10" s="1291" t="s">
        <v>1039</v>
      </c>
      <c r="I10" s="1824" t="s">
        <v>1410</v>
      </c>
      <c r="J10" s="347">
        <f ca="1">ROUND(IF(M10="押一",M6*M8*M7/12*M11,IF(M10="押二",M6*M8*M7/12*2*M11,IF(M10="押三",M6*M8*M7/12*3*M11,J11*M11))),0)</f>
        <v>0</v>
      </c>
      <c r="K10" s="1836" t="s">
        <v>3029</v>
      </c>
      <c r="L10" s="359" t="s">
        <v>1412</v>
      </c>
      <c r="M10" s="1366"/>
    </row>
    <row r="11" spans="1:37" ht="18" customHeight="1">
      <c r="A11" s="354"/>
      <c r="B11" s="1826" t="s">
        <v>1604</v>
      </c>
      <c r="C11" s="1178"/>
      <c r="D11" s="353"/>
      <c r="E11" s="359" t="s">
        <v>1414</v>
      </c>
      <c r="F11" s="360">
        <f ca="1">'数据-取费表'!B39</f>
        <v>1.4999999999999999E-2</v>
      </c>
      <c r="G11" s="1852"/>
      <c r="H11" s="1299"/>
      <c r="I11" s="1826" t="s">
        <v>1605</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8" t="s">
        <v>1419</v>
      </c>
      <c r="C14" s="364">
        <f ca="1">ROUND(INDIRECT("'数据-取费表'!l"&amp;$G$1)*F43+'数据-取费表'!L14*INDIRECT("'数据-取费表'!S"&amp;$G$1),0)</f>
        <v>0</v>
      </c>
      <c r="D14" s="1801" t="s">
        <v>1420</v>
      </c>
      <c r="E14" s="1795"/>
      <c r="F14" s="365"/>
      <c r="G14" s="1852"/>
      <c r="H14" s="1201" t="s">
        <v>1035</v>
      </c>
      <c r="I14" s="348" t="s">
        <v>1421</v>
      </c>
      <c r="J14" s="24">
        <f ca="1">C29</f>
        <v>0</v>
      </c>
      <c r="K14" s="15"/>
      <c r="L14" s="979"/>
      <c r="M14" s="980"/>
    </row>
    <row r="15" spans="1:37" s="1859" customFormat="1" ht="18" customHeight="1" thickBot="1">
      <c r="A15" s="1201" t="s">
        <v>1036</v>
      </c>
      <c r="B15" s="348" t="s">
        <v>1422</v>
      </c>
      <c r="C15" s="24">
        <f ca="1">ROUND(C14*F15,0)</f>
        <v>0</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2"/>
      <c r="H16" s="1329" t="s">
        <v>1030</v>
      </c>
      <c r="I16" s="1330" t="s">
        <v>1426</v>
      </c>
      <c r="J16" s="356">
        <f ca="1">ROUND(J17+J22+J23+J24,0)</f>
        <v>0</v>
      </c>
      <c r="K16" s="1337" t="s">
        <v>1427</v>
      </c>
      <c r="L16" s="1338"/>
      <c r="M16" s="1294"/>
    </row>
    <row r="17" spans="1:37" s="1859" customFormat="1" ht="18" customHeight="1">
      <c r="A17" s="1201" t="s">
        <v>1391</v>
      </c>
      <c r="B17" s="348" t="s">
        <v>1428</v>
      </c>
      <c r="C17" s="24">
        <f ca="1">ROUND(F17*(F43+INDIRECT("'数据-取费表'!S"&amp;$G$1)),0)</f>
        <v>0</v>
      </c>
      <c r="D17" s="348" t="s">
        <v>1429</v>
      </c>
      <c r="E17" s="348" t="s">
        <v>1430</v>
      </c>
      <c r="F17" s="26">
        <f>'数据-取费表'!B35</f>
        <v>200</v>
      </c>
      <c r="G17" s="1855"/>
      <c r="H17" s="1201" t="s">
        <v>1035</v>
      </c>
      <c r="I17" s="348" t="s">
        <v>1431</v>
      </c>
      <c r="J17" s="24">
        <f ca="1">ROUND(IF(项目基本情况!B11="自然人",J5*M17,J18+J19+J20),0)</f>
        <v>0</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0</v>
      </c>
      <c r="D18" s="348" t="s">
        <v>1423</v>
      </c>
      <c r="E18" s="348" t="s">
        <v>1424</v>
      </c>
      <c r="F18" s="368">
        <f>'数据-取费表'!B36</f>
        <v>1.4999999999999999E-2</v>
      </c>
      <c r="G18" s="1855"/>
      <c r="H18" s="1201" t="s">
        <v>1034</v>
      </c>
      <c r="I18" s="348" t="s">
        <v>1435</v>
      </c>
      <c r="J18" s="24">
        <f ca="1">ROUND(J5*M18/(1+'数据-取费表'!C42),0)</f>
        <v>0</v>
      </c>
      <c r="K18" s="1799"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0</v>
      </c>
      <c r="D19" s="140" t="s">
        <v>1438</v>
      </c>
      <c r="E19" s="1819"/>
      <c r="F19" s="26"/>
      <c r="G19" s="1852"/>
      <c r="H19" s="1201" t="s">
        <v>1036</v>
      </c>
      <c r="I19" s="348" t="s">
        <v>1439</v>
      </c>
      <c r="J19" s="24">
        <f ca="1">IF(K19="按租金收入计税",ROUND(J5*M19,0),ROUND(C29*M19*0.7,0))</f>
        <v>0</v>
      </c>
      <c r="K19" s="1829" t="s">
        <v>1440</v>
      </c>
      <c r="L19" s="348" t="s">
        <v>1424</v>
      </c>
      <c r="M19" s="368">
        <f>IF(K19="按租金收入计税",'数据-取费表'!B51,'数据-取费表'!B50)</f>
        <v>1.2E-2</v>
      </c>
    </row>
    <row r="20" spans="1:37" s="1859" customFormat="1" ht="18" customHeight="1">
      <c r="A20" s="1201" t="s">
        <v>1039</v>
      </c>
      <c r="B20" s="348" t="s">
        <v>1441</v>
      </c>
      <c r="C20" s="24">
        <f ca="1">ROUND(C19*F20,0)</f>
        <v>0</v>
      </c>
      <c r="D20" s="370" t="s">
        <v>1442</v>
      </c>
      <c r="E20" s="348" t="s">
        <v>1424</v>
      </c>
      <c r="F20" s="368">
        <f>'数据-取费表'!B37</f>
        <v>0.01</v>
      </c>
      <c r="G20" s="1855"/>
      <c r="H20" s="1201" t="s">
        <v>1390</v>
      </c>
      <c r="I20" s="165" t="s">
        <v>1443</v>
      </c>
      <c r="J20" s="25">
        <f ca="1">ROUND(M20*M21,0)</f>
        <v>0</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v>
      </c>
      <c r="D21" s="370" t="s">
        <v>1447</v>
      </c>
      <c r="E21" s="348" t="s">
        <v>1448</v>
      </c>
      <c r="F21" s="368">
        <f>'数据-取费表'!B38</f>
        <v>0.02</v>
      </c>
      <c r="G21" s="1855"/>
      <c r="H21" s="373"/>
      <c r="I21" s="357"/>
      <c r="J21" s="29"/>
      <c r="K21" s="374"/>
      <c r="L21" s="348" t="s">
        <v>1449</v>
      </c>
      <c r="M21" s="349">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9"/>
      <c r="F22" s="26"/>
      <c r="G22" s="1852"/>
      <c r="H22" s="1201" t="s">
        <v>1039</v>
      </c>
      <c r="I22" s="348" t="s">
        <v>1451</v>
      </c>
      <c r="J22" s="24">
        <f ca="1">ROUND(J14*M22,0)</f>
        <v>0</v>
      </c>
      <c r="K22" s="1799" t="s">
        <v>1452</v>
      </c>
      <c r="L22" s="348" t="s">
        <v>1424</v>
      </c>
      <c r="M22" s="375">
        <f ca="1">INDIRECT("'数据-取费表'!Ak"&amp;$G$1)</f>
        <v>0</v>
      </c>
    </row>
    <row r="23" spans="1:37" s="1859" customFormat="1" ht="18" customHeight="1">
      <c r="A23" s="1201"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ROUND(J13*M23,0)</f>
        <v>0</v>
      </c>
      <c r="K23" s="1799" t="s">
        <v>1456</v>
      </c>
      <c r="L23" s="348" t="s">
        <v>1457</v>
      </c>
      <c r="M23" s="377">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8" t="s">
        <v>1463</v>
      </c>
      <c r="C25" s="24"/>
      <c r="D25" s="140" t="s">
        <v>1464</v>
      </c>
      <c r="E25" s="1819"/>
      <c r="F25" s="26"/>
      <c r="G25" s="1852"/>
      <c r="H25" s="1329" t="s">
        <v>1031</v>
      </c>
      <c r="I25" s="1344" t="s">
        <v>1465</v>
      </c>
      <c r="J25" s="356">
        <f ca="1">J5-J16</f>
        <v>0</v>
      </c>
      <c r="K25" s="1345" t="s">
        <v>1466</v>
      </c>
      <c r="L25" s="1346"/>
      <c r="M25" s="1347"/>
    </row>
    <row r="26" spans="1:37" ht="18" customHeight="1">
      <c r="A26" s="1201" t="s">
        <v>1034</v>
      </c>
      <c r="B26" s="348" t="s">
        <v>1467</v>
      </c>
      <c r="C26" s="24">
        <f ca="1">ROUND((C19+C20)*F26,0)</f>
        <v>0</v>
      </c>
      <c r="D26" s="370" t="s">
        <v>1468</v>
      </c>
      <c r="E26" s="359" t="s">
        <v>1469</v>
      </c>
      <c r="F26" s="358">
        <f ca="1">INDIRECT("'数据-取费表'!q"&amp;$G$1)</f>
        <v>0</v>
      </c>
      <c r="G26" s="1852"/>
      <c r="H26" s="345" t="s">
        <v>1032</v>
      </c>
      <c r="I26" s="346" t="s">
        <v>1470</v>
      </c>
      <c r="J26" s="347">
        <f ca="1">IF(J5&lt;&gt;0,ROUND(J25*(1-((1+M28)/(1+M26))^M27)/(M26-M28),0),0)</f>
        <v>0</v>
      </c>
      <c r="K26" s="371" t="s">
        <v>1471</v>
      </c>
      <c r="L26" s="348" t="s">
        <v>1472</v>
      </c>
      <c r="M26" s="358">
        <f ca="1">INDIRECT("'数据-取费表'!I"&amp;$G$1)</f>
        <v>0</v>
      </c>
    </row>
    <row r="27" spans="1:37" ht="18" customHeight="1">
      <c r="A27" s="1201" t="s">
        <v>1036</v>
      </c>
      <c r="B27" s="348" t="s">
        <v>1473</v>
      </c>
      <c r="C27" s="24">
        <f ca="1">ROUND(F21*F26,4)</f>
        <v>0</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1" t="s">
        <v>1033</v>
      </c>
      <c r="I29" s="382" t="s">
        <v>1481</v>
      </c>
      <c r="J29" s="383">
        <f ca="1">ROUND(J26/(1+F40)^F41,0)</f>
        <v>0</v>
      </c>
      <c r="K29" s="384" t="s">
        <v>1482</v>
      </c>
      <c r="L29" s="385"/>
      <c r="M29" s="386">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0</v>
      </c>
      <c r="D30" s="1337" t="s">
        <v>1427</v>
      </c>
      <c r="E30" s="1338"/>
      <c r="F30" s="1294"/>
      <c r="G30" s="1852"/>
      <c r="H30" s="746"/>
      <c r="I30" s="747"/>
      <c r="J30" s="748"/>
      <c r="K30" s="749"/>
      <c r="L30" s="750"/>
      <c r="M30" s="751"/>
    </row>
    <row r="31" spans="1:37" ht="18" customHeight="1">
      <c r="A31" s="1201" t="s">
        <v>1035</v>
      </c>
      <c r="B31" s="348" t="s">
        <v>1431</v>
      </c>
      <c r="C31" s="24">
        <f ca="1">ROUND(IF(项目基本情况!B11="自然人",C5*F31,C32+C33+C34),0)</f>
        <v>0</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IF(项目基本情况!B11="自然人","——",ROUND(C5*F32/(1+'数据-取费表'!C42),0))</f>
        <v>0</v>
      </c>
      <c r="D32" s="1799"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0</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f>
        <v>0</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0</v>
      </c>
      <c r="G35" s="1852"/>
      <c r="H35" s="746"/>
      <c r="I35" s="1861"/>
      <c r="J35" s="1862"/>
      <c r="K35" s="1863"/>
      <c r="L35" s="1860"/>
      <c r="M35" s="1860"/>
    </row>
    <row r="36" spans="1:18" ht="18" customHeight="1">
      <c r="A36" s="1352" t="s">
        <v>1039</v>
      </c>
      <c r="B36" s="348" t="s">
        <v>1451</v>
      </c>
      <c r="C36" s="24">
        <f ca="1">ROUND(C29*F36,0)</f>
        <v>0</v>
      </c>
      <c r="D36" s="1799" t="s">
        <v>1484</v>
      </c>
      <c r="E36" s="348" t="s">
        <v>1424</v>
      </c>
      <c r="F36" s="375">
        <f ca="1">INDIRECT("'数据-取费表'!Ak"&amp;$G$1)</f>
        <v>0</v>
      </c>
      <c r="G36" s="1852"/>
      <c r="H36" s="1860"/>
      <c r="I36" s="1861"/>
      <c r="J36" s="1862"/>
      <c r="K36" s="752"/>
      <c r="L36" s="1860"/>
      <c r="M36" s="1860"/>
    </row>
    <row r="37" spans="1:18" ht="18" customHeight="1">
      <c r="A37" s="1201" t="s">
        <v>1075</v>
      </c>
      <c r="B37" s="348" t="s">
        <v>1455</v>
      </c>
      <c r="C37" s="24">
        <f ca="1">ROUND(C13*F37,0)</f>
        <v>0</v>
      </c>
      <c r="D37" s="1799" t="s">
        <v>1456</v>
      </c>
      <c r="E37" s="348" t="s">
        <v>1457</v>
      </c>
      <c r="F37" s="377">
        <f ca="1">INDIRECT("'数据-取费表'!Al"&amp;$G$1)</f>
        <v>0</v>
      </c>
      <c r="G37" s="1852"/>
      <c r="H37" s="1860"/>
      <c r="I37" s="1861"/>
      <c r="J37" s="1862"/>
      <c r="K37" s="752"/>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6">
        <f ca="1">C5-C30</f>
        <v>0</v>
      </c>
      <c r="D39" s="1345" t="s">
        <v>1486</v>
      </c>
      <c r="E39" s="1346"/>
      <c r="F39" s="1347"/>
      <c r="G39" s="1852"/>
      <c r="H39" s="1860"/>
      <c r="I39" s="1861"/>
      <c r="J39" s="1862"/>
      <c r="K39" s="1866"/>
      <c r="L39" s="1860"/>
      <c r="M39" s="1860"/>
    </row>
    <row r="40" spans="1:18" ht="18" customHeight="1">
      <c r="A40" s="345" t="s">
        <v>1032</v>
      </c>
      <c r="B40" s="346" t="s">
        <v>1487</v>
      </c>
      <c r="C40" s="347" t="e">
        <f ca="1">ROUND(C39*(1-((1+F42)/(1+F40))^F41)/(F40-F42),0)</f>
        <v>#DIV/0!</v>
      </c>
      <c r="D40" s="371" t="s">
        <v>1471</v>
      </c>
      <c r="E40" s="348" t="s">
        <v>1472</v>
      </c>
      <c r="F40" s="358">
        <f ca="1">INDIRECT("'数据-取费表'!I"&amp;$G$1)</f>
        <v>0</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3"/>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6" t="s">
        <v>1402</v>
      </c>
      <c r="C48" s="1818">
        <f ca="1">C49+C53+C55</f>
        <v>0</v>
      </c>
      <c r="D48" s="1362"/>
      <c r="E48" s="1363"/>
      <c r="F48" s="1181"/>
      <c r="G48" s="793"/>
      <c r="H48" s="794"/>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4"/>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4"/>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9">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70" t="s">
        <v>1410</v>
      </c>
      <c r="C53" s="362">
        <f ca="1">ROUND(IF(F53="押一",F49*F51*F50/12*F11,IF(F53="押二",F49*F51*F50/12*2*F11,IF(F53="押三",F49*F51*F50/12*3*F11,C54*F11))),0)</f>
        <v>0</v>
      </c>
      <c r="D53" s="1825" t="s">
        <v>1411</v>
      </c>
      <c r="E53" s="359" t="s">
        <v>1412</v>
      </c>
      <c r="F53" s="1366"/>
      <c r="I53" s="1906" t="s">
        <v>1549</v>
      </c>
      <c r="J53" s="1907" t="b">
        <f>IF(M47="住宅",J51,IF(D1="——",MIN(J51,L48),IF(D1="在建（套用方法）",MIN(J51,L48-'数据-取费表'!B24),IF(D1="土地（套用方法）",MIN(J51,L48-'数据-取费表'!B20)))))</f>
        <v>0</v>
      </c>
      <c r="K53" s="3143" t="s">
        <v>1550</v>
      </c>
      <c r="L53" s="3144"/>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7">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3">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1" t="s">
        <v>1030</v>
      </c>
      <c r="B58" s="1177" t="s">
        <v>1426</v>
      </c>
      <c r="C58" s="362">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0</v>
      </c>
      <c r="D59" s="1182" t="s">
        <v>1432</v>
      </c>
      <c r="E59" s="1183" t="s">
        <v>1433</v>
      </c>
      <c r="F59" s="369"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0</v>
      </c>
      <c r="D61" s="1829" t="s">
        <v>1440</v>
      </c>
      <c r="E61" s="1169" t="s">
        <v>1496</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IF(项目基本情况!B11="自然人","——",ROUND(F62*F63,0))</f>
        <v>0</v>
      </c>
      <c r="D62" s="1184" t="s">
        <v>1499</v>
      </c>
      <c r="E62" s="1169" t="s">
        <v>1500</v>
      </c>
      <c r="F62" s="372">
        <f t="shared" si="0"/>
        <v>1.5</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3"/>
      <c r="B63" s="1175"/>
      <c r="C63" s="29"/>
      <c r="D63" s="1185"/>
      <c r="E63" s="1169" t="s">
        <v>1501</v>
      </c>
      <c r="F63" s="349">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0</v>
      </c>
      <c r="D64" s="1183" t="s">
        <v>1504</v>
      </c>
      <c r="E64" s="1169" t="s">
        <v>1496</v>
      </c>
      <c r="F64" s="375">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0</v>
      </c>
      <c r="D65" s="1183" t="s">
        <v>1456</v>
      </c>
      <c r="E65" s="1169" t="s">
        <v>1457</v>
      </c>
      <c r="F65" s="377">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ROUND(C48*F66,0)</f>
        <v>0</v>
      </c>
      <c r="D66" s="1183" t="s">
        <v>1507</v>
      </c>
      <c r="E66" s="1169" t="s">
        <v>1424</v>
      </c>
      <c r="F66" s="358">
        <f t="shared" ca="1" si="0"/>
        <v>0</v>
      </c>
      <c r="O66" s="1885" t="s">
        <v>1041</v>
      </c>
      <c r="P66" s="1886" t="s">
        <v>1560</v>
      </c>
      <c r="Q66" s="1887" t="e">
        <f ca="1">L60</f>
        <v>#DIV/0!</v>
      </c>
      <c r="R66" s="1887" t="s">
        <v>1583</v>
      </c>
    </row>
    <row r="67" spans="1:18" s="1843" customFormat="1" ht="16.5" thickBot="1">
      <c r="A67" s="1176" t="s">
        <v>1031</v>
      </c>
      <c r="B67" s="1186" t="s">
        <v>1465</v>
      </c>
      <c r="C67" s="362">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7" t="e">
        <f ca="1">ROUND(C67*(1-((1+F70)/(1+F68))^F69)/(F68-F70),0)</f>
        <v>#DIV/0!</v>
      </c>
      <c r="D68" s="1184" t="s">
        <v>1471</v>
      </c>
      <c r="E68" s="1169" t="s">
        <v>1472</v>
      </c>
      <c r="F68" s="358">
        <f ca="1">F40</f>
        <v>0</v>
      </c>
      <c r="O68" s="1895" t="s">
        <v>1043</v>
      </c>
      <c r="P68" s="1935" t="s">
        <v>1585</v>
      </c>
      <c r="Q68" s="1887">
        <f ca="1">ROUND(Q69-Q70*Q71,0)</f>
        <v>0</v>
      </c>
      <c r="R68" s="1887" t="s">
        <v>1051</v>
      </c>
    </row>
    <row r="69" spans="1:18" s="1843" customFormat="1" ht="13.5" thickBot="1">
      <c r="A69" s="1170"/>
      <c r="B69" s="1171"/>
      <c r="C69" s="352"/>
      <c r="D69" s="1189" t="s">
        <v>1475</v>
      </c>
      <c r="E69" s="1169" t="s">
        <v>1476</v>
      </c>
      <c r="F69" s="380">
        <f ca="1">F41</f>
        <v>0</v>
      </c>
      <c r="O69" s="1895" t="s">
        <v>1048</v>
      </c>
      <c r="P69" s="1935" t="s">
        <v>1586</v>
      </c>
      <c r="Q69" s="1887">
        <f ca="1">C39</f>
        <v>0</v>
      </c>
      <c r="R69" s="1887" t="s">
        <v>1531</v>
      </c>
    </row>
    <row r="70" spans="1:18" s="1843" customFormat="1" ht="13.5" thickBot="1">
      <c r="A70" s="1173"/>
      <c r="B70" s="1174"/>
      <c r="C70" s="356"/>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3" t="e">
        <f ca="1">ROUND(C68/F71,0)</f>
        <v>#DIV/0!</v>
      </c>
      <c r="D71" s="1192" t="s">
        <v>1490</v>
      </c>
      <c r="E71" s="1193" t="s">
        <v>1491</v>
      </c>
      <c r="F71" s="386">
        <f ca="1">F43</f>
        <v>0</v>
      </c>
      <c r="O71" s="1895" t="s">
        <v>1050</v>
      </c>
      <c r="P71" s="1935" t="s">
        <v>1588</v>
      </c>
      <c r="Q71" s="1898">
        <f ca="1">C76</f>
        <v>0</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0</v>
      </c>
      <c r="D75" s="1843"/>
      <c r="E75" s="1843"/>
      <c r="F75" s="1843"/>
      <c r="K75" s="1869"/>
      <c r="L75" s="1843"/>
      <c r="O75" s="1885" t="s">
        <v>1046</v>
      </c>
      <c r="P75" s="1886" t="s">
        <v>1551</v>
      </c>
      <c r="Q75" s="1887" t="e">
        <f ca="1">Q65+Q66</f>
        <v>#DIV/0!</v>
      </c>
      <c r="R75" s="1887" t="s">
        <v>1047</v>
      </c>
    </row>
    <row r="76" spans="1:18">
      <c r="B76" s="389" t="s">
        <v>1509</v>
      </c>
      <c r="C76" s="390">
        <f ca="1">INDIRECT("'数据-取费表'!j"&amp;$G$1)</f>
        <v>0</v>
      </c>
      <c r="I76" s="1843"/>
      <c r="J76" s="1843"/>
      <c r="K76" s="1869"/>
      <c r="L76" s="1843"/>
    </row>
    <row r="77" spans="1:18">
      <c r="B77" s="391" t="s">
        <v>1510</v>
      </c>
      <c r="C77" s="392"/>
      <c r="I77" s="1843"/>
      <c r="J77" s="1843"/>
      <c r="K77" s="1869"/>
      <c r="L77" s="1843"/>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B6" sqref="B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2524</v>
      </c>
      <c r="B1" s="2559"/>
      <c r="C1" s="2559"/>
      <c r="D1" s="2559"/>
      <c r="E1" s="2560"/>
    </row>
    <row r="2" spans="1:6" ht="15.75">
      <c r="A2" s="2561" t="s">
        <v>2325</v>
      </c>
      <c r="B2" s="2562">
        <f ca="1">SUMIF(B6:B13,"&lt;&gt;#ref!",B6:B13)</f>
        <v>95966</v>
      </c>
      <c r="C2" s="2563" t="s">
        <v>2517</v>
      </c>
      <c r="D2" s="2564" t="s">
        <v>2518</v>
      </c>
      <c r="E2" s="2565">
        <f>SUM(E6:E13)</f>
        <v>65110.920000000006</v>
      </c>
    </row>
    <row r="3" spans="1:6" ht="15.75">
      <c r="A3" s="2561" t="s">
        <v>1396</v>
      </c>
      <c r="B3" s="2562">
        <f ca="1">ROUND(B2*10000/E2,0)</f>
        <v>14739</v>
      </c>
      <c r="C3" s="2563" t="s">
        <v>2525</v>
      </c>
      <c r="D3" s="2566"/>
      <c r="E3" s="2567"/>
    </row>
    <row r="4" spans="1:6" ht="15.75">
      <c r="A4" s="2568"/>
      <c r="B4" s="2566"/>
      <c r="C4" s="2566"/>
      <c r="D4" s="2566"/>
      <c r="E4" s="2567"/>
    </row>
    <row r="5" spans="1:6" ht="15">
      <c r="A5" s="2569" t="s">
        <v>2519</v>
      </c>
      <c r="B5" s="3150" t="s">
        <v>2520</v>
      </c>
      <c r="C5" s="3150"/>
      <c r="D5" s="2570"/>
      <c r="E5" s="2571" t="s">
        <v>2521</v>
      </c>
      <c r="F5" s="2572" t="s">
        <v>2522</v>
      </c>
    </row>
    <row r="6" spans="1:6">
      <c r="A6" s="2573" t="str">
        <f>'数据-取费表'!AN6</f>
        <v>收益法-出租地上商业</v>
      </c>
      <c r="B6" s="2572">
        <f ca="1">IF(F6="是",'数据-取费表'!AO6,0)</f>
        <v>71061</v>
      </c>
      <c r="C6" s="2563" t="s">
        <v>2517</v>
      </c>
      <c r="D6" s="2566"/>
      <c r="E6" s="2574">
        <f>IF(OR(A6=0,F6="否"),0,'数据-取费表'!K6+'数据-取费表'!S6)</f>
        <v>28765.559999999998</v>
      </c>
      <c r="F6" s="2575" t="s">
        <v>2523</v>
      </c>
    </row>
    <row r="7" spans="1:6">
      <c r="A7" s="2573" t="str">
        <f>'数据-取费表'!AN7</f>
        <v>收益法-自用地上商业</v>
      </c>
      <c r="B7" s="2572">
        <f ca="1">IF(F7="是",'数据-取费表'!AO7,0)</f>
        <v>2842</v>
      </c>
      <c r="C7" s="2563" t="s">
        <v>2517</v>
      </c>
      <c r="D7" s="2566"/>
      <c r="E7" s="2574">
        <f>IF(OR(A7=0,F7="否"),0,'数据-取费表'!K7+'数据-取费表'!S7)</f>
        <v>9862.1200000000026</v>
      </c>
      <c r="F7" s="2575" t="s">
        <v>2523</v>
      </c>
    </row>
    <row r="8" spans="1:6">
      <c r="A8" s="2573" t="str">
        <f>'数据-取费表'!AN8</f>
        <v>收益法-地下商业</v>
      </c>
      <c r="B8" s="2572">
        <f ca="1">IF(F8="是",'数据-取费表'!AO8,0)</f>
        <v>19841</v>
      </c>
      <c r="C8" s="2563" t="s">
        <v>2517</v>
      </c>
      <c r="D8" s="2566"/>
      <c r="E8" s="2574">
        <f>IF(OR(A8=0,F8="否"),0,'数据-取费表'!K8+'数据-取费表'!S8)</f>
        <v>14121.230000000001</v>
      </c>
      <c r="F8" s="2575" t="s">
        <v>2523</v>
      </c>
    </row>
    <row r="9" spans="1:6">
      <c r="A9" s="2573" t="str">
        <f>'数据-取费表'!AN9</f>
        <v>收益法-车库</v>
      </c>
      <c r="B9" s="2572">
        <f ca="1">IF(F9="是",'数据-取费表'!AO9,0)</f>
        <v>2222</v>
      </c>
      <c r="C9" s="2563" t="s">
        <v>2517</v>
      </c>
      <c r="D9" s="2566"/>
      <c r="E9" s="2574">
        <f>IF(OR(A9=0,F9="否"),0,'数据-取费表'!K9+'数据-取费表'!S9)</f>
        <v>12362.01</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7" t="s">
        <v>1076</v>
      </c>
      <c r="B1" s="3168"/>
      <c r="C1" s="3169"/>
      <c r="D1" s="3170">
        <f>SUM(I10,I15,I20,I21,I23)</f>
        <v>0</v>
      </c>
      <c r="E1" s="3170"/>
      <c r="F1" s="3170"/>
      <c r="G1" s="3170"/>
      <c r="H1" s="3170"/>
      <c r="I1" s="3171"/>
    </row>
    <row r="2" spans="1:9">
      <c r="A2" s="3157" t="s">
        <v>1077</v>
      </c>
      <c r="B2" s="3158" t="s">
        <v>1078</v>
      </c>
      <c r="C2" s="3158"/>
      <c r="D2" s="1301" t="s">
        <v>1079</v>
      </c>
      <c r="E2" s="1301" t="s">
        <v>1080</v>
      </c>
      <c r="F2" s="1301" t="s">
        <v>1081</v>
      </c>
      <c r="G2" s="1301" t="s">
        <v>1082</v>
      </c>
      <c r="H2" s="1301" t="s">
        <v>1083</v>
      </c>
      <c r="I2" s="1302" t="s">
        <v>1084</v>
      </c>
    </row>
    <row r="3" spans="1:9">
      <c r="A3" s="3157"/>
      <c r="B3" s="3158" t="s">
        <v>1085</v>
      </c>
      <c r="C3" s="3158"/>
      <c r="D3" s="1303"/>
      <c r="E3" s="1301"/>
      <c r="F3" s="1304"/>
      <c r="G3" s="1304"/>
      <c r="H3" s="1305"/>
      <c r="I3" s="1306">
        <f>ROUND(D3*E3*F3*G3*H3/10000,0)</f>
        <v>0</v>
      </c>
    </row>
    <row r="4" spans="1:9">
      <c r="A4" s="3157"/>
      <c r="B4" s="3158" t="s">
        <v>1086</v>
      </c>
      <c r="C4" s="3158"/>
      <c r="D4" s="1303"/>
      <c r="E4" s="1301"/>
      <c r="F4" s="1304"/>
      <c r="G4" s="1304"/>
      <c r="H4" s="1305"/>
      <c r="I4" s="1306">
        <f t="shared" ref="I4:I9" si="0">ROUND(D4*E4*F4*G4*H4/10000,0)</f>
        <v>0</v>
      </c>
    </row>
    <row r="5" spans="1:9">
      <c r="A5" s="3157"/>
      <c r="B5" s="3158" t="s">
        <v>1087</v>
      </c>
      <c r="C5" s="3158"/>
      <c r="D5" s="1303"/>
      <c r="E5" s="1301"/>
      <c r="F5" s="1304"/>
      <c r="G5" s="1304"/>
      <c r="H5" s="1305"/>
      <c r="I5" s="1306">
        <f t="shared" si="0"/>
        <v>0</v>
      </c>
    </row>
    <row r="6" spans="1:9">
      <c r="A6" s="3157"/>
      <c r="B6" s="3158" t="s">
        <v>1088</v>
      </c>
      <c r="C6" s="3158"/>
      <c r="D6" s="1303"/>
      <c r="E6" s="1301"/>
      <c r="F6" s="1304"/>
      <c r="G6" s="1304"/>
      <c r="H6" s="1305"/>
      <c r="I6" s="1306">
        <f t="shared" si="0"/>
        <v>0</v>
      </c>
    </row>
    <row r="7" spans="1:9">
      <c r="A7" s="3157"/>
      <c r="B7" s="3158" t="s">
        <v>1089</v>
      </c>
      <c r="C7" s="3158"/>
      <c r="D7" s="1303"/>
      <c r="E7" s="1301"/>
      <c r="F7" s="1304"/>
      <c r="G7" s="1304"/>
      <c r="H7" s="1305"/>
      <c r="I7" s="1306">
        <f t="shared" si="0"/>
        <v>0</v>
      </c>
    </row>
    <row r="8" spans="1:9">
      <c r="A8" s="3157"/>
      <c r="B8" s="3158" t="s">
        <v>1090</v>
      </c>
      <c r="C8" s="3158"/>
      <c r="D8" s="1303"/>
      <c r="E8" s="1301"/>
      <c r="F8" s="1304"/>
      <c r="G8" s="1304"/>
      <c r="H8" s="1305"/>
      <c r="I8" s="1306">
        <f t="shared" si="0"/>
        <v>0</v>
      </c>
    </row>
    <row r="9" spans="1:9">
      <c r="A9" s="3157"/>
      <c r="B9" s="3158" t="s">
        <v>1091</v>
      </c>
      <c r="C9" s="3158"/>
      <c r="D9" s="1303"/>
      <c r="E9" s="1301"/>
      <c r="F9" s="1304"/>
      <c r="G9" s="1304"/>
      <c r="H9" s="1305"/>
      <c r="I9" s="1306">
        <f t="shared" si="0"/>
        <v>0</v>
      </c>
    </row>
    <row r="10" spans="1:9">
      <c r="A10" s="3157"/>
      <c r="B10" s="3159" t="s">
        <v>1092</v>
      </c>
      <c r="C10" s="3159"/>
      <c r="D10" s="1307"/>
      <c r="E10" s="1307" t="e">
        <f>ROUND(D1*10000/D10/H9,0)</f>
        <v>#DIV/0!</v>
      </c>
      <c r="F10" s="1308"/>
      <c r="G10" s="1308"/>
      <c r="H10" s="1309"/>
      <c r="I10" s="1310">
        <f>SUM(I3:I9)</f>
        <v>0</v>
      </c>
    </row>
    <row r="11" spans="1:9" ht="14.25">
      <c r="A11" s="3157" t="s">
        <v>1093</v>
      </c>
      <c r="B11" s="3158" t="s">
        <v>1094</v>
      </c>
      <c r="C11" s="3158"/>
      <c r="D11" s="1303" t="s">
        <v>1095</v>
      </c>
      <c r="E11" s="1303" t="s">
        <v>1096</v>
      </c>
      <c r="F11" s="1304" t="s">
        <v>1097</v>
      </c>
      <c r="G11" s="1304" t="s">
        <v>1083</v>
      </c>
      <c r="H11" s="1311" t="s">
        <v>1098</v>
      </c>
      <c r="I11" s="1302" t="s">
        <v>1084</v>
      </c>
    </row>
    <row r="12" spans="1:9">
      <c r="A12" s="3157"/>
      <c r="B12" s="3158" t="s">
        <v>1099</v>
      </c>
      <c r="C12" s="3158"/>
      <c r="D12" s="1303"/>
      <c r="E12" s="1303"/>
      <c r="F12" s="1304"/>
      <c r="G12" s="1305"/>
      <c r="H12" s="1312"/>
      <c r="I12" s="1302">
        <f>ROUND(D12*E12*F12*G12/10000,0)</f>
        <v>0</v>
      </c>
    </row>
    <row r="13" spans="1:9">
      <c r="A13" s="3157"/>
      <c r="B13" s="3158" t="s">
        <v>1100</v>
      </c>
      <c r="C13" s="3158"/>
      <c r="D13" s="1303"/>
      <c r="E13" s="1303"/>
      <c r="F13" s="1304"/>
      <c r="G13" s="1305"/>
      <c r="H13" s="1312"/>
      <c r="I13" s="1302">
        <f>ROUND(D13*E13*F13*G13/10000,0)</f>
        <v>0</v>
      </c>
    </row>
    <row r="14" spans="1:9">
      <c r="A14" s="3157"/>
      <c r="B14" s="3158" t="s">
        <v>1101</v>
      </c>
      <c r="C14" s="3158"/>
      <c r="D14" s="1303"/>
      <c r="E14" s="1303"/>
      <c r="F14" s="1304"/>
      <c r="G14" s="1305"/>
      <c r="H14" s="1312"/>
      <c r="I14" s="1302">
        <f>ROUND(D14*E14*F14*G14/10000,0)</f>
        <v>0</v>
      </c>
    </row>
    <row r="15" spans="1:9">
      <c r="A15" s="3157"/>
      <c r="B15" s="3159" t="s">
        <v>1092</v>
      </c>
      <c r="C15" s="3159"/>
      <c r="D15" s="1307"/>
      <c r="E15" s="1307">
        <f>SUM(E12:E14)</f>
        <v>0</v>
      </c>
      <c r="F15" s="1308"/>
      <c r="G15" s="1305"/>
      <c r="H15" s="1312"/>
      <c r="I15" s="1313">
        <f>SUM(I12:I14)</f>
        <v>0</v>
      </c>
    </row>
    <row r="16" spans="1:9" ht="24">
      <c r="A16" s="3157" t="s">
        <v>1102</v>
      </c>
      <c r="B16" s="3158" t="s">
        <v>1103</v>
      </c>
      <c r="C16" s="3158"/>
      <c r="D16" s="1303" t="s">
        <v>1079</v>
      </c>
      <c r="E16" s="1314" t="s">
        <v>1104</v>
      </c>
      <c r="F16" s="1304" t="s">
        <v>1105</v>
      </c>
      <c r="G16" s="1305" t="s">
        <v>1083</v>
      </c>
      <c r="H16" s="1311" t="s">
        <v>1098</v>
      </c>
      <c r="I16" s="1302" t="s">
        <v>1084</v>
      </c>
    </row>
    <row r="17" spans="1:9" ht="14.25">
      <c r="A17" s="3157"/>
      <c r="B17" s="3158" t="s">
        <v>1106</v>
      </c>
      <c r="C17" s="3158"/>
      <c r="D17" s="1303"/>
      <c r="E17" s="1303"/>
      <c r="F17" s="1304"/>
      <c r="G17" s="1305"/>
      <c r="H17" s="1315"/>
      <c r="I17" s="1316">
        <f>ROUND(D17*E17*F17*G17/10000,0)</f>
        <v>0</v>
      </c>
    </row>
    <row r="18" spans="1:9" ht="14.25">
      <c r="A18" s="3157"/>
      <c r="B18" s="3158" t="s">
        <v>1107</v>
      </c>
      <c r="C18" s="3158"/>
      <c r="D18" s="1303"/>
      <c r="E18" s="1303"/>
      <c r="F18" s="1304"/>
      <c r="G18" s="1305"/>
      <c r="H18" s="1315"/>
      <c r="I18" s="1316">
        <f>ROUND(D18*E18*F18*G18/10000,0)</f>
        <v>0</v>
      </c>
    </row>
    <row r="19" spans="1:9" ht="14.25">
      <c r="A19" s="3157"/>
      <c r="B19" s="3158" t="s">
        <v>1108</v>
      </c>
      <c r="C19" s="3158"/>
      <c r="D19" s="1303"/>
      <c r="E19" s="1303"/>
      <c r="F19" s="1304"/>
      <c r="G19" s="1305"/>
      <c r="H19" s="1315"/>
      <c r="I19" s="1316">
        <f>ROUND(D19*E19*F19*G19/10000,0)</f>
        <v>0</v>
      </c>
    </row>
    <row r="20" spans="1:9">
      <c r="A20" s="3157"/>
      <c r="B20" s="3159" t="s">
        <v>1092</v>
      </c>
      <c r="C20" s="3159"/>
      <c r="D20" s="1307">
        <f>SUM(D17:D19)</f>
        <v>0</v>
      </c>
      <c r="E20" s="1307"/>
      <c r="F20" s="1308"/>
      <c r="G20" s="1305"/>
      <c r="H20" s="1312"/>
      <c r="I20" s="1313">
        <f>SUM(I17:I19)</f>
        <v>0</v>
      </c>
    </row>
    <row r="21" spans="1:9">
      <c r="A21" s="3157" t="s">
        <v>1109</v>
      </c>
      <c r="B21" s="3160"/>
      <c r="C21" s="3160"/>
      <c r="D21" s="3160"/>
      <c r="E21" s="3160"/>
      <c r="F21" s="3160"/>
      <c r="G21" s="3160"/>
      <c r="H21" s="1766">
        <v>0.1</v>
      </c>
      <c r="I21" s="1310">
        <f>ROUND(I10*H21,0)</f>
        <v>0</v>
      </c>
    </row>
    <row r="22" spans="1:9" ht="14.25">
      <c r="A22" s="3161" t="s">
        <v>1110</v>
      </c>
      <c r="B22" s="3162"/>
      <c r="C22" s="3163"/>
      <c r="D22" s="1317" t="s">
        <v>1111</v>
      </c>
      <c r="E22" s="1317" t="s">
        <v>1112</v>
      </c>
      <c r="F22" s="1318" t="s">
        <v>1113</v>
      </c>
      <c r="G22" s="1318" t="s">
        <v>1114</v>
      </c>
      <c r="H22" s="1311" t="s">
        <v>1115</v>
      </c>
      <c r="I22" s="1302" t="s">
        <v>1116</v>
      </c>
    </row>
    <row r="23" spans="1:9" ht="14.25" thickBot="1">
      <c r="A23" s="3164"/>
      <c r="B23" s="3165"/>
      <c r="C23" s="3166"/>
      <c r="D23" s="1319"/>
      <c r="E23" s="1319"/>
      <c r="F23" s="1319"/>
      <c r="G23" s="1320"/>
      <c r="H23" s="1321"/>
      <c r="I23" s="1322">
        <f>ROUND(E23*D23*F23*(1-G23)/10000,0)</f>
        <v>0</v>
      </c>
    </row>
    <row r="26" spans="1:9">
      <c r="A26" s="1323" t="s">
        <v>1117</v>
      </c>
      <c r="B26" s="1323"/>
      <c r="C26" s="1323"/>
      <c r="D26" s="1323"/>
      <c r="E26" s="3154">
        <f>C27-C30-C31-C32</f>
        <v>0</v>
      </c>
      <c r="F26" s="3154"/>
      <c r="G26" s="3154"/>
      <c r="H26" s="1738" t="s">
        <v>1341</v>
      </c>
    </row>
    <row r="27" spans="1:9">
      <c r="A27" s="1324">
        <v>1</v>
      </c>
      <c r="B27" s="1325" t="s">
        <v>1118</v>
      </c>
      <c r="C27" s="1325">
        <f>C28+C29</f>
        <v>0</v>
      </c>
      <c r="D27" s="1325"/>
      <c r="E27" s="3155"/>
      <c r="F27" s="3155"/>
      <c r="G27" s="3155"/>
    </row>
    <row r="28" spans="1:9">
      <c r="A28" s="1326" t="s">
        <v>1119</v>
      </c>
      <c r="B28" s="1325" t="s">
        <v>1120</v>
      </c>
      <c r="C28" s="1325"/>
      <c r="D28" s="1325"/>
      <c r="E28" s="3155"/>
      <c r="F28" s="3155"/>
      <c r="G28" s="315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56"/>
      <c r="F32" s="3156"/>
      <c r="G32" s="3156"/>
    </row>
    <row r="33" spans="1:7" hidden="1">
      <c r="A33" s="3151" t="s">
        <v>1129</v>
      </c>
      <c r="B33" s="3152"/>
      <c r="C33" s="3152"/>
      <c r="D33" s="3153"/>
      <c r="E33" s="3154"/>
      <c r="F33" s="3154"/>
      <c r="G33" s="3154"/>
    </row>
    <row r="34" spans="1:7" hidden="1">
      <c r="A34" s="1328">
        <v>1</v>
      </c>
      <c r="B34" s="1325" t="s">
        <v>1130</v>
      </c>
      <c r="C34" s="1325"/>
      <c r="D34" s="1325"/>
      <c r="E34" s="3155"/>
      <c r="F34" s="3155"/>
      <c r="G34" s="3155"/>
    </row>
    <row r="35" spans="1:7" hidden="1">
      <c r="A35" s="1328">
        <v>2</v>
      </c>
      <c r="B35" s="1325" t="s">
        <v>1131</v>
      </c>
      <c r="C35" s="1325"/>
      <c r="D35" s="1325"/>
      <c r="E35" s="3155"/>
      <c r="F35" s="3155"/>
      <c r="G35" s="3155"/>
    </row>
    <row r="36" spans="1:7" hidden="1">
      <c r="A36" s="1328">
        <v>3</v>
      </c>
      <c r="B36" s="1325" t="s">
        <v>1132</v>
      </c>
      <c r="C36" s="1325"/>
      <c r="D36" s="1325"/>
      <c r="E36" s="3155"/>
      <c r="F36" s="3155"/>
      <c r="G36" s="3155"/>
    </row>
    <row r="37" spans="1:7" hidden="1">
      <c r="A37" s="1328">
        <v>4</v>
      </c>
      <c r="B37" s="1325" t="s">
        <v>1133</v>
      </c>
      <c r="C37" s="1325"/>
      <c r="D37" s="1325"/>
      <c r="E37" s="3155"/>
      <c r="F37" s="3155"/>
      <c r="G37" s="3155"/>
    </row>
    <row r="38" spans="1:7" hidden="1">
      <c r="A38" s="3151" t="s">
        <v>1134</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上海浦东发展银行股份有限公司北京分行：</v>
      </c>
    </row>
    <row r="4" spans="1:1" ht="36">
      <c r="A4" s="1949" t="str">
        <f>"受贵公司委托，我公司对"&amp;项目基本情况!S1&amp;"进行了预评估。"</f>
        <v>受贵公司委托，我公司对北京市昌平区黄平路19号院3号楼商业及地下车库用房房地产抵押价值进行了预评估。</v>
      </c>
    </row>
    <row r="5" spans="1:1" ht="18.75">
      <c r="A5" s="1950" t="s">
        <v>1614</v>
      </c>
    </row>
    <row r="6" spans="1:1" ht="18.75">
      <c r="A6" s="1951" t="s">
        <v>1615</v>
      </c>
    </row>
    <row r="7" spans="1:1" ht="12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65110.92平方米。</v>
      </c>
    </row>
    <row r="8" spans="1:1" ht="57.75">
      <c r="A8" s="1952" t="s">
        <v>1616</v>
      </c>
    </row>
    <row r="9" spans="1:1" ht="18.75">
      <c r="A9" s="1951" t="s">
        <v>1617</v>
      </c>
    </row>
    <row r="10" spans="1:1" ht="126">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65110.92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2017年10月31日（评估专业人员实地查勘之日）</v>
      </c>
    </row>
    <row r="16" spans="1:1" ht="18.75">
      <c r="A16" s="1954" t="s">
        <v>1621</v>
      </c>
    </row>
    <row r="17" spans="1:1" ht="75">
      <c r="A17" s="1949" t="s">
        <v>1622</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本次评估采用的主估价方法为成本法和收益法。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579" t="s">
        <v>2527</v>
      </c>
      <c r="C1" s="1635" t="s">
        <v>2528</v>
      </c>
      <c r="D1" s="1622"/>
      <c r="E1" s="2580"/>
      <c r="F1" s="2581" t="s">
        <v>2529</v>
      </c>
      <c r="G1" s="1632" t="s">
        <v>2530</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4" customFormat="1" ht="28.5" customHeight="1" thickTop="1">
      <c r="A2" s="1618" t="s">
        <v>1395</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4" customFormat="1" ht="28.5" customHeight="1" thickBot="1">
      <c r="A3" s="248" t="s">
        <v>1396</v>
      </c>
      <c r="B3" s="400" t="e">
        <f ca="1">IF(C2="——",C49,ROUND(B2*10000/D3,0))</f>
        <v>#DIV/0!</v>
      </c>
      <c r="C3" s="401" t="s">
        <v>2532</v>
      </c>
      <c r="D3" s="400">
        <f>IF(D1="",'数据-汇总表'!E3,SUMIF('数据-汇总表'!$C19:$C33,D1,'数据-汇总表'!$E19:$E33))</f>
        <v>65110.920000000006</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2" t="s">
        <v>2533</v>
      </c>
      <c r="B4" s="403"/>
      <c r="C4" s="3190" t="s">
        <v>2534</v>
      </c>
      <c r="D4" s="3191"/>
      <c r="E4" s="3192" t="s">
        <v>2535</v>
      </c>
      <c r="F4" s="3193"/>
      <c r="G4" s="3190" t="s">
        <v>2536</v>
      </c>
      <c r="H4" s="3191"/>
      <c r="I4" s="3190" t="s">
        <v>2537</v>
      </c>
      <c r="J4" s="3191"/>
      <c r="K4" s="2593" t="s">
        <v>2538</v>
      </c>
      <c r="L4" s="1130"/>
      <c r="M4" s="1131"/>
      <c r="N4" s="1131"/>
      <c r="O4" s="1131"/>
      <c r="P4" s="3194" t="s">
        <v>2539</v>
      </c>
      <c r="Q4" s="3195"/>
      <c r="R4" s="3200" t="s">
        <v>2535</v>
      </c>
      <c r="S4" s="3201"/>
      <c r="T4" s="3200" t="s">
        <v>2536</v>
      </c>
      <c r="U4" s="3201"/>
      <c r="V4" s="3206" t="s">
        <v>2537</v>
      </c>
      <c r="W4" s="3206"/>
      <c r="X4" s="1814"/>
      <c r="Y4" s="3200" t="s">
        <v>2539</v>
      </c>
      <c r="Z4" s="3201"/>
      <c r="AA4" s="3187" t="s">
        <v>2535</v>
      </c>
      <c r="AB4" s="3187" t="s">
        <v>2536</v>
      </c>
      <c r="AC4" s="3187" t="s">
        <v>2537</v>
      </c>
    </row>
    <row r="5" spans="1:29" ht="15">
      <c r="A5" s="405"/>
      <c r="B5" s="406"/>
      <c r="C5" s="3209" t="s">
        <v>2540</v>
      </c>
      <c r="D5" s="3210"/>
      <c r="E5" s="3216" t="s">
        <v>2541</v>
      </c>
      <c r="F5" s="3217"/>
      <c r="G5" s="3209" t="s">
        <v>2542</v>
      </c>
      <c r="H5" s="3210"/>
      <c r="I5" s="3209" t="s">
        <v>2543</v>
      </c>
      <c r="J5" s="3210"/>
      <c r="K5" s="2594"/>
      <c r="L5" s="1130"/>
      <c r="M5" s="1131"/>
      <c r="N5" s="1131"/>
      <c r="O5" s="1131"/>
      <c r="P5" s="3196"/>
      <c r="Q5" s="3197"/>
      <c r="R5" s="3202"/>
      <c r="S5" s="3203"/>
      <c r="T5" s="3202"/>
      <c r="U5" s="3203"/>
      <c r="V5" s="3206"/>
      <c r="W5" s="3206"/>
      <c r="X5" s="1814"/>
      <c r="Y5" s="3202"/>
      <c r="Z5" s="3203"/>
      <c r="AA5" s="3188"/>
      <c r="AB5" s="3188"/>
      <c r="AC5" s="3188"/>
    </row>
    <row r="6" spans="1:29" ht="15.75" thickBot="1">
      <c r="A6" s="407"/>
      <c r="B6" s="408"/>
      <c r="C6" s="3207" t="s">
        <v>2544</v>
      </c>
      <c r="D6" s="3208"/>
      <c r="E6" s="3214" t="s">
        <v>2544</v>
      </c>
      <c r="F6" s="3215"/>
      <c r="G6" s="3207" t="s">
        <v>2544</v>
      </c>
      <c r="H6" s="3208"/>
      <c r="I6" s="3207" t="s">
        <v>2544</v>
      </c>
      <c r="J6" s="3208"/>
      <c r="K6" s="2594" t="s">
        <v>2545</v>
      </c>
      <c r="L6" s="1130"/>
      <c r="M6" s="1131"/>
      <c r="N6" s="1131"/>
      <c r="O6" s="1131"/>
      <c r="P6" s="3198"/>
      <c r="Q6" s="3199"/>
      <c r="R6" s="3202"/>
      <c r="S6" s="3203"/>
      <c r="T6" s="3204"/>
      <c r="U6" s="3205"/>
      <c r="V6" s="3206"/>
      <c r="W6" s="3206"/>
      <c r="X6" s="1814"/>
      <c r="Y6" s="3204"/>
      <c r="Z6" s="3205"/>
      <c r="AA6" s="3189"/>
      <c r="AB6" s="3189"/>
      <c r="AC6" s="3189"/>
    </row>
    <row r="7" spans="1:29" s="117" customFormat="1" ht="15.75" thickBot="1">
      <c r="A7" s="409" t="s">
        <v>2546</v>
      </c>
      <c r="B7" s="410"/>
      <c r="C7" s="411">
        <f>'数据-取费表'!B2</f>
        <v>43039</v>
      </c>
      <c r="D7" s="412">
        <v>100</v>
      </c>
      <c r="E7" s="413"/>
      <c r="F7" s="414">
        <f>SUMIF(58:58,YEAR(E7)&amp;"-"&amp;MONTH(E7),59:59)</f>
        <v>0</v>
      </c>
      <c r="G7" s="413"/>
      <c r="H7" s="412">
        <f>SUMIF(58:58,YEAR(G7)&amp;"-"&amp;MONTH(G7),59:59)</f>
        <v>0</v>
      </c>
      <c r="I7" s="413"/>
      <c r="J7" s="412">
        <f>SUMIF(58:58,YEAR(I7)&amp;"-"&amp;MONTH(I7),59:59)</f>
        <v>0</v>
      </c>
      <c r="K7" s="2595"/>
      <c r="L7" s="1132"/>
      <c r="M7" s="1133"/>
      <c r="N7" s="1133"/>
      <c r="O7" s="1133"/>
      <c r="P7" s="3211" t="s">
        <v>2547</v>
      </c>
      <c r="Q7" s="3213"/>
      <c r="R7" s="771" t="s">
        <v>23</v>
      </c>
      <c r="S7" s="772">
        <f t="shared" ref="S7:S15" si="0">F7</f>
        <v>0</v>
      </c>
      <c r="T7" s="771" t="s">
        <v>23</v>
      </c>
      <c r="U7" s="772">
        <f t="shared" ref="U7:U15" si="1">H7</f>
        <v>0</v>
      </c>
      <c r="V7" s="771" t="s">
        <v>23</v>
      </c>
      <c r="W7" s="772">
        <f t="shared" ref="W7:W15" si="2">J7</f>
        <v>0</v>
      </c>
      <c r="X7" s="773"/>
      <c r="Y7" s="3211" t="s">
        <v>2547</v>
      </c>
      <c r="Z7" s="3212"/>
      <c r="AA7" s="774" t="e">
        <f>D7/F7</f>
        <v>#DIV/0!</v>
      </c>
      <c r="AB7" s="774" t="e">
        <f>D7/H7</f>
        <v>#DIV/0!</v>
      </c>
      <c r="AC7" s="774" t="e">
        <f>D7/J7</f>
        <v>#DIV/0!</v>
      </c>
    </row>
    <row r="8" spans="1:29" s="117" customFormat="1" ht="15.75" thickBot="1">
      <c r="A8" s="409" t="s">
        <v>2548</v>
      </c>
      <c r="B8" s="410"/>
      <c r="C8" s="415" t="s">
        <v>2549</v>
      </c>
      <c r="D8" s="412">
        <v>100</v>
      </c>
      <c r="E8" s="2596"/>
      <c r="F8" s="414">
        <f>SUMIF(61:61,E8,62:62)-SUMIF(61:61,C8,62:62)+100</f>
        <v>0</v>
      </c>
      <c r="G8" s="415"/>
      <c r="H8" s="412">
        <f>SUMIF(61:61,G8,62:62)-SUMIF(61:61,C8,62:62)+100</f>
        <v>0</v>
      </c>
      <c r="I8" s="2596"/>
      <c r="J8" s="412">
        <f>SUMIF(61:61,I8,62:62)-SUMIF(61:61,C8,62:62)+100</f>
        <v>0</v>
      </c>
      <c r="K8" s="2595"/>
      <c r="L8" s="1132"/>
      <c r="M8" s="1133"/>
      <c r="N8" s="1133"/>
      <c r="O8" s="1133"/>
      <c r="P8" s="3211" t="s">
        <v>2550</v>
      </c>
      <c r="Q8" s="3212"/>
      <c r="R8" s="771" t="s">
        <v>23</v>
      </c>
      <c r="S8" s="772">
        <f t="shared" si="0"/>
        <v>0</v>
      </c>
      <c r="T8" s="771" t="s">
        <v>23</v>
      </c>
      <c r="U8" s="772">
        <f t="shared" si="1"/>
        <v>0</v>
      </c>
      <c r="V8" s="771" t="s">
        <v>23</v>
      </c>
      <c r="W8" s="772">
        <f t="shared" si="2"/>
        <v>0</v>
      </c>
      <c r="X8" s="773"/>
      <c r="Y8" s="3211" t="s">
        <v>2550</v>
      </c>
      <c r="Z8" s="3212"/>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595"/>
      <c r="L9" s="1132"/>
      <c r="M9" s="1133"/>
      <c r="N9" s="1133"/>
      <c r="O9" s="1133"/>
      <c r="P9" s="3186" t="s">
        <v>2553</v>
      </c>
      <c r="Q9" s="1796" t="str">
        <f t="shared" ref="Q9:Q15" si="6">B9</f>
        <v>用途</v>
      </c>
      <c r="R9" s="771" t="s">
        <v>17</v>
      </c>
      <c r="S9" s="772">
        <f t="shared" si="0"/>
        <v>100</v>
      </c>
      <c r="T9" s="771" t="s">
        <v>17</v>
      </c>
      <c r="U9" s="772">
        <f t="shared" si="1"/>
        <v>100</v>
      </c>
      <c r="V9" s="771" t="s">
        <v>17</v>
      </c>
      <c r="W9" s="772">
        <f t="shared" si="2"/>
        <v>100</v>
      </c>
      <c r="X9" s="773"/>
      <c r="Y9" s="3000"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186"/>
      <c r="Q10" s="1796" t="str">
        <f t="shared" si="6"/>
        <v>土地使用年限（年）</v>
      </c>
      <c r="R10" s="771" t="s">
        <v>17</v>
      </c>
      <c r="S10" s="772">
        <f t="shared" si="0"/>
        <v>100</v>
      </c>
      <c r="T10" s="771" t="s">
        <v>17</v>
      </c>
      <c r="U10" s="772">
        <f t="shared" si="1"/>
        <v>100</v>
      </c>
      <c r="V10" s="771" t="s">
        <v>17</v>
      </c>
      <c r="W10" s="772">
        <f t="shared" si="2"/>
        <v>100</v>
      </c>
      <c r="X10" s="773"/>
      <c r="Y10" s="3000"/>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186"/>
      <c r="Q11" s="1796" t="str">
        <f t="shared" si="6"/>
        <v>容积率</v>
      </c>
      <c r="R11" s="771" t="s">
        <v>21</v>
      </c>
      <c r="S11" s="772" t="e">
        <f t="shared" si="0"/>
        <v>#N/A</v>
      </c>
      <c r="T11" s="771" t="s">
        <v>21</v>
      </c>
      <c r="U11" s="772" t="e">
        <f t="shared" si="1"/>
        <v>#N/A</v>
      </c>
      <c r="V11" s="771" t="s">
        <v>21</v>
      </c>
      <c r="W11" s="772" t="e">
        <f t="shared" si="2"/>
        <v>#N/A</v>
      </c>
      <c r="X11" s="773"/>
      <c r="Y11" s="3000"/>
      <c r="Z11" s="55" t="str">
        <f t="shared" si="7"/>
        <v>容积率</v>
      </c>
      <c r="AA11" s="774" t="e">
        <f t="shared" si="3"/>
        <v>#N/A</v>
      </c>
      <c r="AB11" s="774" t="e">
        <f t="shared" si="4"/>
        <v>#N/A</v>
      </c>
      <c r="AC11" s="774" t="e">
        <f t="shared" si="5"/>
        <v>#N/A</v>
      </c>
    </row>
    <row r="12" spans="1:29" s="117" customFormat="1" ht="15">
      <c r="A12" s="432"/>
      <c r="B12" s="2597">
        <v>111</v>
      </c>
      <c r="C12" s="433"/>
      <c r="D12" s="434">
        <v>100</v>
      </c>
      <c r="E12" s="433"/>
      <c r="F12" s="426">
        <f>SUMIF(70:70,E12,71:71)-SUMIF(70:70,C12,71:71)+100</f>
        <v>100</v>
      </c>
      <c r="G12" s="433"/>
      <c r="H12" s="136">
        <f>SUMIF(70:70,G12,71:71)-SUMIF(70:70,C12,71:71)+100</f>
        <v>100</v>
      </c>
      <c r="I12" s="433"/>
      <c r="J12" s="136">
        <f>SUMIF(70:70,I12,71:71)-SUMIF(70:70,C12,71:71)+100</f>
        <v>100</v>
      </c>
      <c r="K12" s="2598"/>
      <c r="L12" s="1132"/>
      <c r="M12" s="1133"/>
      <c r="N12" s="1133"/>
      <c r="O12" s="1133"/>
      <c r="P12" s="3186"/>
      <c r="Q12" s="1796">
        <f t="shared" si="6"/>
        <v>111</v>
      </c>
      <c r="R12" s="771" t="s">
        <v>21</v>
      </c>
      <c r="S12" s="772">
        <f t="shared" si="0"/>
        <v>100</v>
      </c>
      <c r="T12" s="771" t="s">
        <v>21</v>
      </c>
      <c r="U12" s="772">
        <f t="shared" si="1"/>
        <v>100</v>
      </c>
      <c r="V12" s="771" t="s">
        <v>21</v>
      </c>
      <c r="W12" s="772">
        <f t="shared" si="2"/>
        <v>100</v>
      </c>
      <c r="X12" s="773"/>
      <c r="Y12" s="3000"/>
      <c r="Z12" s="55">
        <f t="shared" si="7"/>
        <v>111</v>
      </c>
      <c r="AA12" s="774">
        <f>D12/F12</f>
        <v>1</v>
      </c>
      <c r="AB12" s="774">
        <f>D12/H12</f>
        <v>1</v>
      </c>
      <c r="AC12" s="774">
        <f>D12/J12</f>
        <v>1</v>
      </c>
    </row>
    <row r="13" spans="1:29" ht="15">
      <c r="A13" s="429"/>
      <c r="B13" s="2597">
        <v>111</v>
      </c>
      <c r="C13" s="435"/>
      <c r="D13" s="436">
        <v>100</v>
      </c>
      <c r="E13" s="435"/>
      <c r="F13" s="426">
        <f>SUMIF(72:72,E13,73:73)-SUMIF(72:72,C13,73:73)+100</f>
        <v>100</v>
      </c>
      <c r="G13" s="435"/>
      <c r="H13" s="436">
        <f>SUMIF(72:72,G13,73:73)-SUMIF(72:72,C13,73:73)+100</f>
        <v>100</v>
      </c>
      <c r="I13" s="435"/>
      <c r="J13" s="436">
        <f>SUMIF(72:72,I13,73:73)-SUMIF(72:72,C13,73:73)+100</f>
        <v>100</v>
      </c>
      <c r="K13" s="2598"/>
      <c r="L13" s="1140"/>
      <c r="M13" s="1131"/>
      <c r="N13" s="1131"/>
      <c r="O13" s="1131"/>
      <c r="P13" s="3186"/>
      <c r="Q13" s="1796">
        <f t="shared" si="6"/>
        <v>111</v>
      </c>
      <c r="R13" s="771" t="s">
        <v>21</v>
      </c>
      <c r="S13" s="772">
        <f t="shared" si="0"/>
        <v>100</v>
      </c>
      <c r="T13" s="771" t="s">
        <v>21</v>
      </c>
      <c r="U13" s="772">
        <f t="shared" si="1"/>
        <v>100</v>
      </c>
      <c r="V13" s="771" t="s">
        <v>21</v>
      </c>
      <c r="W13" s="772">
        <f t="shared" si="2"/>
        <v>100</v>
      </c>
      <c r="X13" s="773"/>
      <c r="Y13" s="3000"/>
      <c r="Z13" s="55">
        <f t="shared" si="7"/>
        <v>111</v>
      </c>
      <c r="AA13" s="774">
        <f t="shared" si="3"/>
        <v>1</v>
      </c>
      <c r="AB13" s="774">
        <f t="shared" si="4"/>
        <v>1</v>
      </c>
      <c r="AC13" s="774">
        <f t="shared" si="5"/>
        <v>1</v>
      </c>
    </row>
    <row r="14" spans="1:29" ht="15.75" thickBot="1">
      <c r="A14" s="437"/>
      <c r="B14" s="2599">
        <v>111</v>
      </c>
      <c r="C14" s="438"/>
      <c r="D14" s="439">
        <v>100</v>
      </c>
      <c r="E14" s="438"/>
      <c r="F14" s="440">
        <f>SUMIF(74:74,E14,75:75)-SUMIF(74:74,C14,75:75)+100</f>
        <v>100</v>
      </c>
      <c r="G14" s="438"/>
      <c r="H14" s="439">
        <f>SUMIF(74:74,G14,75:75)-SUMIF(74:74,C14,75:75)+100</f>
        <v>100</v>
      </c>
      <c r="I14" s="438"/>
      <c r="J14" s="439">
        <f>SUMIF(74:74,I14,75:75)-SUMIF(74:74,C14,75:75)+100</f>
        <v>100</v>
      </c>
      <c r="K14" s="2598"/>
      <c r="L14" s="1140"/>
      <c r="M14" s="1131"/>
      <c r="N14" s="1131"/>
      <c r="O14" s="1131"/>
      <c r="P14" s="3186"/>
      <c r="Q14" s="1796">
        <f t="shared" si="6"/>
        <v>111</v>
      </c>
      <c r="R14" s="771" t="s">
        <v>21</v>
      </c>
      <c r="S14" s="772">
        <f t="shared" si="0"/>
        <v>100</v>
      </c>
      <c r="T14" s="771" t="s">
        <v>21</v>
      </c>
      <c r="U14" s="772">
        <f t="shared" si="1"/>
        <v>100</v>
      </c>
      <c r="V14" s="771" t="s">
        <v>21</v>
      </c>
      <c r="W14" s="772">
        <f t="shared" si="2"/>
        <v>100</v>
      </c>
      <c r="X14" s="773"/>
      <c r="Y14" s="3000"/>
      <c r="Z14" s="55">
        <f t="shared" si="7"/>
        <v>111</v>
      </c>
      <c r="AA14" s="774">
        <f t="shared" si="3"/>
        <v>1</v>
      </c>
      <c r="AB14" s="774">
        <f t="shared" si="4"/>
        <v>1</v>
      </c>
      <c r="AC14" s="774">
        <f t="shared" si="5"/>
        <v>1</v>
      </c>
    </row>
    <row r="15" spans="1:29" ht="15">
      <c r="A15" s="441" t="s">
        <v>2557</v>
      </c>
      <c r="B15" s="69" t="s">
        <v>2087</v>
      </c>
      <c r="C15" s="2600">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184" t="s">
        <v>2558</v>
      </c>
      <c r="Q15" s="1811" t="str">
        <f t="shared" si="6"/>
        <v>居住社区成熟度</v>
      </c>
      <c r="R15" s="775" t="s">
        <v>21</v>
      </c>
      <c r="S15" s="776">
        <f t="shared" si="0"/>
        <v>100</v>
      </c>
      <c r="T15" s="775" t="s">
        <v>21</v>
      </c>
      <c r="U15" s="776">
        <f t="shared" si="1"/>
        <v>100</v>
      </c>
      <c r="V15" s="775" t="s">
        <v>21</v>
      </c>
      <c r="W15" s="776">
        <f t="shared" si="2"/>
        <v>100</v>
      </c>
      <c r="X15" s="1814"/>
      <c r="Y15" s="3177" t="s">
        <v>2558</v>
      </c>
      <c r="Z15" s="1815" t="str">
        <f t="shared" si="7"/>
        <v>居住社区成熟度</v>
      </c>
      <c r="AA15" s="1812">
        <f t="shared" si="3"/>
        <v>1</v>
      </c>
      <c r="AB15" s="1812">
        <f t="shared" si="4"/>
        <v>1</v>
      </c>
      <c r="AC15" s="1812">
        <f t="shared" si="5"/>
        <v>1</v>
      </c>
    </row>
    <row r="16" spans="1:29" ht="15">
      <c r="A16" s="429"/>
      <c r="B16" s="447"/>
      <c r="C16" s="448"/>
      <c r="D16" s="449"/>
      <c r="E16" s="2601"/>
      <c r="F16" s="449"/>
      <c r="G16" s="2602"/>
      <c r="H16" s="451"/>
      <c r="I16" s="2602"/>
      <c r="J16" s="449"/>
      <c r="K16" s="2603"/>
      <c r="L16" s="1140"/>
      <c r="M16" s="1131"/>
      <c r="N16" s="1131"/>
      <c r="O16" s="1131"/>
      <c r="P16" s="3185"/>
      <c r="Q16" s="1811"/>
      <c r="R16" s="775"/>
      <c r="S16" s="776"/>
      <c r="T16" s="775"/>
      <c r="U16" s="776"/>
      <c r="V16" s="775"/>
      <c r="W16" s="776"/>
      <c r="X16" s="1814"/>
      <c r="Y16" s="3178"/>
      <c r="Z16" s="1815"/>
      <c r="AA16" s="1812">
        <v>1</v>
      </c>
      <c r="AB16" s="1812">
        <v>1</v>
      </c>
      <c r="AC16" s="1812">
        <v>1</v>
      </c>
    </row>
    <row r="17" spans="1:29" ht="128.25">
      <c r="A17" s="429"/>
      <c r="B17" s="452" t="s">
        <v>2096</v>
      </c>
      <c r="C17" s="2604" t="str">
        <f>估价对象房地状况!C6</f>
        <v>估价对象周边有371、462等公交线路并有8号线等，公共交通通达情况；项目自身有停车位、停车便捷程度较好，综合评价交通便捷度较好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185"/>
      <c r="Q17" s="1811" t="str">
        <f>B17</f>
        <v>交通便捷度</v>
      </c>
      <c r="R17" s="775" t="s">
        <v>21</v>
      </c>
      <c r="S17" s="776">
        <f>F17</f>
        <v>100</v>
      </c>
      <c r="T17" s="775" t="s">
        <v>21</v>
      </c>
      <c r="U17" s="776">
        <f>H17</f>
        <v>100</v>
      </c>
      <c r="V17" s="775" t="s">
        <v>21</v>
      </c>
      <c r="W17" s="776">
        <f>J17</f>
        <v>100</v>
      </c>
      <c r="X17" s="1814"/>
      <c r="Y17" s="3178"/>
      <c r="Z17" s="1815" t="str">
        <f>Q17</f>
        <v>交通便捷度</v>
      </c>
      <c r="AA17" s="1812">
        <f t="shared" si="3"/>
        <v>1</v>
      </c>
      <c r="AB17" s="1812">
        <f t="shared" si="4"/>
        <v>1</v>
      </c>
      <c r="AC17" s="1812">
        <f t="shared" si="5"/>
        <v>1</v>
      </c>
    </row>
    <row r="18" spans="1:29" ht="15">
      <c r="A18" s="429"/>
      <c r="B18" s="457"/>
      <c r="C18" s="2605"/>
      <c r="D18" s="451"/>
      <c r="E18" s="2606"/>
      <c r="F18" s="451"/>
      <c r="G18" s="2607"/>
      <c r="H18" s="449"/>
      <c r="I18" s="2607"/>
      <c r="J18" s="449"/>
      <c r="K18" s="2603"/>
      <c r="L18" s="1140"/>
      <c r="M18" s="1131"/>
      <c r="N18" s="1131"/>
      <c r="O18" s="1131"/>
      <c r="P18" s="3185"/>
      <c r="Q18" s="1811"/>
      <c r="R18" s="775"/>
      <c r="S18" s="776"/>
      <c r="T18" s="775"/>
      <c r="U18" s="776"/>
      <c r="V18" s="775"/>
      <c r="W18" s="776"/>
      <c r="X18" s="1814"/>
      <c r="Y18" s="3178"/>
      <c r="Z18" s="1815"/>
      <c r="AA18" s="1812">
        <v>1</v>
      </c>
      <c r="AB18" s="1812">
        <v>1</v>
      </c>
      <c r="AC18" s="1812">
        <v>1</v>
      </c>
    </row>
    <row r="19" spans="1:29" ht="71.25">
      <c r="A19" s="429"/>
      <c r="B19" s="452" t="s">
        <v>2094</v>
      </c>
      <c r="C19" s="2604" t="str">
        <f>估价对象房地状况!C7</f>
        <v>估价对象所在区域公共配套设施较齐备；综合评价公用设施及基础设施水平较好</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185"/>
      <c r="Q19" s="1811" t="str">
        <f>B19</f>
        <v>公共配套设施</v>
      </c>
      <c r="R19" s="775" t="s">
        <v>21</v>
      </c>
      <c r="S19" s="776">
        <f>F19</f>
        <v>100</v>
      </c>
      <c r="T19" s="775" t="s">
        <v>21</v>
      </c>
      <c r="U19" s="776">
        <f>H19</f>
        <v>100</v>
      </c>
      <c r="V19" s="775" t="s">
        <v>21</v>
      </c>
      <c r="W19" s="776">
        <f>J19</f>
        <v>100</v>
      </c>
      <c r="X19" s="1814"/>
      <c r="Y19" s="3178"/>
      <c r="Z19" s="1815" t="str">
        <f>Q19</f>
        <v>公共配套设施</v>
      </c>
      <c r="AA19" s="1812">
        <f t="shared" si="3"/>
        <v>1</v>
      </c>
      <c r="AB19" s="1812">
        <f t="shared" si="4"/>
        <v>1</v>
      </c>
      <c r="AC19" s="1812">
        <f t="shared" si="5"/>
        <v>1</v>
      </c>
    </row>
    <row r="20" spans="1:29" ht="15">
      <c r="A20" s="429"/>
      <c r="B20" s="457"/>
      <c r="C20" s="448"/>
      <c r="D20" s="449"/>
      <c r="E20" s="2601"/>
      <c r="F20" s="449"/>
      <c r="G20" s="2602"/>
      <c r="H20" s="449"/>
      <c r="I20" s="2602"/>
      <c r="J20" s="449"/>
      <c r="K20" s="2603"/>
      <c r="L20" s="1140"/>
      <c r="M20" s="1131"/>
      <c r="N20" s="1131"/>
      <c r="O20" s="1131"/>
      <c r="P20" s="3185"/>
      <c r="Q20" s="1811"/>
      <c r="R20" s="775"/>
      <c r="S20" s="776"/>
      <c r="T20" s="775"/>
      <c r="U20" s="776"/>
      <c r="V20" s="775"/>
      <c r="W20" s="776"/>
      <c r="X20" s="1814"/>
      <c r="Y20" s="3178"/>
      <c r="Z20" s="1815"/>
      <c r="AA20" s="1812">
        <v>1</v>
      </c>
      <c r="AB20" s="1812">
        <v>1</v>
      </c>
      <c r="AC20" s="1812">
        <v>1</v>
      </c>
    </row>
    <row r="21" spans="1:29" ht="28.5">
      <c r="A21" s="429"/>
      <c r="B21" s="1384" t="s">
        <v>2097</v>
      </c>
      <c r="C21" s="2604" t="str">
        <f>估价对象房地状况!C8</f>
        <v>基础设施水平七通一平；</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185"/>
      <c r="Q21" s="1811" t="str">
        <f>B21</f>
        <v>基础设施水平</v>
      </c>
      <c r="R21" s="775" t="s">
        <v>17</v>
      </c>
      <c r="S21" s="776">
        <f>F21</f>
        <v>100</v>
      </c>
      <c r="T21" s="775" t="s">
        <v>17</v>
      </c>
      <c r="U21" s="776">
        <f>H21</f>
        <v>100</v>
      </c>
      <c r="V21" s="775" t="s">
        <v>17</v>
      </c>
      <c r="W21" s="776">
        <f>J21</f>
        <v>100</v>
      </c>
      <c r="X21" s="1814"/>
      <c r="Y21" s="3178"/>
      <c r="Z21" s="1815" t="str">
        <f>Q21</f>
        <v>基础设施水平</v>
      </c>
      <c r="AA21" s="1812">
        <f t="shared" ref="AA21" si="8">D21/F21</f>
        <v>1</v>
      </c>
      <c r="AB21" s="1812">
        <f t="shared" ref="AB21" si="9">D21/H21</f>
        <v>1</v>
      </c>
      <c r="AC21" s="1812">
        <f t="shared" ref="AC21" si="10">D21/J21</f>
        <v>1</v>
      </c>
    </row>
    <row r="22" spans="1:29" ht="15">
      <c r="A22" s="429"/>
      <c r="B22" s="1384"/>
      <c r="C22" s="2605"/>
      <c r="D22" s="449"/>
      <c r="E22" s="448"/>
      <c r="F22" s="449"/>
      <c r="G22" s="2608"/>
      <c r="H22" s="449"/>
      <c r="I22" s="448"/>
      <c r="J22" s="449"/>
      <c r="K22" s="2609"/>
      <c r="L22" s="1140"/>
      <c r="M22" s="1131"/>
      <c r="N22" s="1131"/>
      <c r="O22" s="1131"/>
      <c r="P22" s="3185"/>
      <c r="Q22" s="1811"/>
      <c r="R22" s="775"/>
      <c r="S22" s="776"/>
      <c r="T22" s="775"/>
      <c r="U22" s="776"/>
      <c r="V22" s="775"/>
      <c r="W22" s="776"/>
      <c r="X22" s="1814"/>
      <c r="Y22" s="3178"/>
      <c r="Z22" s="1815"/>
      <c r="AA22" s="1812">
        <v>1</v>
      </c>
      <c r="AB22" s="1812">
        <v>1</v>
      </c>
      <c r="AC22" s="1812">
        <v>1</v>
      </c>
    </row>
    <row r="23" spans="1:29" ht="85.5">
      <c r="A23" s="429"/>
      <c r="B23" s="452" t="s">
        <v>2101</v>
      </c>
      <c r="C23" s="2604" t="str">
        <f>估价对象房地状况!C9</f>
        <v>区域自然环境：南店公园等；人文环境：北京石油管理干部学院；综合评价环境状况较好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185"/>
      <c r="Q23" s="1811" t="str">
        <f>B23</f>
        <v>自然及人文环境</v>
      </c>
      <c r="R23" s="775" t="s">
        <v>21</v>
      </c>
      <c r="S23" s="776">
        <f>F23</f>
        <v>100</v>
      </c>
      <c r="T23" s="775" t="s">
        <v>21</v>
      </c>
      <c r="U23" s="776">
        <f>H23</f>
        <v>100</v>
      </c>
      <c r="V23" s="775" t="s">
        <v>21</v>
      </c>
      <c r="W23" s="776">
        <f>J23</f>
        <v>100</v>
      </c>
      <c r="X23" s="1814"/>
      <c r="Y23" s="3178"/>
      <c r="Z23" s="1815" t="str">
        <f>Q23</f>
        <v>自然及人文环境</v>
      </c>
      <c r="AA23" s="1812">
        <f>D23/F23</f>
        <v>1</v>
      </c>
      <c r="AB23" s="1812">
        <f>D23/H23</f>
        <v>1</v>
      </c>
      <c r="AC23" s="1812">
        <f>D23/J23</f>
        <v>1</v>
      </c>
    </row>
    <row r="24" spans="1:29" ht="15">
      <c r="A24" s="429"/>
      <c r="B24" s="457"/>
      <c r="C24" s="448"/>
      <c r="D24" s="449"/>
      <c r="E24" s="2601"/>
      <c r="F24" s="449"/>
      <c r="G24" s="2602"/>
      <c r="H24" s="449"/>
      <c r="I24" s="2602"/>
      <c r="J24" s="449"/>
      <c r="K24" s="2603"/>
      <c r="L24" s="1140"/>
      <c r="M24" s="1131"/>
      <c r="N24" s="1131"/>
      <c r="O24" s="1131"/>
      <c r="P24" s="3185"/>
      <c r="Q24" s="1811"/>
      <c r="R24" s="775"/>
      <c r="S24" s="776"/>
      <c r="T24" s="775"/>
      <c r="U24" s="776"/>
      <c r="V24" s="775"/>
      <c r="W24" s="776"/>
      <c r="X24" s="1814"/>
      <c r="Y24" s="3178"/>
      <c r="Z24" s="1815"/>
      <c r="AA24" s="1812">
        <v>1</v>
      </c>
      <c r="AB24" s="1812">
        <v>1</v>
      </c>
      <c r="AC24" s="1812">
        <v>1</v>
      </c>
    </row>
    <row r="25" spans="1:29" ht="15">
      <c r="A25" s="429"/>
      <c r="B25" s="423" t="s">
        <v>2559</v>
      </c>
      <c r="C25" s="461"/>
      <c r="D25" s="436">
        <v>100</v>
      </c>
      <c r="E25" s="2610"/>
      <c r="F25" s="436">
        <f>SUMIF(86:86,E25,87:87)-SUMIF(86:86,C25,87:87)+100</f>
        <v>100</v>
      </c>
      <c r="G25" s="2611"/>
      <c r="H25" s="436">
        <f>SUMIF(86:86,G25,87:87)-SUMIF(86:86,C25,87:87)+100</f>
        <v>100</v>
      </c>
      <c r="I25" s="2611"/>
      <c r="J25" s="436">
        <f>SUMIF(86:86,I25,87:87)-SUMIF(86:86,C25,87:87)+100</f>
        <v>100</v>
      </c>
      <c r="K25" s="427"/>
      <c r="L25" s="1140"/>
      <c r="M25" s="1131"/>
      <c r="N25" s="1131"/>
      <c r="O25" s="1131"/>
      <c r="P25" s="3185"/>
      <c r="Q25" s="1811" t="str">
        <f t="shared" ref="Q25:Q46" si="11">B25</f>
        <v>楼层-1</v>
      </c>
      <c r="R25" s="775" t="s">
        <v>21</v>
      </c>
      <c r="S25" s="776">
        <f t="shared" ref="S25:S46" si="12">F25</f>
        <v>100</v>
      </c>
      <c r="T25" s="775" t="s">
        <v>21</v>
      </c>
      <c r="U25" s="776">
        <f t="shared" ref="U25:U46" si="13">H25</f>
        <v>100</v>
      </c>
      <c r="V25" s="775" t="s">
        <v>21</v>
      </c>
      <c r="W25" s="776">
        <f t="shared" ref="W25:W46" si="14">J25</f>
        <v>100</v>
      </c>
      <c r="X25" s="1814"/>
      <c r="Y25" s="3178"/>
      <c r="Z25" s="1815" t="str">
        <f>Q25</f>
        <v>楼层-1</v>
      </c>
      <c r="AA25" s="1812">
        <f t="shared" ref="AA25:AA46" si="15">D25/F25</f>
        <v>1</v>
      </c>
      <c r="AB25" s="1812">
        <f t="shared" ref="AB25:AB46" si="16">D25/H25</f>
        <v>1</v>
      </c>
      <c r="AC25" s="1812">
        <f t="shared" ref="AC25:AC46" si="17">D25/J25</f>
        <v>1</v>
      </c>
    </row>
    <row r="26" spans="1:29" ht="15">
      <c r="A26" s="429"/>
      <c r="B26" s="423" t="s">
        <v>2560</v>
      </c>
      <c r="C26" s="461"/>
      <c r="D26" s="436">
        <v>100</v>
      </c>
      <c r="E26" s="2610"/>
      <c r="F26" s="436">
        <f>SUMIF(88:88,E26,89:89)-SUMIF(88:88,C26,89:89)+100</f>
        <v>100</v>
      </c>
      <c r="G26" s="2611"/>
      <c r="H26" s="436">
        <f>SUMIF(88:88,G26,89:89)-SUMIF(88:88,C26,89:89)+100</f>
        <v>100</v>
      </c>
      <c r="I26" s="2611"/>
      <c r="J26" s="436">
        <f>SUMIF(88:88,I26,89:89)-SUMIF(88:88,C26,89:89)+100</f>
        <v>100</v>
      </c>
      <c r="K26" s="427"/>
      <c r="L26" s="1140"/>
      <c r="M26" s="1131"/>
      <c r="N26" s="1131"/>
      <c r="O26" s="1131"/>
      <c r="P26" s="3185"/>
      <c r="Q26" s="1811" t="str">
        <f t="shared" si="11"/>
        <v>朝向</v>
      </c>
      <c r="R26" s="775" t="s">
        <v>21</v>
      </c>
      <c r="S26" s="776">
        <f t="shared" si="12"/>
        <v>100</v>
      </c>
      <c r="T26" s="775" t="s">
        <v>21</v>
      </c>
      <c r="U26" s="776">
        <f t="shared" si="13"/>
        <v>100</v>
      </c>
      <c r="V26" s="775" t="s">
        <v>21</v>
      </c>
      <c r="W26" s="776">
        <f t="shared" si="14"/>
        <v>100</v>
      </c>
      <c r="X26" s="1814"/>
      <c r="Y26" s="3178"/>
      <c r="Z26" s="1815" t="str">
        <f>Q26</f>
        <v>朝向</v>
      </c>
      <c r="AA26" s="1812">
        <f t="shared" si="15"/>
        <v>1</v>
      </c>
      <c r="AB26" s="1812">
        <f t="shared" si="16"/>
        <v>1</v>
      </c>
      <c r="AC26" s="1812">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598"/>
      <c r="L27" s="1132"/>
      <c r="M27" s="1133"/>
      <c r="N27" s="1133"/>
      <c r="O27" s="1133"/>
      <c r="P27" s="3185"/>
      <c r="Q27" s="1796">
        <f t="shared" si="11"/>
        <v>111</v>
      </c>
      <c r="R27" s="771" t="s">
        <v>21</v>
      </c>
      <c r="S27" s="772">
        <f t="shared" si="12"/>
        <v>100</v>
      </c>
      <c r="T27" s="771" t="s">
        <v>21</v>
      </c>
      <c r="U27" s="772">
        <f t="shared" si="13"/>
        <v>100</v>
      </c>
      <c r="V27" s="771" t="s">
        <v>21</v>
      </c>
      <c r="W27" s="772">
        <f t="shared" si="14"/>
        <v>100</v>
      </c>
      <c r="X27" s="773"/>
      <c r="Y27" s="3178"/>
      <c r="Z27" s="55">
        <f>Q27</f>
        <v>111</v>
      </c>
      <c r="AA27" s="1812">
        <f t="shared" si="15"/>
        <v>1</v>
      </c>
      <c r="AB27" s="1812">
        <f t="shared" si="16"/>
        <v>1</v>
      </c>
      <c r="AC27" s="1812">
        <f t="shared" si="17"/>
        <v>1</v>
      </c>
    </row>
    <row r="28" spans="1:29" ht="15">
      <c r="A28" s="429"/>
      <c r="B28" s="1386">
        <v>111</v>
      </c>
      <c r="C28" s="435"/>
      <c r="D28" s="436">
        <v>100</v>
      </c>
      <c r="E28" s="435"/>
      <c r="F28" s="436">
        <f>SUMIF(92:92,E28,93:93)-SUMIF(92:92,C28,93:93)+100</f>
        <v>100</v>
      </c>
      <c r="G28" s="2612"/>
      <c r="H28" s="436">
        <f>SUMIF(92:92,G28,93:93)-SUMIF(92:92,C28,93:93)+100</f>
        <v>100</v>
      </c>
      <c r="I28" s="435"/>
      <c r="J28" s="436">
        <f>SUMIF(92:92,I28,93:93)-SUMIF(92:92,C28,93:93)+100</f>
        <v>100</v>
      </c>
      <c r="K28" s="2598"/>
      <c r="L28" s="1140"/>
      <c r="M28" s="1131"/>
      <c r="N28" s="1131"/>
      <c r="O28" s="1131"/>
      <c r="P28" s="3185"/>
      <c r="Q28" s="1811">
        <f t="shared" si="11"/>
        <v>111</v>
      </c>
      <c r="R28" s="775" t="s">
        <v>21</v>
      </c>
      <c r="S28" s="776">
        <f t="shared" si="12"/>
        <v>100</v>
      </c>
      <c r="T28" s="775" t="s">
        <v>21</v>
      </c>
      <c r="U28" s="776">
        <f t="shared" si="13"/>
        <v>100</v>
      </c>
      <c r="V28" s="775" t="s">
        <v>21</v>
      </c>
      <c r="W28" s="776">
        <f t="shared" si="14"/>
        <v>100</v>
      </c>
      <c r="X28" s="1814"/>
      <c r="Y28" s="3178"/>
      <c r="Z28" s="1815">
        <f t="shared" ref="Z28:Z46" si="18">Q28</f>
        <v>111</v>
      </c>
      <c r="AA28" s="1812">
        <f t="shared" si="15"/>
        <v>1</v>
      </c>
      <c r="AB28" s="1812">
        <f t="shared" si="16"/>
        <v>1</v>
      </c>
      <c r="AC28" s="1812">
        <f t="shared" si="17"/>
        <v>1</v>
      </c>
    </row>
    <row r="29" spans="1:29" ht="15">
      <c r="A29" s="429"/>
      <c r="B29" s="1386">
        <v>111</v>
      </c>
      <c r="C29" s="435"/>
      <c r="D29" s="436">
        <v>100</v>
      </c>
      <c r="E29" s="435"/>
      <c r="F29" s="436">
        <f>SUMIF(94:94,E29,95:95)-SUMIF(94:94,C29,95:95)+100</f>
        <v>100</v>
      </c>
      <c r="G29" s="2612"/>
      <c r="H29" s="436">
        <f>SUMIF(94:94,G29,95:95)-SUMIF(94:94,C29,95:95)+100</f>
        <v>100</v>
      </c>
      <c r="I29" s="435"/>
      <c r="J29" s="436">
        <f>SUMIF(94:94,I29,95:95)-SUMIF(94:94,C29,95:95)+100</f>
        <v>100</v>
      </c>
      <c r="K29" s="2598"/>
      <c r="L29" s="1140"/>
      <c r="M29" s="1131"/>
      <c r="N29" s="1131"/>
      <c r="O29" s="1131"/>
      <c r="P29" s="3185"/>
      <c r="Q29" s="1811">
        <f t="shared" si="11"/>
        <v>111</v>
      </c>
      <c r="R29" s="775" t="s">
        <v>21</v>
      </c>
      <c r="S29" s="776">
        <f t="shared" si="12"/>
        <v>100</v>
      </c>
      <c r="T29" s="775" t="s">
        <v>21</v>
      </c>
      <c r="U29" s="776">
        <f t="shared" si="13"/>
        <v>100</v>
      </c>
      <c r="V29" s="775" t="s">
        <v>21</v>
      </c>
      <c r="W29" s="776">
        <f t="shared" si="14"/>
        <v>100</v>
      </c>
      <c r="X29" s="1814"/>
      <c r="Y29" s="3178"/>
      <c r="Z29" s="1815">
        <f t="shared" si="18"/>
        <v>111</v>
      </c>
      <c r="AA29" s="1812">
        <f t="shared" si="15"/>
        <v>1</v>
      </c>
      <c r="AB29" s="1812">
        <f t="shared" si="16"/>
        <v>1</v>
      </c>
      <c r="AC29" s="1812">
        <f t="shared" si="17"/>
        <v>1</v>
      </c>
    </row>
    <row r="30" spans="1:29" ht="15">
      <c r="A30" s="429"/>
      <c r="B30" s="1386">
        <v>111</v>
      </c>
      <c r="C30" s="435"/>
      <c r="D30" s="436">
        <v>100</v>
      </c>
      <c r="E30" s="435"/>
      <c r="F30" s="436">
        <f>SUMIF(96:96,E30,97:97)-SUMIF(96:96,C30,97:97)+100</f>
        <v>100</v>
      </c>
      <c r="G30" s="2612"/>
      <c r="H30" s="436">
        <f>SUMIF(96:96,G30,97:97)-SUMIF(96:96,C30,97:97)+100</f>
        <v>100</v>
      </c>
      <c r="I30" s="435"/>
      <c r="J30" s="436">
        <f>SUMIF(96:96,I30,97:97)-SUMIF(96:96,C30,97:97)+100</f>
        <v>100</v>
      </c>
      <c r="K30" s="2598"/>
      <c r="L30" s="1140"/>
      <c r="M30" s="1131"/>
      <c r="N30" s="1131"/>
      <c r="O30" s="1131"/>
      <c r="P30" s="3185"/>
      <c r="Q30" s="1811">
        <f t="shared" si="11"/>
        <v>111</v>
      </c>
      <c r="R30" s="775" t="s">
        <v>21</v>
      </c>
      <c r="S30" s="776">
        <f t="shared" si="12"/>
        <v>100</v>
      </c>
      <c r="T30" s="775" t="s">
        <v>21</v>
      </c>
      <c r="U30" s="776">
        <f t="shared" si="13"/>
        <v>100</v>
      </c>
      <c r="V30" s="775" t="s">
        <v>21</v>
      </c>
      <c r="W30" s="776">
        <f t="shared" si="14"/>
        <v>100</v>
      </c>
      <c r="X30" s="1814"/>
      <c r="Y30" s="3178"/>
      <c r="Z30" s="1815">
        <f t="shared" si="18"/>
        <v>111</v>
      </c>
      <c r="AA30" s="1812">
        <f t="shared" si="15"/>
        <v>1</v>
      </c>
      <c r="AB30" s="1812">
        <f t="shared" si="16"/>
        <v>1</v>
      </c>
      <c r="AC30" s="1812">
        <f t="shared" si="17"/>
        <v>1</v>
      </c>
    </row>
    <row r="31" spans="1:29" ht="15.75" thickBot="1">
      <c r="A31" s="437"/>
      <c r="B31" s="1386">
        <v>111</v>
      </c>
      <c r="C31" s="438"/>
      <c r="D31" s="439">
        <v>100</v>
      </c>
      <c r="E31" s="438"/>
      <c r="F31" s="439">
        <f>SUMIF(98:98,E31,99:99)-SUMIF(98:98,C31,99:99)+100</f>
        <v>100</v>
      </c>
      <c r="G31" s="2613"/>
      <c r="H31" s="439">
        <f>SUMIF(98:98,G31,99:99)-SUMIF(98:98,C31,99:99)+100</f>
        <v>100</v>
      </c>
      <c r="I31" s="438"/>
      <c r="J31" s="439">
        <f>SUMIF(98:98,I31,99:99)-SUMIF(98:98,C31,99:99)+100</f>
        <v>100</v>
      </c>
      <c r="K31" s="2598"/>
      <c r="L31" s="1140"/>
      <c r="M31" s="1131"/>
      <c r="N31" s="1131"/>
      <c r="O31" s="1131"/>
      <c r="P31" s="3185"/>
      <c r="Q31" s="1811">
        <f t="shared" si="11"/>
        <v>111</v>
      </c>
      <c r="R31" s="775" t="s">
        <v>21</v>
      </c>
      <c r="S31" s="776">
        <f t="shared" si="12"/>
        <v>100</v>
      </c>
      <c r="T31" s="775" t="s">
        <v>21</v>
      </c>
      <c r="U31" s="776">
        <f t="shared" si="13"/>
        <v>100</v>
      </c>
      <c r="V31" s="775" t="s">
        <v>21</v>
      </c>
      <c r="W31" s="776">
        <f t="shared" si="14"/>
        <v>100</v>
      </c>
      <c r="X31" s="1814"/>
      <c r="Y31" s="3178"/>
      <c r="Z31" s="1815">
        <f t="shared" si="18"/>
        <v>111</v>
      </c>
      <c r="AA31" s="1812">
        <f t="shared" si="15"/>
        <v>1</v>
      </c>
      <c r="AB31" s="1812">
        <f t="shared" si="16"/>
        <v>1</v>
      </c>
      <c r="AC31" s="1812">
        <f t="shared" si="17"/>
        <v>1</v>
      </c>
    </row>
    <row r="32" spans="1:29" ht="15">
      <c r="A32" s="441" t="s">
        <v>2561</v>
      </c>
      <c r="B32" s="71" t="s">
        <v>2562</v>
      </c>
      <c r="C32" s="2614"/>
      <c r="D32" s="468">
        <v>100</v>
      </c>
      <c r="E32" s="2615"/>
      <c r="F32" s="462">
        <f>SUMIF(100:100,E32,101:101)-SUMIF(100:100,C32,101:101)+100</f>
        <v>100</v>
      </c>
      <c r="G32" s="2614"/>
      <c r="H32" s="468">
        <f>SUMIF(100:100,G32,101:101)-SUMIF(100:100,C32,101:101)+100</f>
        <v>100</v>
      </c>
      <c r="I32" s="2615"/>
      <c r="J32" s="436">
        <f>SUMIF(100:100,I32,101:101)-SUMIF(100:100,C32,101:101)+100</f>
        <v>100</v>
      </c>
      <c r="K32" s="427"/>
      <c r="L32" s="1140"/>
      <c r="M32" s="1131"/>
      <c r="N32" s="1131"/>
      <c r="O32" s="1131"/>
      <c r="P32" s="3179" t="s">
        <v>2563</v>
      </c>
      <c r="Q32" s="1811" t="str">
        <f t="shared" si="11"/>
        <v>建筑类型</v>
      </c>
      <c r="R32" s="775" t="s">
        <v>21</v>
      </c>
      <c r="S32" s="776">
        <f t="shared" si="12"/>
        <v>100</v>
      </c>
      <c r="T32" s="775" t="s">
        <v>21</v>
      </c>
      <c r="U32" s="776">
        <f t="shared" si="13"/>
        <v>100</v>
      </c>
      <c r="V32" s="775" t="s">
        <v>21</v>
      </c>
      <c r="W32" s="776">
        <f t="shared" si="14"/>
        <v>100</v>
      </c>
      <c r="X32" s="1814"/>
      <c r="Y32" s="3182" t="s">
        <v>2563</v>
      </c>
      <c r="Z32" s="1815" t="str">
        <f t="shared" si="18"/>
        <v>建筑类型</v>
      </c>
      <c r="AA32" s="1812">
        <f t="shared" si="15"/>
        <v>1</v>
      </c>
      <c r="AB32" s="1812">
        <f t="shared" si="16"/>
        <v>1</v>
      </c>
      <c r="AC32" s="1812">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8"/>
      <c r="L33" s="1138"/>
      <c r="M33" s="1141"/>
      <c r="N33" s="1141"/>
      <c r="O33" s="1141"/>
      <c r="P33" s="3180"/>
      <c r="Q33" s="777" t="str">
        <f t="shared" si="11"/>
        <v>项目建筑规模</v>
      </c>
      <c r="R33" s="778" t="s">
        <v>21</v>
      </c>
      <c r="S33" s="779" t="e">
        <f t="shared" si="12"/>
        <v>#N/A</v>
      </c>
      <c r="T33" s="778" t="s">
        <v>21</v>
      </c>
      <c r="U33" s="779" t="e">
        <f t="shared" si="13"/>
        <v>#N/A</v>
      </c>
      <c r="V33" s="778" t="s">
        <v>21</v>
      </c>
      <c r="W33" s="779" t="e">
        <f t="shared" si="14"/>
        <v>#N/A</v>
      </c>
      <c r="X33" s="780"/>
      <c r="Y33" s="3182"/>
      <c r="Z33" s="781" t="str">
        <f t="shared" si="18"/>
        <v>项目建筑规模</v>
      </c>
      <c r="AA33" s="1812" t="e">
        <f t="shared" si="15"/>
        <v>#N/A</v>
      </c>
      <c r="AB33" s="1812" t="e">
        <f t="shared" si="16"/>
        <v>#N/A</v>
      </c>
      <c r="AC33" s="1812" t="e">
        <f t="shared" si="17"/>
        <v>#N/A</v>
      </c>
    </row>
    <row r="34" spans="1:29" ht="15">
      <c r="A34" s="473"/>
      <c r="B34" s="423" t="s">
        <v>2565</v>
      </c>
      <c r="C34" s="2616"/>
      <c r="D34" s="436">
        <v>100</v>
      </c>
      <c r="E34" s="2617"/>
      <c r="F34" s="462">
        <f>SUMIF(105:105,E34,106:106)-SUMIF(105:105,C34,106:106)+100</f>
        <v>100</v>
      </c>
      <c r="G34" s="2616"/>
      <c r="H34" s="436">
        <f>SUMIF(105:105,G34,106:106)-SUMIF(105:105,C34,106:106)+100</f>
        <v>100</v>
      </c>
      <c r="I34" s="2617"/>
      <c r="J34" s="436">
        <f>SUMIF(105:105,I34,106:106)-SUMIF(105:105,C34,106:106)+100</f>
        <v>100</v>
      </c>
      <c r="K34" s="427"/>
      <c r="L34" s="1140"/>
      <c r="M34" s="1131"/>
      <c r="N34" s="1131"/>
      <c r="O34" s="1131"/>
      <c r="P34" s="3180"/>
      <c r="Q34" s="1811" t="str">
        <f t="shared" si="11"/>
        <v>建筑结构</v>
      </c>
      <c r="R34" s="775" t="s">
        <v>21</v>
      </c>
      <c r="S34" s="776">
        <f t="shared" si="12"/>
        <v>100</v>
      </c>
      <c r="T34" s="775" t="s">
        <v>21</v>
      </c>
      <c r="U34" s="776">
        <f t="shared" si="13"/>
        <v>100</v>
      </c>
      <c r="V34" s="775" t="s">
        <v>21</v>
      </c>
      <c r="W34" s="776">
        <f t="shared" si="14"/>
        <v>100</v>
      </c>
      <c r="X34" s="1814"/>
      <c r="Y34" s="3182"/>
      <c r="Z34" s="1815" t="str">
        <f t="shared" si="18"/>
        <v>建筑结构</v>
      </c>
      <c r="AA34" s="1812">
        <f t="shared" si="15"/>
        <v>1</v>
      </c>
      <c r="AB34" s="1812">
        <f t="shared" si="16"/>
        <v>1</v>
      </c>
      <c r="AC34" s="1812">
        <f t="shared" si="17"/>
        <v>1</v>
      </c>
    </row>
    <row r="35" spans="1:29" ht="15">
      <c r="A35" s="473"/>
      <c r="B35" s="423" t="s">
        <v>2566</v>
      </c>
      <c r="C35" s="2610"/>
      <c r="D35" s="436">
        <v>100</v>
      </c>
      <c r="E35" s="2611"/>
      <c r="F35" s="462">
        <f>SUMIF(107:107,E35,108:108)-SUMIF(107:107,C35,108:108)+100</f>
        <v>100</v>
      </c>
      <c r="G35" s="2610"/>
      <c r="H35" s="436">
        <f>SUMIF(107:107,G35,108:108)-SUMIF(107:107,C35,108:108)+100</f>
        <v>100</v>
      </c>
      <c r="I35" s="2611"/>
      <c r="J35" s="436">
        <f>SUMIF(107:107,I35,108:108)-SUMIF(107:107,C35,108:108)+100</f>
        <v>100</v>
      </c>
      <c r="K35" s="427"/>
      <c r="L35" s="1140"/>
      <c r="M35" s="1131"/>
      <c r="N35" s="1131"/>
      <c r="O35" s="1131"/>
      <c r="P35" s="3180"/>
      <c r="Q35" s="1811" t="str">
        <f t="shared" si="11"/>
        <v>建筑品质</v>
      </c>
      <c r="R35" s="775" t="s">
        <v>21</v>
      </c>
      <c r="S35" s="776">
        <f t="shared" si="12"/>
        <v>100</v>
      </c>
      <c r="T35" s="775" t="s">
        <v>21</v>
      </c>
      <c r="U35" s="776">
        <f t="shared" si="13"/>
        <v>100</v>
      </c>
      <c r="V35" s="775" t="s">
        <v>21</v>
      </c>
      <c r="W35" s="776">
        <f t="shared" si="14"/>
        <v>100</v>
      </c>
      <c r="X35" s="1814"/>
      <c r="Y35" s="3182"/>
      <c r="Z35" s="1815" t="str">
        <f t="shared" si="18"/>
        <v>建筑品质</v>
      </c>
      <c r="AA35" s="1812">
        <f t="shared" si="15"/>
        <v>1</v>
      </c>
      <c r="AB35" s="1812">
        <f t="shared" si="16"/>
        <v>1</v>
      </c>
      <c r="AC35" s="1812">
        <f t="shared" si="17"/>
        <v>1</v>
      </c>
    </row>
    <row r="36" spans="1:29" ht="15">
      <c r="A36" s="473"/>
      <c r="B36" s="423" t="s">
        <v>2567</v>
      </c>
      <c r="C36" s="2610"/>
      <c r="D36" s="436">
        <v>100</v>
      </c>
      <c r="E36" s="2611"/>
      <c r="F36" s="462">
        <f>SUMIF(109:109,E36,110:110)-SUMIF(109:109,C36,110:110)+100</f>
        <v>100</v>
      </c>
      <c r="G36" s="2610"/>
      <c r="H36" s="436">
        <f>SUMIF(109:109,G36,110:110)-SUMIF(109:109,C36,110:110)+100</f>
        <v>100</v>
      </c>
      <c r="I36" s="2611"/>
      <c r="J36" s="436">
        <f>SUMIF(109:109,I36,110:110)-SUMIF(109:109,C36,110:110)+100</f>
        <v>100</v>
      </c>
      <c r="K36" s="427"/>
      <c r="L36" s="1140"/>
      <c r="M36" s="1131"/>
      <c r="N36" s="1131"/>
      <c r="O36" s="1131"/>
      <c r="P36" s="3180"/>
      <c r="Q36" s="1811" t="str">
        <f t="shared" si="11"/>
        <v>公共部分装修</v>
      </c>
      <c r="R36" s="775" t="s">
        <v>21</v>
      </c>
      <c r="S36" s="776">
        <f t="shared" si="12"/>
        <v>100</v>
      </c>
      <c r="T36" s="775" t="s">
        <v>21</v>
      </c>
      <c r="U36" s="776">
        <f t="shared" si="13"/>
        <v>100</v>
      </c>
      <c r="V36" s="775" t="s">
        <v>21</v>
      </c>
      <c r="W36" s="776">
        <f t="shared" si="14"/>
        <v>100</v>
      </c>
      <c r="X36" s="1814"/>
      <c r="Y36" s="3182"/>
      <c r="Z36" s="1815" t="str">
        <f t="shared" si="18"/>
        <v>公共部分装修</v>
      </c>
      <c r="AA36" s="1812">
        <f t="shared" si="15"/>
        <v>1</v>
      </c>
      <c r="AB36" s="1812">
        <f t="shared" si="16"/>
        <v>1</v>
      </c>
      <c r="AC36" s="1812">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180"/>
      <c r="Q37" s="1796" t="str">
        <f t="shared" si="11"/>
        <v>成新度</v>
      </c>
      <c r="R37" s="771" t="s">
        <v>21</v>
      </c>
      <c r="S37" s="772" t="e">
        <f t="shared" si="12"/>
        <v>#N/A</v>
      </c>
      <c r="T37" s="771" t="s">
        <v>21</v>
      </c>
      <c r="U37" s="772" t="e">
        <f t="shared" si="13"/>
        <v>#N/A</v>
      </c>
      <c r="V37" s="771" t="s">
        <v>21</v>
      </c>
      <c r="W37" s="772" t="e">
        <f t="shared" si="14"/>
        <v>#N/A</v>
      </c>
      <c r="X37" s="773"/>
      <c r="Y37" s="3182"/>
      <c r="Z37" s="55" t="str">
        <f t="shared" si="18"/>
        <v>成新度</v>
      </c>
      <c r="AA37" s="774" t="e">
        <f t="shared" si="15"/>
        <v>#N/A</v>
      </c>
      <c r="AB37" s="774" t="e">
        <f t="shared" si="16"/>
        <v>#N/A</v>
      </c>
      <c r="AC37" s="774" t="e">
        <f t="shared" si="17"/>
        <v>#N/A</v>
      </c>
    </row>
    <row r="38" spans="1:29" ht="15">
      <c r="A38" s="473"/>
      <c r="B38" s="423" t="s">
        <v>2569</v>
      </c>
      <c r="C38" s="2610"/>
      <c r="D38" s="436">
        <v>100</v>
      </c>
      <c r="E38" s="2611"/>
      <c r="F38" s="462">
        <f>SUMIF(114:114,E38,115:115)-SUMIF(114:114,C38,115:115)+100</f>
        <v>100</v>
      </c>
      <c r="G38" s="2610"/>
      <c r="H38" s="436">
        <f>SUMIF(114:114,G38,115:115)-SUMIF(114:114,C38,115:115)+100</f>
        <v>100</v>
      </c>
      <c r="I38" s="2611"/>
      <c r="J38" s="436">
        <f>SUMIF(114:114,I38,115:115)-SUMIF(114:114,C38,115:115)+100</f>
        <v>100</v>
      </c>
      <c r="K38" s="427"/>
      <c r="L38" s="1140"/>
      <c r="M38" s="1131"/>
      <c r="N38" s="1131"/>
      <c r="O38" s="1131"/>
      <c r="P38" s="3180" t="s">
        <v>2563</v>
      </c>
      <c r="Q38" s="1811" t="str">
        <f t="shared" si="11"/>
        <v>物业管理</v>
      </c>
      <c r="R38" s="775" t="s">
        <v>21</v>
      </c>
      <c r="S38" s="776">
        <f t="shared" si="12"/>
        <v>100</v>
      </c>
      <c r="T38" s="775" t="s">
        <v>21</v>
      </c>
      <c r="U38" s="776">
        <f t="shared" si="13"/>
        <v>100</v>
      </c>
      <c r="V38" s="775" t="s">
        <v>21</v>
      </c>
      <c r="W38" s="776">
        <f t="shared" si="14"/>
        <v>100</v>
      </c>
      <c r="X38" s="1814"/>
      <c r="Y38" s="3182" t="s">
        <v>2563</v>
      </c>
      <c r="Z38" s="1815" t="str">
        <f t="shared" si="18"/>
        <v>物业管理</v>
      </c>
      <c r="AA38" s="1812">
        <f t="shared" si="15"/>
        <v>1</v>
      </c>
      <c r="AB38" s="1812">
        <f t="shared" si="16"/>
        <v>1</v>
      </c>
      <c r="AC38" s="1812">
        <f t="shared" si="17"/>
        <v>1</v>
      </c>
    </row>
    <row r="39" spans="1:29" ht="15">
      <c r="A39" s="473"/>
      <c r="B39" s="423" t="s">
        <v>2570</v>
      </c>
      <c r="C39" s="2610"/>
      <c r="D39" s="436">
        <v>100</v>
      </c>
      <c r="E39" s="2611"/>
      <c r="F39" s="462">
        <f>SUMIF(116:116,E39,117:117)-SUMIF(116:116,C39,117:117)+100</f>
        <v>100</v>
      </c>
      <c r="G39" s="2610"/>
      <c r="H39" s="436">
        <f>SUMIF(116:116,G39,117:117)-SUMIF(116:116,C39,117:117)+100</f>
        <v>100</v>
      </c>
      <c r="I39" s="2611"/>
      <c r="J39" s="436">
        <f>SUMIF(116:116,I39,117:117)-SUMIF(116:116,C39,117:117)+100</f>
        <v>100</v>
      </c>
      <c r="K39" s="427"/>
      <c r="L39" s="1140"/>
      <c r="M39" s="1131"/>
      <c r="N39" s="1131"/>
      <c r="O39" s="1131"/>
      <c r="P39" s="3180"/>
      <c r="Q39" s="1811" t="str">
        <f t="shared" si="11"/>
        <v>市政基础设施</v>
      </c>
      <c r="R39" s="775" t="s">
        <v>21</v>
      </c>
      <c r="S39" s="776">
        <f t="shared" si="12"/>
        <v>100</v>
      </c>
      <c r="T39" s="775" t="s">
        <v>21</v>
      </c>
      <c r="U39" s="776">
        <f t="shared" si="13"/>
        <v>100</v>
      </c>
      <c r="V39" s="775" t="s">
        <v>21</v>
      </c>
      <c r="W39" s="776">
        <f t="shared" si="14"/>
        <v>100</v>
      </c>
      <c r="X39" s="1814"/>
      <c r="Y39" s="3182"/>
      <c r="Z39" s="1815" t="str">
        <f t="shared" si="18"/>
        <v>市政基础设施</v>
      </c>
      <c r="AA39" s="1812">
        <f t="shared" si="15"/>
        <v>1</v>
      </c>
      <c r="AB39" s="1812">
        <f t="shared" si="16"/>
        <v>1</v>
      </c>
      <c r="AC39" s="1812">
        <f t="shared" si="17"/>
        <v>1</v>
      </c>
    </row>
    <row r="40" spans="1:29" ht="15">
      <c r="A40" s="473"/>
      <c r="B40" s="423" t="s">
        <v>2571</v>
      </c>
      <c r="C40" s="2610"/>
      <c r="D40" s="436">
        <v>100</v>
      </c>
      <c r="E40" s="2611"/>
      <c r="F40" s="462">
        <f>SUMIF(118:118,E40,119:119)-SUMIF(118:118,C40,119:119)+100</f>
        <v>100</v>
      </c>
      <c r="G40" s="2610"/>
      <c r="H40" s="436">
        <f>SUMIF(118:118,G40,119:119)-SUMIF(118:118,C40,119:119)+100</f>
        <v>100</v>
      </c>
      <c r="I40" s="2611"/>
      <c r="J40" s="436">
        <f>SUMIF(118:118,I40,119:119)-SUMIF(118:118,C40,119:119)+100</f>
        <v>100</v>
      </c>
      <c r="K40" s="427"/>
      <c r="L40" s="1140"/>
      <c r="M40" s="1131"/>
      <c r="N40" s="1131"/>
      <c r="O40" s="1131"/>
      <c r="P40" s="3180"/>
      <c r="Q40" s="1811" t="str">
        <f t="shared" si="11"/>
        <v>房型</v>
      </c>
      <c r="R40" s="775" t="s">
        <v>21</v>
      </c>
      <c r="S40" s="776">
        <f t="shared" si="12"/>
        <v>100</v>
      </c>
      <c r="T40" s="775" t="s">
        <v>21</v>
      </c>
      <c r="U40" s="776">
        <f t="shared" si="13"/>
        <v>100</v>
      </c>
      <c r="V40" s="775" t="s">
        <v>21</v>
      </c>
      <c r="W40" s="776">
        <f t="shared" si="14"/>
        <v>100</v>
      </c>
      <c r="X40" s="1814"/>
      <c r="Y40" s="3182"/>
      <c r="Z40" s="1815" t="str">
        <f t="shared" si="18"/>
        <v>房型</v>
      </c>
      <c r="AA40" s="1812">
        <f t="shared" si="15"/>
        <v>1</v>
      </c>
      <c r="AB40" s="1812">
        <f t="shared" si="16"/>
        <v>1</v>
      </c>
      <c r="AC40" s="1812">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8"/>
      <c r="L41" s="1138"/>
      <c r="M41" s="1141"/>
      <c r="N41" s="1141"/>
      <c r="O41" s="1141"/>
      <c r="P41" s="3180"/>
      <c r="Q41" s="777" t="str">
        <f t="shared" si="11"/>
        <v>单套/主力户型建筑面积</v>
      </c>
      <c r="R41" s="778" t="s">
        <v>21</v>
      </c>
      <c r="S41" s="779">
        <f t="shared" si="12"/>
        <v>100</v>
      </c>
      <c r="T41" s="778" t="s">
        <v>21</v>
      </c>
      <c r="U41" s="779">
        <f t="shared" si="13"/>
        <v>100</v>
      </c>
      <c r="V41" s="778" t="s">
        <v>21</v>
      </c>
      <c r="W41" s="779">
        <f t="shared" si="14"/>
        <v>100</v>
      </c>
      <c r="X41" s="780"/>
      <c r="Y41" s="3182"/>
      <c r="Z41" s="781" t="str">
        <f t="shared" si="18"/>
        <v>单套/主力户型建筑面积</v>
      </c>
      <c r="AA41" s="1812">
        <f t="shared" si="15"/>
        <v>1</v>
      </c>
      <c r="AB41" s="1812">
        <f t="shared" si="16"/>
        <v>1</v>
      </c>
      <c r="AC41" s="1812">
        <f t="shared" si="17"/>
        <v>1</v>
      </c>
    </row>
    <row r="42" spans="1:29" ht="15">
      <c r="A42" s="473"/>
      <c r="B42" s="423" t="s">
        <v>2573</v>
      </c>
      <c r="C42" s="2610"/>
      <c r="D42" s="436">
        <v>100</v>
      </c>
      <c r="E42" s="2611"/>
      <c r="F42" s="462">
        <f>SUMIF(122:122,E42,123:123)-SUMIF(122:122,C42,123:123)+100</f>
        <v>100</v>
      </c>
      <c r="G42" s="2610"/>
      <c r="H42" s="436">
        <f>SUMIF(122:122,G42,123:123)-SUMIF(122:122,C42,123:123)+100</f>
        <v>100</v>
      </c>
      <c r="I42" s="2611"/>
      <c r="J42" s="436">
        <f>SUMIF(122:122,I42,123:123)-SUMIF(122:122,C42,123:123)+100</f>
        <v>100</v>
      </c>
      <c r="K42" s="427"/>
      <c r="L42" s="1140"/>
      <c r="M42" s="1131"/>
      <c r="N42" s="1131"/>
      <c r="O42" s="1131"/>
      <c r="P42" s="3180"/>
      <c r="Q42" s="1811" t="str">
        <f t="shared" si="11"/>
        <v>内部装修</v>
      </c>
      <c r="R42" s="775" t="s">
        <v>21</v>
      </c>
      <c r="S42" s="776">
        <f t="shared" si="12"/>
        <v>100</v>
      </c>
      <c r="T42" s="775" t="s">
        <v>21</v>
      </c>
      <c r="U42" s="776">
        <f t="shared" si="13"/>
        <v>100</v>
      </c>
      <c r="V42" s="775" t="s">
        <v>21</v>
      </c>
      <c r="W42" s="776">
        <f t="shared" si="14"/>
        <v>100</v>
      </c>
      <c r="X42" s="1814"/>
      <c r="Y42" s="3182"/>
      <c r="Z42" s="1815" t="str">
        <f t="shared" si="18"/>
        <v>内部装修</v>
      </c>
      <c r="AA42" s="1812">
        <f t="shared" si="15"/>
        <v>1</v>
      </c>
      <c r="AB42" s="1812">
        <f t="shared" si="16"/>
        <v>1</v>
      </c>
      <c r="AC42" s="1812">
        <f t="shared" si="17"/>
        <v>1</v>
      </c>
    </row>
    <row r="43" spans="1:29" ht="15">
      <c r="A43" s="473"/>
      <c r="B43" s="423" t="s">
        <v>2574</v>
      </c>
      <c r="C43" s="2610"/>
      <c r="D43" s="436">
        <v>100</v>
      </c>
      <c r="E43" s="2611"/>
      <c r="F43" s="462">
        <f>SUMIF(124:124,E43,125:125)-SUMIF(124:124,C43,125:125)+100</f>
        <v>100</v>
      </c>
      <c r="G43" s="2610"/>
      <c r="H43" s="436">
        <f>SUMIF(124:124,G43,125:125)-SUMIF(124:124,C43,125:125)+100</f>
        <v>100</v>
      </c>
      <c r="I43" s="2611"/>
      <c r="J43" s="436">
        <f>SUMIF(124:124,I43,125:125)-SUMIF(124:124,C43,125:125)+100</f>
        <v>100</v>
      </c>
      <c r="K43" s="427"/>
      <c r="L43" s="1140"/>
      <c r="M43" s="1131"/>
      <c r="N43" s="1131"/>
      <c r="O43" s="1131"/>
      <c r="P43" s="3180"/>
      <c r="Q43" s="1811" t="str">
        <f t="shared" si="11"/>
        <v>内部装修维护情况</v>
      </c>
      <c r="R43" s="775" t="s">
        <v>21</v>
      </c>
      <c r="S43" s="776">
        <f t="shared" si="12"/>
        <v>100</v>
      </c>
      <c r="T43" s="775" t="s">
        <v>21</v>
      </c>
      <c r="U43" s="776">
        <f t="shared" si="13"/>
        <v>100</v>
      </c>
      <c r="V43" s="775" t="s">
        <v>21</v>
      </c>
      <c r="W43" s="776">
        <f t="shared" si="14"/>
        <v>100</v>
      </c>
      <c r="X43" s="1814"/>
      <c r="Y43" s="3182"/>
      <c r="Z43" s="1815" t="str">
        <f t="shared" si="18"/>
        <v>内部装修维护情况</v>
      </c>
      <c r="AA43" s="1812">
        <f t="shared" si="15"/>
        <v>1</v>
      </c>
      <c r="AB43" s="1812">
        <f t="shared" si="16"/>
        <v>1</v>
      </c>
      <c r="AC43" s="1812">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8"/>
      <c r="L44" s="1132"/>
      <c r="M44" s="1133"/>
      <c r="N44" s="1133"/>
      <c r="O44" s="1133"/>
      <c r="P44" s="3180"/>
      <c r="Q44" s="1796">
        <f t="shared" si="11"/>
        <v>111</v>
      </c>
      <c r="R44" s="771" t="s">
        <v>21</v>
      </c>
      <c r="S44" s="772">
        <f t="shared" si="12"/>
        <v>100</v>
      </c>
      <c r="T44" s="771" t="s">
        <v>21</v>
      </c>
      <c r="U44" s="772">
        <f t="shared" si="13"/>
        <v>100</v>
      </c>
      <c r="V44" s="771" t="s">
        <v>21</v>
      </c>
      <c r="W44" s="772">
        <f t="shared" si="14"/>
        <v>100</v>
      </c>
      <c r="X44" s="773"/>
      <c r="Y44" s="3182"/>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8"/>
      <c r="L45" s="1140"/>
      <c r="M45" s="1131"/>
      <c r="N45" s="1131"/>
      <c r="O45" s="1131"/>
      <c r="P45" s="3180"/>
      <c r="Q45" s="1811">
        <f t="shared" si="11"/>
        <v>111</v>
      </c>
      <c r="R45" s="775" t="s">
        <v>21</v>
      </c>
      <c r="S45" s="776">
        <f t="shared" si="12"/>
        <v>100</v>
      </c>
      <c r="T45" s="775" t="s">
        <v>21</v>
      </c>
      <c r="U45" s="776">
        <f t="shared" si="13"/>
        <v>100</v>
      </c>
      <c r="V45" s="775" t="s">
        <v>21</v>
      </c>
      <c r="W45" s="776">
        <f t="shared" si="14"/>
        <v>100</v>
      </c>
      <c r="X45" s="1814"/>
      <c r="Y45" s="3182"/>
      <c r="Z45" s="1815">
        <f t="shared" si="18"/>
        <v>111</v>
      </c>
      <c r="AA45" s="1812">
        <f t="shared" si="15"/>
        <v>1</v>
      </c>
      <c r="AB45" s="1812">
        <f t="shared" si="16"/>
        <v>1</v>
      </c>
      <c r="AC45" s="1812">
        <f t="shared" si="17"/>
        <v>1</v>
      </c>
    </row>
    <row r="46" spans="1:29" ht="15.75" thickBot="1">
      <c r="A46" s="479"/>
      <c r="B46" s="259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8"/>
      <c r="L46" s="1140"/>
      <c r="M46" s="1131"/>
      <c r="N46" s="1131"/>
      <c r="O46" s="1131"/>
      <c r="P46" s="3181"/>
      <c r="Q46" s="1811">
        <f t="shared" si="11"/>
        <v>111</v>
      </c>
      <c r="R46" s="775" t="s">
        <v>20</v>
      </c>
      <c r="S46" s="776">
        <f t="shared" si="12"/>
        <v>100</v>
      </c>
      <c r="T46" s="775" t="s">
        <v>20</v>
      </c>
      <c r="U46" s="776">
        <f t="shared" si="13"/>
        <v>100</v>
      </c>
      <c r="V46" s="775" t="s">
        <v>20</v>
      </c>
      <c r="W46" s="776">
        <f t="shared" si="14"/>
        <v>100</v>
      </c>
      <c r="X46" s="1814"/>
      <c r="Y46" s="3183"/>
      <c r="Z46" s="1815">
        <f t="shared" si="18"/>
        <v>111</v>
      </c>
      <c r="AA46" s="1812">
        <f t="shared" si="15"/>
        <v>1</v>
      </c>
      <c r="AB46" s="1812">
        <f t="shared" si="16"/>
        <v>1</v>
      </c>
      <c r="AC46" s="1812">
        <f t="shared" si="17"/>
        <v>1</v>
      </c>
    </row>
    <row r="47" spans="1:29" ht="15">
      <c r="A47" s="480" t="s">
        <v>2575</v>
      </c>
      <c r="B47" s="481"/>
      <c r="C47" s="1407" t="s">
        <v>19</v>
      </c>
      <c r="D47" s="1408"/>
      <c r="E47" s="1409"/>
      <c r="F47" s="1410"/>
      <c r="G47" s="1411"/>
      <c r="H47" s="1412"/>
      <c r="I47" s="1409"/>
      <c r="J47" s="1412"/>
      <c r="K47" s="2618"/>
      <c r="L47" s="1143"/>
      <c r="M47" s="1144"/>
      <c r="N47" s="1131"/>
      <c r="O47" s="1144"/>
      <c r="P47" s="3175" t="str">
        <f>A47</f>
        <v>成交单价（元/平方米）</v>
      </c>
      <c r="Q47" s="3175"/>
      <c r="R47" s="3176">
        <f>E47</f>
        <v>0</v>
      </c>
      <c r="S47" s="3176"/>
      <c r="T47" s="3176">
        <f>G47</f>
        <v>0</v>
      </c>
      <c r="U47" s="3176"/>
      <c r="V47" s="3176">
        <f>I47</f>
        <v>0</v>
      </c>
      <c r="W47" s="3176"/>
      <c r="X47" s="760"/>
      <c r="Y47" s="782"/>
      <c r="Z47" s="760"/>
      <c r="AA47" s="760"/>
      <c r="AB47" s="760"/>
      <c r="AC47" s="760"/>
    </row>
    <row r="48" spans="1:29" ht="15.75" thickBot="1">
      <c r="A48" s="487" t="s">
        <v>2576</v>
      </c>
      <c r="B48" s="488"/>
      <c r="C48" s="1413" t="e">
        <f>R49</f>
        <v>#DIV/0!</v>
      </c>
      <c r="D48" s="1414"/>
      <c r="E48" s="1415" t="e">
        <f>R48</f>
        <v>#DIV/0!</v>
      </c>
      <c r="F48" s="1415"/>
      <c r="G48" s="1413" t="e">
        <f>T48</f>
        <v>#DIV/0!</v>
      </c>
      <c r="H48" s="1414"/>
      <c r="I48" s="1415" t="e">
        <f>V48</f>
        <v>#DIV/0!</v>
      </c>
      <c r="J48" s="1414"/>
      <c r="K48" s="2619"/>
      <c r="L48" s="1143"/>
      <c r="M48" s="1144"/>
      <c r="N48" s="1144"/>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60"/>
      <c r="Y48" s="760"/>
      <c r="Z48" s="760"/>
      <c r="AA48" s="760"/>
      <c r="AB48" s="760"/>
      <c r="AC48" s="760"/>
    </row>
    <row r="49" spans="1:29" ht="15.75" thickBot="1">
      <c r="A49" s="493" t="s">
        <v>2577</v>
      </c>
      <c r="B49" s="494"/>
      <c r="C49" s="1416" t="e">
        <f>R49</f>
        <v>#DIV/0!</v>
      </c>
      <c r="D49" s="1417"/>
      <c r="E49" s="1417"/>
      <c r="F49" s="1417"/>
      <c r="G49" s="1417"/>
      <c r="H49" s="1417"/>
      <c r="I49" s="1417"/>
      <c r="J49" s="1417"/>
      <c r="K49" s="2620"/>
      <c r="L49" s="1143"/>
      <c r="M49" s="1144"/>
      <c r="N49" s="1144"/>
      <c r="O49" s="1144"/>
      <c r="P49" s="3172" t="str">
        <f>A49</f>
        <v>估价对象XX用房的比较价值（楼面单价，元/平方米）</v>
      </c>
      <c r="Q49" s="3173"/>
      <c r="R49" s="3174" t="e">
        <f>IF(F1="售价",ROUND(AVERAGE(R48:V48),0),ROUND(AVERAGE(R48:V48),1))</f>
        <v>#DIV/0!</v>
      </c>
      <c r="S49" s="3174"/>
      <c r="T49" s="3174"/>
      <c r="U49" s="3174"/>
      <c r="V49" s="3174"/>
      <c r="W49" s="3174"/>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2"/>
    </row>
    <row r="55" spans="1:29" s="503"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4" t="s">
        <v>2581</v>
      </c>
      <c r="B57" s="760"/>
      <c r="C57" s="765"/>
      <c r="D57" s="765"/>
      <c r="E57" s="765"/>
      <c r="F57" s="766"/>
      <c r="G57" s="766"/>
      <c r="H57" s="765"/>
      <c r="I57" s="765"/>
      <c r="J57" s="765"/>
      <c r="K57" s="1160"/>
      <c r="L57" s="1161"/>
      <c r="M57" s="1159"/>
      <c r="N57" s="1159"/>
      <c r="O57" s="1159"/>
      <c r="P57" s="2623"/>
      <c r="Q57" s="505"/>
    </row>
    <row r="58" spans="1:29" s="509" customFormat="1" ht="15">
      <c r="A58" s="506" t="s">
        <v>2582</v>
      </c>
      <c r="B58" s="507"/>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7" customFormat="1" ht="15">
      <c r="A59" s="510"/>
      <c r="B59" s="2624"/>
      <c r="C59" s="1574">
        <v>100</v>
      </c>
      <c r="D59" s="512"/>
      <c r="E59" s="513"/>
      <c r="F59" s="513"/>
      <c r="G59" s="513"/>
      <c r="H59" s="513"/>
      <c r="I59" s="513"/>
      <c r="J59" s="513"/>
      <c r="K59" s="513"/>
      <c r="L59" s="513"/>
      <c r="M59" s="514"/>
      <c r="N59" s="513"/>
      <c r="O59" s="514"/>
      <c r="P59" s="2625"/>
    </row>
    <row r="60" spans="1:29" s="117" customFormat="1" ht="15.75" thickBot="1">
      <c r="A60" s="516" t="s">
        <v>2583</v>
      </c>
      <c r="B60" s="517"/>
      <c r="C60" s="518"/>
      <c r="D60" s="519"/>
      <c r="E60" s="519"/>
      <c r="F60" s="519"/>
      <c r="G60" s="519"/>
      <c r="H60" s="519"/>
      <c r="I60" s="519"/>
      <c r="J60" s="519"/>
      <c r="K60" s="519"/>
      <c r="L60" s="519"/>
      <c r="M60" s="520"/>
      <c r="N60" s="519"/>
      <c r="O60" s="520"/>
      <c r="P60" s="2625"/>
      <c r="Q60" s="505"/>
    </row>
    <row r="61" spans="1:29" s="117" customFormat="1" ht="15">
      <c r="A61" s="522" t="s">
        <v>2584</v>
      </c>
      <c r="B61" s="511"/>
      <c r="C61" s="523" t="s">
        <v>2585</v>
      </c>
      <c r="D61" s="524"/>
      <c r="E61" s="524"/>
      <c r="F61" s="524"/>
      <c r="G61" s="524"/>
      <c r="H61" s="524"/>
      <c r="I61" s="524"/>
      <c r="J61" s="524"/>
      <c r="K61" s="524"/>
      <c r="L61" s="525"/>
      <c r="M61" s="526"/>
      <c r="N61" s="1151"/>
      <c r="O61" s="1151"/>
      <c r="P61" s="2626"/>
      <c r="Q61" s="505"/>
    </row>
    <row r="62" spans="1:29" s="117" customFormat="1" ht="15.75" thickBot="1">
      <c r="A62" s="522"/>
      <c r="B62" s="511"/>
      <c r="C62" s="512">
        <v>100</v>
      </c>
      <c r="D62" s="513"/>
      <c r="E62" s="513"/>
      <c r="F62" s="513"/>
      <c r="G62" s="513"/>
      <c r="H62" s="513"/>
      <c r="I62" s="513"/>
      <c r="J62" s="513"/>
      <c r="K62" s="513"/>
      <c r="L62" s="513"/>
      <c r="M62" s="515"/>
      <c r="N62" s="1151"/>
      <c r="O62" s="1151"/>
      <c r="P62" s="2625"/>
      <c r="Q62" s="505"/>
    </row>
    <row r="63" spans="1:29">
      <c r="A63" s="528" t="s">
        <v>2586</v>
      </c>
      <c r="B63" s="529" t="s">
        <v>2552</v>
      </c>
      <c r="C63" s="530">
        <f>C9</f>
        <v>0</v>
      </c>
      <c r="D63" s="531"/>
      <c r="E63" s="531"/>
      <c r="F63" s="531"/>
      <c r="G63" s="531"/>
      <c r="H63" s="531"/>
      <c r="I63" s="531"/>
      <c r="J63" s="531"/>
      <c r="K63" s="532"/>
      <c r="L63" s="533"/>
      <c r="M63" s="534"/>
      <c r="N63" s="1152"/>
      <c r="O63" s="1152"/>
      <c r="P63" s="2627"/>
      <c r="Q63" s="505"/>
    </row>
    <row r="64" spans="1:29" ht="15.75" thickBot="1">
      <c r="A64" s="535"/>
      <c r="B64" s="536"/>
      <c r="C64" s="537">
        <v>100</v>
      </c>
      <c r="D64" s="537"/>
      <c r="E64" s="537"/>
      <c r="F64" s="537"/>
      <c r="G64" s="537"/>
      <c r="H64" s="537"/>
      <c r="I64" s="537"/>
      <c r="J64" s="537"/>
      <c r="K64" s="537"/>
      <c r="L64" s="537"/>
      <c r="M64" s="538"/>
      <c r="N64" s="1153"/>
      <c r="O64" s="1153"/>
      <c r="P64" s="2627"/>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27"/>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27"/>
      <c r="Q67" s="505"/>
    </row>
    <row r="68" spans="1:17" ht="15">
      <c r="A68" s="535"/>
      <c r="B68" s="549"/>
      <c r="C68" s="550"/>
      <c r="D68" s="550"/>
      <c r="E68" s="550"/>
      <c r="F68" s="550"/>
      <c r="G68" s="550"/>
      <c r="H68" s="550"/>
      <c r="I68" s="550"/>
      <c r="J68" s="550"/>
      <c r="K68" s="551"/>
      <c r="L68" s="552"/>
      <c r="M68" s="553"/>
      <c r="N68" s="1152"/>
      <c r="O68" s="1152"/>
      <c r="P68" s="262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27"/>
      <c r="Q69" s="505"/>
    </row>
    <row r="70" spans="1:17" s="472" customFormat="1" ht="15.75" thickTop="1">
      <c r="A70" s="554"/>
      <c r="B70" s="539">
        <f>B12</f>
        <v>111</v>
      </c>
      <c r="C70" s="555"/>
      <c r="D70" s="555"/>
      <c r="E70" s="555"/>
      <c r="F70" s="555"/>
      <c r="G70" s="555"/>
      <c r="H70" s="556"/>
      <c r="I70" s="556"/>
      <c r="J70" s="556"/>
      <c r="K70" s="556"/>
      <c r="L70" s="557"/>
      <c r="M70" s="558"/>
      <c r="N70" s="1154"/>
      <c r="O70" s="1154"/>
      <c r="P70" s="2628"/>
      <c r="Q70" s="560"/>
    </row>
    <row r="71" spans="1:17" s="472" customFormat="1" ht="15.75" thickBot="1">
      <c r="A71" s="554"/>
      <c r="B71" s="544"/>
      <c r="C71" s="561"/>
      <c r="D71" s="537"/>
      <c r="E71" s="537"/>
      <c r="F71" s="537"/>
      <c r="G71" s="537"/>
      <c r="H71" s="537"/>
      <c r="I71" s="537"/>
      <c r="J71" s="537"/>
      <c r="K71" s="537"/>
      <c r="L71" s="537"/>
      <c r="M71" s="538"/>
      <c r="N71" s="1153"/>
      <c r="O71" s="1153"/>
      <c r="P71" s="2628"/>
      <c r="Q71" s="560"/>
    </row>
    <row r="72" spans="1:17" s="472" customFormat="1" ht="15.75" thickTop="1">
      <c r="A72" s="554"/>
      <c r="B72" s="539">
        <f>B13</f>
        <v>111</v>
      </c>
      <c r="C72" s="555"/>
      <c r="D72" s="555"/>
      <c r="E72" s="555"/>
      <c r="F72" s="555"/>
      <c r="G72" s="555"/>
      <c r="H72" s="556"/>
      <c r="I72" s="556"/>
      <c r="J72" s="556"/>
      <c r="K72" s="556"/>
      <c r="L72" s="557"/>
      <c r="M72" s="558"/>
      <c r="N72" s="1154"/>
      <c r="O72" s="1154"/>
      <c r="P72" s="2629"/>
      <c r="Q72" s="562"/>
    </row>
    <row r="73" spans="1:17" s="472" customFormat="1" ht="15.75" thickBot="1">
      <c r="A73" s="554"/>
      <c r="B73" s="544"/>
      <c r="C73" s="561"/>
      <c r="D73" s="561"/>
      <c r="E73" s="561"/>
      <c r="F73" s="561"/>
      <c r="G73" s="561"/>
      <c r="H73" s="563"/>
      <c r="I73" s="563"/>
      <c r="J73" s="563"/>
      <c r="K73" s="563"/>
      <c r="L73" s="563"/>
      <c r="M73" s="564"/>
      <c r="N73" s="1154"/>
      <c r="O73" s="1154"/>
      <c r="P73" s="2628"/>
      <c r="Q73" s="560"/>
    </row>
    <row r="74" spans="1:17" s="472" customFormat="1" ht="15.75" thickTop="1">
      <c r="A74" s="554"/>
      <c r="B74" s="547">
        <f>B14</f>
        <v>111</v>
      </c>
      <c r="C74" s="555"/>
      <c r="D74" s="555"/>
      <c r="E74" s="555"/>
      <c r="F74" s="555"/>
      <c r="G74" s="524"/>
      <c r="H74" s="565"/>
      <c r="I74" s="565"/>
      <c r="J74" s="565"/>
      <c r="K74" s="565"/>
      <c r="L74" s="566"/>
      <c r="M74" s="567"/>
      <c r="N74" s="1154"/>
      <c r="O74" s="1154"/>
      <c r="P74" s="2630"/>
      <c r="Q74" s="560"/>
    </row>
    <row r="75" spans="1:17" s="472" customFormat="1" ht="15.75" thickBot="1">
      <c r="A75" s="569"/>
      <c r="B75" s="570"/>
      <c r="C75" s="571"/>
      <c r="D75" s="571"/>
      <c r="E75" s="571"/>
      <c r="F75" s="571"/>
      <c r="G75" s="571"/>
      <c r="H75" s="572"/>
      <c r="I75" s="572"/>
      <c r="J75" s="572"/>
      <c r="K75" s="572"/>
      <c r="L75" s="572"/>
      <c r="M75" s="573"/>
      <c r="N75" s="1154"/>
      <c r="O75" s="1154"/>
      <c r="P75" s="2628"/>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7"/>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7"/>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7"/>
      <c r="Q81" s="505"/>
    </row>
    <row r="82" spans="1:17" ht="15.75" thickTop="1">
      <c r="A82" s="535"/>
      <c r="B82" s="547" t="s">
        <v>2097</v>
      </c>
      <c r="C82" s="540" t="s">
        <v>2602</v>
      </c>
      <c r="D82" s="540" t="s">
        <v>2603</v>
      </c>
      <c r="E82" s="540" t="s">
        <v>2604</v>
      </c>
      <c r="F82" s="540" t="s">
        <v>2605</v>
      </c>
      <c r="G82" s="540" t="s">
        <v>2606</v>
      </c>
      <c r="H82" s="540"/>
      <c r="I82" s="540"/>
      <c r="J82" s="540"/>
      <c r="K82" s="540"/>
      <c r="L82" s="540"/>
      <c r="M82" s="1382"/>
      <c r="N82" s="1153"/>
      <c r="O82" s="1153"/>
      <c r="P82" s="262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27"/>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7"/>
      <c r="Q85" s="505"/>
    </row>
    <row r="86" spans="1:17" s="117" customFormat="1" ht="15.75" thickTop="1">
      <c r="A86" s="580"/>
      <c r="B86" s="539" t="s">
        <v>2608</v>
      </c>
      <c r="C86" s="555"/>
      <c r="D86" s="555"/>
      <c r="E86" s="555"/>
      <c r="F86" s="555"/>
      <c r="G86" s="555"/>
      <c r="H86" s="555"/>
      <c r="I86" s="555"/>
      <c r="J86" s="555"/>
      <c r="K86" s="555"/>
      <c r="L86" s="581"/>
      <c r="M86" s="582"/>
      <c r="N86" s="1151"/>
      <c r="O86" s="1151"/>
      <c r="P86" s="262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27"/>
      <c r="Q87" s="505"/>
    </row>
    <row r="88" spans="1:17" s="117" customFormat="1" ht="15.75" thickTop="1">
      <c r="A88" s="580"/>
      <c r="B88" s="539" t="s">
        <v>2609</v>
      </c>
      <c r="C88" s="555"/>
      <c r="D88" s="555"/>
      <c r="E88" s="555"/>
      <c r="F88" s="2632"/>
      <c r="G88" s="555"/>
      <c r="H88" s="555"/>
      <c r="I88" s="555"/>
      <c r="J88" s="555"/>
      <c r="K88" s="555"/>
      <c r="L88" s="555"/>
      <c r="M88" s="582"/>
      <c r="N88" s="1151"/>
      <c r="O88" s="1151"/>
      <c r="P88" s="262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27"/>
      <c r="Q89" s="505"/>
    </row>
    <row r="90" spans="1:17" s="472" customFormat="1" ht="15.75" thickTop="1">
      <c r="A90" s="554"/>
      <c r="B90" s="539">
        <f>B27</f>
        <v>111</v>
      </c>
      <c r="C90" s="555"/>
      <c r="D90" s="555"/>
      <c r="E90" s="555"/>
      <c r="F90" s="555"/>
      <c r="G90" s="555"/>
      <c r="H90" s="556"/>
      <c r="I90" s="556"/>
      <c r="J90" s="556"/>
      <c r="K90" s="556"/>
      <c r="L90" s="557"/>
      <c r="M90" s="558"/>
      <c r="N90" s="1154"/>
      <c r="O90" s="1154"/>
      <c r="P90" s="2628"/>
      <c r="Q90" s="560"/>
    </row>
    <row r="91" spans="1:17" s="472" customFormat="1" ht="15.75" thickBot="1">
      <c r="A91" s="554"/>
      <c r="B91" s="544"/>
      <c r="C91" s="561"/>
      <c r="D91" s="561"/>
      <c r="E91" s="561"/>
      <c r="F91" s="561"/>
      <c r="G91" s="561"/>
      <c r="H91" s="563"/>
      <c r="I91" s="563"/>
      <c r="J91" s="563"/>
      <c r="K91" s="563"/>
      <c r="L91" s="563"/>
      <c r="M91" s="564"/>
      <c r="N91" s="1154"/>
      <c r="O91" s="1154"/>
      <c r="P91" s="2628"/>
      <c r="Q91" s="560"/>
    </row>
    <row r="92" spans="1:17" ht="15.75" thickTop="1">
      <c r="A92" s="535"/>
      <c r="B92" s="539">
        <f>B28</f>
        <v>111</v>
      </c>
      <c r="C92" s="555"/>
      <c r="D92" s="555"/>
      <c r="E92" s="555"/>
      <c r="F92" s="555"/>
      <c r="G92" s="584"/>
      <c r="H92" s="584"/>
      <c r="I92" s="584"/>
      <c r="J92" s="584"/>
      <c r="K92" s="585"/>
      <c r="L92" s="586"/>
      <c r="M92" s="587"/>
      <c r="N92" s="1152"/>
      <c r="O92" s="1152"/>
      <c r="P92" s="2627"/>
      <c r="Q92" s="505"/>
    </row>
    <row r="93" spans="1:17" ht="15.75" thickBot="1">
      <c r="A93" s="535"/>
      <c r="B93" s="544"/>
      <c r="C93" s="561"/>
      <c r="D93" s="537"/>
      <c r="E93" s="537"/>
      <c r="F93" s="537"/>
      <c r="G93" s="537"/>
      <c r="H93" s="537"/>
      <c r="I93" s="537"/>
      <c r="J93" s="537"/>
      <c r="K93" s="537"/>
      <c r="L93" s="537"/>
      <c r="M93" s="538"/>
      <c r="N93" s="1153"/>
      <c r="O93" s="1153"/>
      <c r="P93" s="2627"/>
      <c r="Q93" s="505"/>
    </row>
    <row r="94" spans="1:17" ht="15.75" thickTop="1">
      <c r="A94" s="535"/>
      <c r="B94" s="539">
        <f>B29</f>
        <v>111</v>
      </c>
      <c r="C94" s="555"/>
      <c r="D94" s="555"/>
      <c r="E94" s="555"/>
      <c r="F94" s="555"/>
      <c r="G94" s="584"/>
      <c r="H94" s="584"/>
      <c r="I94" s="584"/>
      <c r="J94" s="584"/>
      <c r="K94" s="585"/>
      <c r="L94" s="586"/>
      <c r="M94" s="587"/>
      <c r="N94" s="1152"/>
      <c r="O94" s="1152"/>
      <c r="P94" s="2627"/>
      <c r="Q94" s="505"/>
    </row>
    <row r="95" spans="1:17" ht="15.75" thickBot="1">
      <c r="A95" s="535"/>
      <c r="B95" s="544"/>
      <c r="C95" s="561"/>
      <c r="D95" s="561"/>
      <c r="E95" s="561"/>
      <c r="F95" s="561"/>
      <c r="G95" s="537"/>
      <c r="H95" s="537"/>
      <c r="I95" s="537"/>
      <c r="J95" s="537"/>
      <c r="K95" s="537"/>
      <c r="L95" s="537"/>
      <c r="M95" s="538"/>
      <c r="N95" s="1153"/>
      <c r="O95" s="1153"/>
      <c r="P95" s="2627"/>
      <c r="Q95" s="505"/>
    </row>
    <row r="96" spans="1:17" ht="15.75" thickTop="1">
      <c r="A96" s="535"/>
      <c r="B96" s="539">
        <f>B30</f>
        <v>111</v>
      </c>
      <c r="C96" s="555"/>
      <c r="D96" s="555"/>
      <c r="E96" s="555"/>
      <c r="F96" s="555"/>
      <c r="G96" s="584"/>
      <c r="H96" s="584"/>
      <c r="I96" s="584"/>
      <c r="J96" s="584"/>
      <c r="K96" s="585"/>
      <c r="L96" s="586"/>
      <c r="M96" s="587"/>
      <c r="N96" s="1152"/>
      <c r="O96" s="1152"/>
      <c r="P96" s="2627"/>
      <c r="Q96" s="505"/>
    </row>
    <row r="97" spans="1:17" ht="15.75" thickBot="1">
      <c r="A97" s="535"/>
      <c r="B97" s="544"/>
      <c r="C97" s="571"/>
      <c r="D97" s="571"/>
      <c r="E97" s="571"/>
      <c r="F97" s="571"/>
      <c r="G97" s="537"/>
      <c r="H97" s="537"/>
      <c r="I97" s="537"/>
      <c r="J97" s="537"/>
      <c r="K97" s="537"/>
      <c r="L97" s="537"/>
      <c r="M97" s="538"/>
      <c r="N97" s="1153"/>
      <c r="O97" s="1153"/>
      <c r="P97" s="2627"/>
      <c r="Q97" s="505"/>
    </row>
    <row r="98" spans="1:17" ht="15.75" thickTop="1">
      <c r="A98" s="535"/>
      <c r="B98" s="547">
        <f>B31</f>
        <v>111</v>
      </c>
      <c r="C98" s="588"/>
      <c r="D98" s="588"/>
      <c r="E98" s="588"/>
      <c r="F98" s="588"/>
      <c r="G98" s="588"/>
      <c r="H98" s="588"/>
      <c r="I98" s="588"/>
      <c r="J98" s="588"/>
      <c r="K98" s="589"/>
      <c r="L98" s="590"/>
      <c r="M98" s="591"/>
      <c r="N98" s="1152"/>
      <c r="O98" s="1152"/>
      <c r="P98" s="2627"/>
      <c r="Q98" s="505"/>
    </row>
    <row r="99" spans="1:17" ht="15.75" thickBot="1">
      <c r="A99" s="2633"/>
      <c r="B99" s="570"/>
      <c r="C99" s="592"/>
      <c r="D99" s="592"/>
      <c r="E99" s="592"/>
      <c r="F99" s="592"/>
      <c r="G99" s="592"/>
      <c r="H99" s="592"/>
      <c r="I99" s="592"/>
      <c r="J99" s="592"/>
      <c r="K99" s="592"/>
      <c r="L99" s="592"/>
      <c r="M99" s="593"/>
      <c r="N99" s="1153"/>
      <c r="O99" s="1153"/>
      <c r="P99" s="2627"/>
      <c r="Q99" s="505"/>
    </row>
    <row r="100" spans="1:17">
      <c r="A100" s="528" t="s">
        <v>2561</v>
      </c>
      <c r="B100" s="529" t="s">
        <v>2610</v>
      </c>
      <c r="C100" s="531"/>
      <c r="D100" s="531"/>
      <c r="E100" s="531"/>
      <c r="F100" s="531"/>
      <c r="G100" s="531"/>
      <c r="H100" s="531"/>
      <c r="I100" s="531"/>
      <c r="J100" s="531"/>
      <c r="K100" s="532"/>
      <c r="L100" s="533"/>
      <c r="M100" s="534"/>
      <c r="N100" s="1152"/>
      <c r="O100" s="1152"/>
      <c r="P100" s="262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27"/>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27"/>
      <c r="Q102" s="505"/>
    </row>
    <row r="103" spans="1:17" s="472" customFormat="1">
      <c r="A103" s="594"/>
      <c r="B103" s="595"/>
      <c r="C103" s="596"/>
      <c r="D103" s="596"/>
      <c r="E103" s="596"/>
      <c r="F103" s="596"/>
      <c r="G103" s="596"/>
      <c r="H103" s="596"/>
      <c r="I103" s="596"/>
      <c r="J103" s="597"/>
      <c r="K103" s="597"/>
      <c r="L103" s="598"/>
      <c r="M103" s="599"/>
      <c r="N103" s="1154"/>
      <c r="O103" s="1154"/>
      <c r="P103" s="2628"/>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28"/>
      <c r="Q104" s="560"/>
    </row>
    <row r="105" spans="1:17" ht="15" thickTop="1">
      <c r="A105" s="600"/>
      <c r="B105" s="539" t="s">
        <v>2612</v>
      </c>
      <c r="C105" s="555"/>
      <c r="D105" s="555"/>
      <c r="E105" s="584"/>
      <c r="F105" s="584"/>
      <c r="G105" s="584"/>
      <c r="H105" s="584"/>
      <c r="I105" s="584"/>
      <c r="J105" s="584"/>
      <c r="K105" s="585"/>
      <c r="L105" s="586"/>
      <c r="M105" s="587"/>
      <c r="N105" s="1152"/>
      <c r="O105" s="1152"/>
      <c r="P105" s="262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27"/>
      <c r="Q106" s="505"/>
    </row>
    <row r="107" spans="1:17" ht="15" thickTop="1">
      <c r="A107" s="600"/>
      <c r="B107" s="539" t="s">
        <v>2613</v>
      </c>
      <c r="C107" s="584"/>
      <c r="D107" s="584"/>
      <c r="E107" s="584"/>
      <c r="F107" s="584"/>
      <c r="G107" s="584"/>
      <c r="H107" s="584"/>
      <c r="I107" s="584"/>
      <c r="J107" s="584"/>
      <c r="K107" s="585"/>
      <c r="L107" s="586"/>
      <c r="M107" s="587"/>
      <c r="N107" s="1152"/>
      <c r="O107" s="1152"/>
      <c r="P107" s="262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27"/>
      <c r="Q108" s="505"/>
    </row>
    <row r="109" spans="1:17" ht="15" thickTop="1">
      <c r="A109" s="600"/>
      <c r="B109" s="539" t="s">
        <v>2614</v>
      </c>
      <c r="C109" s="555"/>
      <c r="D109" s="555"/>
      <c r="E109" s="555"/>
      <c r="F109" s="584"/>
      <c r="G109" s="584"/>
      <c r="H109" s="584"/>
      <c r="I109" s="584"/>
      <c r="J109" s="584"/>
      <c r="K109" s="585"/>
      <c r="L109" s="586"/>
      <c r="M109" s="587"/>
      <c r="N109" s="1152"/>
      <c r="O109" s="1152"/>
      <c r="P109" s="262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27"/>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2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2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28"/>
      <c r="Q113" s="560"/>
    </row>
    <row r="114" spans="1:17" ht="15" thickTop="1">
      <c r="A114" s="600"/>
      <c r="B114" s="539" t="s">
        <v>2615</v>
      </c>
      <c r="C114" s="555"/>
      <c r="D114" s="555"/>
      <c r="E114" s="584"/>
      <c r="F114" s="584"/>
      <c r="G114" s="584"/>
      <c r="H114" s="584"/>
      <c r="I114" s="584"/>
      <c r="J114" s="584"/>
      <c r="K114" s="585"/>
      <c r="L114" s="586"/>
      <c r="M114" s="587"/>
      <c r="N114" s="1152"/>
      <c r="O114" s="1152"/>
      <c r="P114" s="262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27"/>
      <c r="Q115" s="505"/>
    </row>
    <row r="116" spans="1:17" ht="15" thickTop="1">
      <c r="A116" s="600"/>
      <c r="B116" s="539" t="s">
        <v>2616</v>
      </c>
      <c r="C116" s="555"/>
      <c r="D116" s="555"/>
      <c r="E116" s="555"/>
      <c r="F116" s="555"/>
      <c r="G116" s="555"/>
      <c r="H116" s="584"/>
      <c r="I116" s="584"/>
      <c r="J116" s="584"/>
      <c r="K116" s="585"/>
      <c r="L116" s="586"/>
      <c r="M116" s="587"/>
      <c r="N116" s="1152"/>
      <c r="O116" s="1152"/>
      <c r="P116" s="262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7"/>
      <c r="Q117" s="505"/>
    </row>
    <row r="118" spans="1:17" ht="15" thickTop="1">
      <c r="A118" s="600"/>
      <c r="B118" s="539" t="s">
        <v>2617</v>
      </c>
      <c r="C118" s="584"/>
      <c r="D118" s="584"/>
      <c r="E118" s="584"/>
      <c r="F118" s="584"/>
      <c r="G118" s="584"/>
      <c r="H118" s="584"/>
      <c r="I118" s="584"/>
      <c r="J118" s="584"/>
      <c r="K118" s="585"/>
      <c r="L118" s="586"/>
      <c r="M118" s="587"/>
      <c r="N118" s="1152"/>
      <c r="O118" s="1152"/>
      <c r="P118" s="262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27"/>
      <c r="Q119" s="505"/>
    </row>
    <row r="120" spans="1:17" s="472" customFormat="1" ht="28.5" thickTop="1">
      <c r="A120" s="594"/>
      <c r="B120" s="539" t="s">
        <v>2572</v>
      </c>
      <c r="C120" s="555"/>
      <c r="D120" s="555"/>
      <c r="E120" s="555"/>
      <c r="F120" s="555"/>
      <c r="G120" s="555"/>
      <c r="H120" s="555"/>
      <c r="I120" s="555"/>
      <c r="J120" s="555"/>
      <c r="K120" s="555"/>
      <c r="L120" s="581"/>
      <c r="M120" s="582"/>
      <c r="N120" s="1154"/>
      <c r="O120" s="1154"/>
      <c r="P120" s="2628"/>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28"/>
      <c r="Q121" s="560"/>
    </row>
    <row r="122" spans="1:17" ht="15" thickTop="1">
      <c r="A122" s="600"/>
      <c r="B122" s="539" t="s">
        <v>2618</v>
      </c>
      <c r="C122" s="555"/>
      <c r="D122" s="555"/>
      <c r="E122" s="555"/>
      <c r="F122" s="584"/>
      <c r="G122" s="584"/>
      <c r="H122" s="584"/>
      <c r="I122" s="584"/>
      <c r="J122" s="584"/>
      <c r="K122" s="585"/>
      <c r="L122" s="586"/>
      <c r="M122" s="587"/>
      <c r="N122" s="1152"/>
      <c r="O122" s="1152"/>
      <c r="P122" s="262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27"/>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2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7"/>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28"/>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28"/>
      <c r="Q127" s="560"/>
    </row>
    <row r="128" spans="1:17" ht="15" thickTop="1">
      <c r="A128" s="600"/>
      <c r="B128" s="539">
        <f>B45</f>
        <v>111</v>
      </c>
      <c r="C128" s="555"/>
      <c r="D128" s="555"/>
      <c r="E128" s="555"/>
      <c r="F128" s="555"/>
      <c r="G128" s="584"/>
      <c r="H128" s="584"/>
      <c r="I128" s="584"/>
      <c r="J128" s="584"/>
      <c r="K128" s="585"/>
      <c r="L128" s="586"/>
      <c r="M128" s="587"/>
      <c r="N128" s="1152"/>
      <c r="O128" s="1152"/>
      <c r="P128" s="2627"/>
      <c r="Q128" s="505"/>
    </row>
    <row r="129" spans="1:17" ht="15.75" thickBot="1">
      <c r="A129" s="535"/>
      <c r="B129" s="544"/>
      <c r="C129" s="561"/>
      <c r="D129" s="561"/>
      <c r="E129" s="561"/>
      <c r="F129" s="561"/>
      <c r="G129" s="537"/>
      <c r="H129" s="537"/>
      <c r="I129" s="537"/>
      <c r="J129" s="537"/>
      <c r="K129" s="537"/>
      <c r="L129" s="537"/>
      <c r="M129" s="538"/>
      <c r="N129" s="1153"/>
      <c r="O129" s="1153"/>
      <c r="P129" s="2627"/>
      <c r="Q129" s="505"/>
    </row>
    <row r="130" spans="1:17" ht="15" thickTop="1">
      <c r="A130" s="600"/>
      <c r="B130" s="547">
        <f>B46</f>
        <v>111</v>
      </c>
      <c r="C130" s="555"/>
      <c r="D130" s="555"/>
      <c r="E130" s="555"/>
      <c r="F130" s="555"/>
      <c r="G130" s="588"/>
      <c r="H130" s="588"/>
      <c r="I130" s="588"/>
      <c r="J130" s="588"/>
      <c r="K130" s="524"/>
      <c r="L130" s="525"/>
      <c r="M130" s="591"/>
      <c r="N130" s="1152"/>
      <c r="O130" s="1152"/>
      <c r="P130" s="2627"/>
      <c r="Q130" s="505"/>
    </row>
    <row r="131" spans="1:17" ht="15.75" thickBot="1">
      <c r="A131" s="2633"/>
      <c r="B131" s="570"/>
      <c r="C131" s="571"/>
      <c r="D131" s="571"/>
      <c r="E131" s="571"/>
      <c r="F131" s="571"/>
      <c r="G131" s="592"/>
      <c r="H131" s="592"/>
      <c r="I131" s="592"/>
      <c r="J131" s="592"/>
      <c r="K131" s="592"/>
      <c r="L131" s="592"/>
      <c r="M131" s="593"/>
      <c r="N131" s="1153"/>
      <c r="O131" s="1153"/>
      <c r="P131" s="2627"/>
      <c r="Q131" s="505"/>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6">
        <f>ROUNDUP((J139-1)/2,0)</f>
        <v>10</v>
      </c>
      <c r="K140" s="1095">
        <v>100</v>
      </c>
    </row>
    <row r="141" spans="1:17" ht="15">
      <c r="B141" s="1090">
        <v>4</v>
      </c>
      <c r="C141" s="1091">
        <v>102</v>
      </c>
      <c r="D141" s="1091"/>
      <c r="E141" s="1092"/>
      <c r="F141" s="1093">
        <v>101.5</v>
      </c>
      <c r="G141" s="1091"/>
      <c r="H141" s="1094"/>
      <c r="I141" s="2647" t="s">
        <v>2632</v>
      </c>
      <c r="J141" s="316">
        <v>1</v>
      </c>
      <c r="K141" s="1096">
        <f>ROUND(100+(J141-J140)*K139*100,1)</f>
        <v>96.4</v>
      </c>
    </row>
    <row r="142" spans="1:17" ht="15">
      <c r="B142" s="1090">
        <v>3</v>
      </c>
      <c r="C142" s="1091">
        <v>103</v>
      </c>
      <c r="D142" s="1091"/>
      <c r="E142" s="1092"/>
      <c r="F142" s="1093">
        <v>101</v>
      </c>
      <c r="G142" s="1091"/>
      <c r="H142" s="1094"/>
      <c r="I142" s="2647" t="s">
        <v>2633</v>
      </c>
      <c r="J142" s="316">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579" t="s">
        <v>2640</v>
      </c>
      <c r="C1" s="1635" t="s">
        <v>2528</v>
      </c>
      <c r="D1" s="1622"/>
      <c r="E1" s="2654"/>
      <c r="F1" s="2581"/>
      <c r="G1" s="1632" t="s">
        <v>2641</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9" customFormat="1" ht="28.5" customHeight="1" thickTop="1">
      <c r="A2" s="1618"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9" customFormat="1" ht="28.5" customHeight="1" thickBot="1">
      <c r="A3" s="248" t="s">
        <v>2327</v>
      </c>
      <c r="B3" s="610" t="e">
        <f ca="1">IF(C2="——",C49,ROUND(B2*10000/D3,0))</f>
        <v>#DIV/0!</v>
      </c>
      <c r="C3" s="401" t="s">
        <v>2642</v>
      </c>
      <c r="D3" s="400">
        <f>IF(D1="",'数据-汇总表'!E3,SUMIF('数据-汇总表'!$C19:$C33,D1,'数据-汇总表'!$E19:$E33))</f>
        <v>65110.920000000006</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2" t="s">
        <v>2643</v>
      </c>
      <c r="B4" s="403"/>
      <c r="C4" s="3190" t="s">
        <v>2644</v>
      </c>
      <c r="D4" s="3191"/>
      <c r="E4" s="3192" t="s">
        <v>2645</v>
      </c>
      <c r="F4" s="3193"/>
      <c r="G4" s="3190" t="s">
        <v>2646</v>
      </c>
      <c r="H4" s="3191"/>
      <c r="I4" s="3190" t="s">
        <v>2647</v>
      </c>
      <c r="J4" s="3191"/>
      <c r="K4" s="611" t="s">
        <v>2648</v>
      </c>
      <c r="L4" s="1130"/>
      <c r="M4" s="1131"/>
      <c r="N4" s="1131"/>
      <c r="O4" s="1131"/>
      <c r="P4" s="3194" t="s">
        <v>2649</v>
      </c>
      <c r="Q4" s="3195"/>
      <c r="R4" s="3200" t="s">
        <v>2645</v>
      </c>
      <c r="S4" s="3201"/>
      <c r="T4" s="3200" t="s">
        <v>2646</v>
      </c>
      <c r="U4" s="3201"/>
      <c r="V4" s="3206" t="s">
        <v>2647</v>
      </c>
      <c r="W4" s="3206"/>
      <c r="X4" s="1814"/>
      <c r="Y4" s="3200" t="s">
        <v>2649</v>
      </c>
      <c r="Z4" s="3201"/>
      <c r="AA4" s="3187" t="s">
        <v>2645</v>
      </c>
      <c r="AB4" s="3206" t="s">
        <v>2646</v>
      </c>
      <c r="AC4" s="3187" t="s">
        <v>2647</v>
      </c>
    </row>
    <row r="5" spans="1:29" ht="15">
      <c r="A5" s="405"/>
      <c r="B5" s="406"/>
      <c r="C5" s="3209" t="s">
        <v>2540</v>
      </c>
      <c r="D5" s="3210"/>
      <c r="E5" s="3216" t="s">
        <v>2541</v>
      </c>
      <c r="F5" s="3217"/>
      <c r="G5" s="3209" t="s">
        <v>2542</v>
      </c>
      <c r="H5" s="3210"/>
      <c r="I5" s="3209" t="s">
        <v>2543</v>
      </c>
      <c r="J5" s="3210"/>
      <c r="K5" s="611"/>
      <c r="L5" s="1130"/>
      <c r="M5" s="1131"/>
      <c r="N5" s="1131"/>
      <c r="O5" s="1131"/>
      <c r="P5" s="3196"/>
      <c r="Q5" s="3197"/>
      <c r="R5" s="3202"/>
      <c r="S5" s="3203"/>
      <c r="T5" s="3202"/>
      <c r="U5" s="3203"/>
      <c r="V5" s="3206"/>
      <c r="W5" s="3206"/>
      <c r="X5" s="1814"/>
      <c r="Y5" s="3202"/>
      <c r="Z5" s="3203"/>
      <c r="AA5" s="3188"/>
      <c r="AB5" s="3206"/>
      <c r="AC5" s="3188"/>
    </row>
    <row r="6" spans="1:29" ht="15.75" thickBot="1">
      <c r="A6" s="407"/>
      <c r="B6" s="408"/>
      <c r="C6" s="3207" t="s">
        <v>2544</v>
      </c>
      <c r="D6" s="3208"/>
      <c r="E6" s="3214" t="s">
        <v>2544</v>
      </c>
      <c r="F6" s="3215"/>
      <c r="G6" s="3207" t="s">
        <v>2544</v>
      </c>
      <c r="H6" s="3208"/>
      <c r="I6" s="3207" t="s">
        <v>2544</v>
      </c>
      <c r="J6" s="3208"/>
      <c r="K6" s="611" t="s">
        <v>2545</v>
      </c>
      <c r="L6" s="1130"/>
      <c r="M6" s="1131"/>
      <c r="N6" s="1131"/>
      <c r="O6" s="1131"/>
      <c r="P6" s="3198"/>
      <c r="Q6" s="3199"/>
      <c r="R6" s="3202"/>
      <c r="S6" s="3203"/>
      <c r="T6" s="3204"/>
      <c r="U6" s="3205"/>
      <c r="V6" s="3206"/>
      <c r="W6" s="3206"/>
      <c r="X6" s="1814"/>
      <c r="Y6" s="3204"/>
      <c r="Z6" s="3205"/>
      <c r="AA6" s="3189"/>
      <c r="AB6" s="3206"/>
      <c r="AC6" s="3189"/>
    </row>
    <row r="7" spans="1:29" s="117" customFormat="1" ht="15.75" thickBot="1">
      <c r="A7" s="409" t="s">
        <v>2546</v>
      </c>
      <c r="B7" s="410"/>
      <c r="C7" s="411">
        <f>'数据-取费表'!B2</f>
        <v>43039</v>
      </c>
      <c r="D7" s="412">
        <v>100</v>
      </c>
      <c r="E7" s="413"/>
      <c r="F7" s="414">
        <f>SUMIF(58:58,YEAR(E7)&amp;"-"&amp;MONTH(E7),59:59)</f>
        <v>0</v>
      </c>
      <c r="G7" s="413"/>
      <c r="H7" s="412">
        <f>SUMIF(58:58,YEAR(G7)&amp;"-"&amp;MONTH(G7),59:59)</f>
        <v>0</v>
      </c>
      <c r="I7" s="413"/>
      <c r="J7" s="412">
        <f>SUMIF(58:58,YEAR(I7)&amp;"-"&amp;MONTH(I7),59:59)</f>
        <v>0</v>
      </c>
      <c r="K7" s="612"/>
      <c r="L7" s="1132"/>
      <c r="M7" s="1133"/>
      <c r="N7" s="1133"/>
      <c r="O7" s="1133"/>
      <c r="P7" s="3211" t="s">
        <v>2547</v>
      </c>
      <c r="Q7" s="3213"/>
      <c r="R7" s="771" t="s">
        <v>17</v>
      </c>
      <c r="S7" s="772">
        <f t="shared" ref="S7:S15" si="0">F7</f>
        <v>0</v>
      </c>
      <c r="T7" s="771" t="s">
        <v>17</v>
      </c>
      <c r="U7" s="772">
        <f t="shared" ref="U7:U15" si="1">H7</f>
        <v>0</v>
      </c>
      <c r="V7" s="771" t="s">
        <v>17</v>
      </c>
      <c r="W7" s="772">
        <f t="shared" ref="W7:W15" si="2">J7</f>
        <v>0</v>
      </c>
      <c r="X7" s="773"/>
      <c r="Y7" s="3211" t="s">
        <v>2547</v>
      </c>
      <c r="Z7" s="3212"/>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2"/>
      <c r="M8" s="1133"/>
      <c r="N8" s="1133"/>
      <c r="O8" s="1133"/>
      <c r="P8" s="3211" t="s">
        <v>2550</v>
      </c>
      <c r="Q8" s="3212"/>
      <c r="R8" s="771" t="s">
        <v>17</v>
      </c>
      <c r="S8" s="772">
        <f t="shared" si="0"/>
        <v>0</v>
      </c>
      <c r="T8" s="771" t="s">
        <v>17</v>
      </c>
      <c r="U8" s="772">
        <f t="shared" si="1"/>
        <v>0</v>
      </c>
      <c r="V8" s="771" t="s">
        <v>17</v>
      </c>
      <c r="W8" s="772">
        <f t="shared" si="2"/>
        <v>0</v>
      </c>
      <c r="X8" s="773"/>
      <c r="Y8" s="3211" t="s">
        <v>2550</v>
      </c>
      <c r="Z8" s="3212"/>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2"/>
      <c r="M9" s="1133"/>
      <c r="N9" s="1133"/>
      <c r="O9" s="1133"/>
      <c r="P9" s="3186" t="s">
        <v>2553</v>
      </c>
      <c r="Q9" s="1796" t="str">
        <f t="shared" ref="Q9:Q15" si="6">B9</f>
        <v>用途</v>
      </c>
      <c r="R9" s="771" t="s">
        <v>17</v>
      </c>
      <c r="S9" s="772">
        <f t="shared" si="0"/>
        <v>100</v>
      </c>
      <c r="T9" s="771" t="s">
        <v>17</v>
      </c>
      <c r="U9" s="772">
        <f t="shared" si="1"/>
        <v>100</v>
      </c>
      <c r="V9" s="771" t="s">
        <v>17</v>
      </c>
      <c r="W9" s="772">
        <f t="shared" si="2"/>
        <v>100</v>
      </c>
      <c r="X9" s="773"/>
      <c r="Y9" s="3000"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186"/>
      <c r="Q10" s="1796" t="str">
        <f t="shared" si="6"/>
        <v>土地使用年限（年）</v>
      </c>
      <c r="R10" s="771" t="s">
        <v>17</v>
      </c>
      <c r="S10" s="772">
        <f t="shared" si="0"/>
        <v>100</v>
      </c>
      <c r="T10" s="771" t="s">
        <v>17</v>
      </c>
      <c r="U10" s="772">
        <f t="shared" si="1"/>
        <v>100</v>
      </c>
      <c r="V10" s="771" t="s">
        <v>17</v>
      </c>
      <c r="W10" s="772">
        <f t="shared" si="2"/>
        <v>100</v>
      </c>
      <c r="X10" s="773"/>
      <c r="Y10" s="3000"/>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8"/>
      <c r="M11" s="1131"/>
      <c r="N11" s="1131"/>
      <c r="O11" s="1131"/>
      <c r="P11" s="3186"/>
      <c r="Q11" s="1796" t="str">
        <f t="shared" si="6"/>
        <v>容积率</v>
      </c>
      <c r="R11" s="771" t="s">
        <v>17</v>
      </c>
      <c r="S11" s="772" t="e">
        <f t="shared" si="0"/>
        <v>#N/A</v>
      </c>
      <c r="T11" s="771" t="s">
        <v>17</v>
      </c>
      <c r="U11" s="772" t="e">
        <f t="shared" si="1"/>
        <v>#N/A</v>
      </c>
      <c r="V11" s="771" t="s">
        <v>17</v>
      </c>
      <c r="W11" s="772" t="e">
        <f t="shared" si="2"/>
        <v>#N/A</v>
      </c>
      <c r="X11" s="773"/>
      <c r="Y11" s="3000"/>
      <c r="Z11" s="55" t="str">
        <f t="shared" si="7"/>
        <v>容积率</v>
      </c>
      <c r="AA11" s="774" t="e">
        <f t="shared" si="3"/>
        <v>#N/A</v>
      </c>
      <c r="AB11" s="774" t="e">
        <f t="shared" si="4"/>
        <v>#N/A</v>
      </c>
      <c r="AC11" s="774" t="e">
        <f t="shared" si="5"/>
        <v>#N/A</v>
      </c>
    </row>
    <row r="12" spans="1:29" s="117" customFormat="1" ht="15">
      <c r="A12" s="432"/>
      <c r="B12" s="2597">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186"/>
      <c r="Q12" s="1796">
        <f t="shared" si="6"/>
        <v>111</v>
      </c>
      <c r="R12" s="771" t="s">
        <v>17</v>
      </c>
      <c r="S12" s="772">
        <f t="shared" si="0"/>
        <v>100</v>
      </c>
      <c r="T12" s="771" t="s">
        <v>17</v>
      </c>
      <c r="U12" s="772">
        <f t="shared" si="1"/>
        <v>100</v>
      </c>
      <c r="V12" s="771" t="s">
        <v>17</v>
      </c>
      <c r="W12" s="772">
        <f t="shared" si="2"/>
        <v>100</v>
      </c>
      <c r="X12" s="773"/>
      <c r="Y12" s="3000"/>
      <c r="Z12" s="55">
        <f t="shared" si="7"/>
        <v>111</v>
      </c>
      <c r="AA12" s="774">
        <f>D12/F12</f>
        <v>1</v>
      </c>
      <c r="AB12" s="774">
        <f>D12/H12</f>
        <v>1</v>
      </c>
      <c r="AC12" s="774">
        <f>D12/J12</f>
        <v>1</v>
      </c>
    </row>
    <row r="13" spans="1:29" ht="15">
      <c r="A13" s="429"/>
      <c r="B13" s="2597">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186"/>
      <c r="Q13" s="1796">
        <f t="shared" si="6"/>
        <v>111</v>
      </c>
      <c r="R13" s="771" t="s">
        <v>17</v>
      </c>
      <c r="S13" s="772">
        <f t="shared" si="0"/>
        <v>100</v>
      </c>
      <c r="T13" s="771" t="s">
        <v>17</v>
      </c>
      <c r="U13" s="772">
        <f t="shared" si="1"/>
        <v>100</v>
      </c>
      <c r="V13" s="771" t="s">
        <v>17</v>
      </c>
      <c r="W13" s="772">
        <f t="shared" si="2"/>
        <v>100</v>
      </c>
      <c r="X13" s="773"/>
      <c r="Y13" s="3000"/>
      <c r="Z13" s="55">
        <f t="shared" si="7"/>
        <v>111</v>
      </c>
      <c r="AA13" s="774">
        <f t="shared" si="3"/>
        <v>1</v>
      </c>
      <c r="AB13" s="774">
        <f t="shared" si="4"/>
        <v>1</v>
      </c>
      <c r="AC13" s="774">
        <f t="shared" si="5"/>
        <v>1</v>
      </c>
    </row>
    <row r="14" spans="1:29" ht="15.75" thickBot="1">
      <c r="A14" s="437"/>
      <c r="B14" s="2599">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186"/>
      <c r="Q14" s="1796">
        <f t="shared" si="6"/>
        <v>111</v>
      </c>
      <c r="R14" s="771" t="s">
        <v>17</v>
      </c>
      <c r="S14" s="772">
        <f t="shared" si="0"/>
        <v>100</v>
      </c>
      <c r="T14" s="771" t="s">
        <v>17</v>
      </c>
      <c r="U14" s="772">
        <f t="shared" si="1"/>
        <v>100</v>
      </c>
      <c r="V14" s="771" t="s">
        <v>17</v>
      </c>
      <c r="W14" s="772">
        <f t="shared" si="2"/>
        <v>100</v>
      </c>
      <c r="X14" s="773"/>
      <c r="Y14" s="3000"/>
      <c r="Z14" s="55">
        <f t="shared" si="7"/>
        <v>111</v>
      </c>
      <c r="AA14" s="774">
        <f t="shared" si="3"/>
        <v>1</v>
      </c>
      <c r="AB14" s="774">
        <f t="shared" si="4"/>
        <v>1</v>
      </c>
      <c r="AC14" s="774">
        <f t="shared" si="5"/>
        <v>1</v>
      </c>
    </row>
    <row r="15" spans="1:29" ht="85.5">
      <c r="A15" s="441" t="s">
        <v>2557</v>
      </c>
      <c r="B15" s="69" t="s">
        <v>2651</v>
      </c>
      <c r="C15" s="2600" t="str">
        <f>估价对象房地状况!C4</f>
        <v>估价对象位于回龙观与西三旗商圈之间，周边商业氛围较好，人流量一般，商业繁华度较好</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184" t="s">
        <v>2558</v>
      </c>
      <c r="Q15" s="1811" t="str">
        <f t="shared" si="6"/>
        <v>商业繁华度</v>
      </c>
      <c r="R15" s="775" t="s">
        <v>17</v>
      </c>
      <c r="S15" s="776">
        <f t="shared" si="0"/>
        <v>100</v>
      </c>
      <c r="T15" s="775" t="s">
        <v>17</v>
      </c>
      <c r="U15" s="776">
        <f t="shared" si="1"/>
        <v>100</v>
      </c>
      <c r="V15" s="775" t="s">
        <v>17</v>
      </c>
      <c r="W15" s="776">
        <f t="shared" si="2"/>
        <v>100</v>
      </c>
      <c r="X15" s="1814"/>
      <c r="Y15" s="3177" t="s">
        <v>2558</v>
      </c>
      <c r="Z15" s="1815" t="str">
        <f t="shared" si="7"/>
        <v>商业繁华度</v>
      </c>
      <c r="AA15" s="1812">
        <f t="shared" si="3"/>
        <v>1</v>
      </c>
      <c r="AB15" s="1812">
        <f t="shared" si="4"/>
        <v>1</v>
      </c>
      <c r="AC15" s="1812">
        <f t="shared" si="5"/>
        <v>1</v>
      </c>
    </row>
    <row r="16" spans="1:29" ht="15">
      <c r="A16" s="429"/>
      <c r="B16" s="447"/>
      <c r="C16" s="448"/>
      <c r="D16" s="449"/>
      <c r="E16" s="448"/>
      <c r="F16" s="450"/>
      <c r="G16" s="448"/>
      <c r="H16" s="451"/>
      <c r="I16" s="448"/>
      <c r="J16" s="449"/>
      <c r="K16" s="616"/>
      <c r="L16" s="1140"/>
      <c r="M16" s="1131"/>
      <c r="N16" s="1131"/>
      <c r="O16" s="1131"/>
      <c r="P16" s="3185"/>
      <c r="Q16" s="1811"/>
      <c r="R16" s="775"/>
      <c r="S16" s="776"/>
      <c r="T16" s="775"/>
      <c r="U16" s="776"/>
      <c r="V16" s="775"/>
      <c r="W16" s="776"/>
      <c r="X16" s="1814"/>
      <c r="Y16" s="3178"/>
      <c r="Z16" s="1815"/>
      <c r="AA16" s="1812">
        <v>1</v>
      </c>
      <c r="AB16" s="1812">
        <v>1</v>
      </c>
      <c r="AC16" s="1812">
        <v>1</v>
      </c>
    </row>
    <row r="17" spans="1:29" ht="128.25">
      <c r="A17" s="429"/>
      <c r="B17" s="452" t="s">
        <v>2096</v>
      </c>
      <c r="C17" s="2604" t="str">
        <f>估价对象房地状况!C6</f>
        <v>估价对象周边有371、462等公交线路并有8号线等，公共交通通达情况；项目自身有停车位、停车便捷程度较好，综合评价交通便捷度较好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185"/>
      <c r="Q17" s="1811" t="str">
        <f>B17</f>
        <v>交通便捷度</v>
      </c>
      <c r="R17" s="775" t="s">
        <v>17</v>
      </c>
      <c r="S17" s="776">
        <f>F17</f>
        <v>100</v>
      </c>
      <c r="T17" s="775" t="s">
        <v>17</v>
      </c>
      <c r="U17" s="776">
        <f>H17</f>
        <v>100</v>
      </c>
      <c r="V17" s="775" t="s">
        <v>17</v>
      </c>
      <c r="W17" s="776">
        <f>J17</f>
        <v>100</v>
      </c>
      <c r="X17" s="1814"/>
      <c r="Y17" s="3178"/>
      <c r="Z17" s="1815" t="str">
        <f>Q17</f>
        <v>交通便捷度</v>
      </c>
      <c r="AA17" s="1812">
        <f t="shared" si="3"/>
        <v>1</v>
      </c>
      <c r="AB17" s="1812">
        <f t="shared" si="4"/>
        <v>1</v>
      </c>
      <c r="AC17" s="1812">
        <f t="shared" si="5"/>
        <v>1</v>
      </c>
    </row>
    <row r="18" spans="1:29" ht="15">
      <c r="A18" s="429"/>
      <c r="B18" s="457"/>
      <c r="C18" s="2605"/>
      <c r="D18" s="451"/>
      <c r="E18" s="2607"/>
      <c r="F18" s="454"/>
      <c r="G18" s="2606"/>
      <c r="H18" s="449"/>
      <c r="I18" s="2607"/>
      <c r="J18" s="449"/>
      <c r="K18" s="616"/>
      <c r="L18" s="1140"/>
      <c r="M18" s="1131"/>
      <c r="N18" s="1131"/>
      <c r="O18" s="1131"/>
      <c r="P18" s="3185"/>
      <c r="Q18" s="1811"/>
      <c r="R18" s="775"/>
      <c r="S18" s="776"/>
      <c r="T18" s="775"/>
      <c r="U18" s="776"/>
      <c r="V18" s="775"/>
      <c r="W18" s="776"/>
      <c r="X18" s="1814"/>
      <c r="Y18" s="3178"/>
      <c r="Z18" s="1815"/>
      <c r="AA18" s="1812">
        <v>1</v>
      </c>
      <c r="AB18" s="1812">
        <v>1</v>
      </c>
      <c r="AC18" s="1812">
        <v>1</v>
      </c>
    </row>
    <row r="19" spans="1:29" ht="71.25">
      <c r="A19" s="429"/>
      <c r="B19" s="452" t="s">
        <v>2652</v>
      </c>
      <c r="C19" s="2604" t="str">
        <f>估价对象房地状况!C7</f>
        <v>估价对象所在区域公共配套设施较齐备；综合评价公用设施及基础设施水平较好</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185"/>
      <c r="Q19" s="1811" t="str">
        <f>B19</f>
        <v>公共配套设施</v>
      </c>
      <c r="R19" s="775" t="s">
        <v>17</v>
      </c>
      <c r="S19" s="776">
        <f>F19</f>
        <v>100</v>
      </c>
      <c r="T19" s="775" t="s">
        <v>17</v>
      </c>
      <c r="U19" s="776">
        <f>H19</f>
        <v>100</v>
      </c>
      <c r="V19" s="775" t="s">
        <v>17</v>
      </c>
      <c r="W19" s="776">
        <f>J19</f>
        <v>100</v>
      </c>
      <c r="X19" s="1814"/>
      <c r="Y19" s="3178"/>
      <c r="Z19" s="1815" t="str">
        <f>Q19</f>
        <v>公共配套设施</v>
      </c>
      <c r="AA19" s="1812">
        <f t="shared" si="3"/>
        <v>1</v>
      </c>
      <c r="AB19" s="1812">
        <f t="shared" si="4"/>
        <v>1</v>
      </c>
      <c r="AC19" s="1812">
        <f t="shared" si="5"/>
        <v>1</v>
      </c>
    </row>
    <row r="20" spans="1:29" ht="15">
      <c r="A20" s="429"/>
      <c r="B20" s="457"/>
      <c r="C20" s="448"/>
      <c r="D20" s="449"/>
      <c r="E20" s="2602"/>
      <c r="F20" s="450"/>
      <c r="G20" s="2601"/>
      <c r="H20" s="449"/>
      <c r="I20" s="2602"/>
      <c r="J20" s="449"/>
      <c r="K20" s="616"/>
      <c r="L20" s="1140"/>
      <c r="M20" s="1131"/>
      <c r="N20" s="1131"/>
      <c r="O20" s="1131"/>
      <c r="P20" s="3185"/>
      <c r="Q20" s="1811"/>
      <c r="R20" s="775"/>
      <c r="S20" s="776"/>
      <c r="T20" s="775"/>
      <c r="U20" s="776"/>
      <c r="V20" s="775"/>
      <c r="W20" s="776"/>
      <c r="X20" s="1814"/>
      <c r="Y20" s="3178"/>
      <c r="Z20" s="1815"/>
      <c r="AA20" s="1812">
        <v>1</v>
      </c>
      <c r="AB20" s="1812">
        <v>1</v>
      </c>
      <c r="AC20" s="1812">
        <v>1</v>
      </c>
    </row>
    <row r="21" spans="1:29" ht="28.5">
      <c r="A21" s="429"/>
      <c r="B21" s="1384" t="s">
        <v>2653</v>
      </c>
      <c r="C21" s="2604" t="str">
        <f>估价对象房地状况!C8</f>
        <v>基础设施水平七通一平；</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185"/>
      <c r="Q21" s="1811" t="str">
        <f>B21</f>
        <v>基础设施水平</v>
      </c>
      <c r="R21" s="775" t="s">
        <v>17</v>
      </c>
      <c r="S21" s="776">
        <f>F21</f>
        <v>100</v>
      </c>
      <c r="T21" s="775" t="s">
        <v>17</v>
      </c>
      <c r="U21" s="776">
        <f>H21</f>
        <v>100</v>
      </c>
      <c r="V21" s="775" t="s">
        <v>17</v>
      </c>
      <c r="W21" s="776">
        <f>J21</f>
        <v>100</v>
      </c>
      <c r="X21" s="1814"/>
      <c r="Y21" s="3178"/>
      <c r="Z21" s="1815" t="str">
        <f>Q21</f>
        <v>基础设施水平</v>
      </c>
      <c r="AA21" s="1812">
        <f t="shared" ref="AA21" si="8">D21/F21</f>
        <v>1</v>
      </c>
      <c r="AB21" s="1812">
        <f t="shared" ref="AB21" si="9">D21/H21</f>
        <v>1</v>
      </c>
      <c r="AC21" s="1812">
        <f t="shared" ref="AC21" si="10">D21/J21</f>
        <v>1</v>
      </c>
    </row>
    <row r="22" spans="1:29" ht="15">
      <c r="A22" s="429"/>
      <c r="B22" s="1384"/>
      <c r="C22" s="2605"/>
      <c r="D22" s="449"/>
      <c r="E22" s="448"/>
      <c r="F22" s="450"/>
      <c r="G22" s="448"/>
      <c r="H22" s="449"/>
      <c r="I22" s="448"/>
      <c r="J22" s="449"/>
      <c r="K22" s="1383"/>
      <c r="L22" s="1140"/>
      <c r="M22" s="1131"/>
      <c r="N22" s="1131"/>
      <c r="O22" s="1131"/>
      <c r="P22" s="3185"/>
      <c r="Q22" s="1811"/>
      <c r="R22" s="775"/>
      <c r="S22" s="776"/>
      <c r="T22" s="775"/>
      <c r="U22" s="776"/>
      <c r="V22" s="775"/>
      <c r="W22" s="776"/>
      <c r="X22" s="1814"/>
      <c r="Y22" s="3178"/>
      <c r="Z22" s="1815"/>
      <c r="AA22" s="1812">
        <v>1</v>
      </c>
      <c r="AB22" s="1812">
        <v>1</v>
      </c>
      <c r="AC22" s="1812">
        <v>1</v>
      </c>
    </row>
    <row r="23" spans="1:29" ht="85.5">
      <c r="A23" s="429"/>
      <c r="B23" s="452" t="s">
        <v>2101</v>
      </c>
      <c r="C23" s="2661" t="str">
        <f>估价对象房地状况!C9</f>
        <v>区域自然环境：南店公园等；人文环境：北京石油管理干部学院；综合评价环境状况较好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185"/>
      <c r="Q23" s="1811" t="str">
        <f>B23</f>
        <v>自然及人文环境</v>
      </c>
      <c r="R23" s="775" t="s">
        <v>17</v>
      </c>
      <c r="S23" s="776">
        <f>F23</f>
        <v>100</v>
      </c>
      <c r="T23" s="775" t="s">
        <v>17</v>
      </c>
      <c r="U23" s="776">
        <f>H23</f>
        <v>100</v>
      </c>
      <c r="V23" s="775" t="s">
        <v>17</v>
      </c>
      <c r="W23" s="776">
        <f>J23</f>
        <v>100</v>
      </c>
      <c r="X23" s="1814"/>
      <c r="Y23" s="3178"/>
      <c r="Z23" s="1815" t="str">
        <f>Q23</f>
        <v>自然及人文环境</v>
      </c>
      <c r="AA23" s="1812">
        <f t="shared" si="3"/>
        <v>1</v>
      </c>
      <c r="AB23" s="1812">
        <f t="shared" si="4"/>
        <v>1</v>
      </c>
      <c r="AC23" s="1812">
        <f t="shared" si="5"/>
        <v>1</v>
      </c>
    </row>
    <row r="24" spans="1:29" ht="15">
      <c r="A24" s="429"/>
      <c r="B24" s="457"/>
      <c r="C24" s="448"/>
      <c r="D24" s="449"/>
      <c r="E24" s="2602"/>
      <c r="F24" s="450"/>
      <c r="G24" s="2601"/>
      <c r="H24" s="449"/>
      <c r="I24" s="2602"/>
      <c r="J24" s="449"/>
      <c r="K24" s="616"/>
      <c r="L24" s="1140"/>
      <c r="M24" s="1131"/>
      <c r="N24" s="1131"/>
      <c r="O24" s="1131"/>
      <c r="P24" s="3185"/>
      <c r="Q24" s="1811"/>
      <c r="R24" s="775"/>
      <c r="S24" s="776"/>
      <c r="T24" s="775"/>
      <c r="U24" s="776"/>
      <c r="V24" s="775"/>
      <c r="W24" s="776"/>
      <c r="X24" s="1814"/>
      <c r="Y24" s="3178"/>
      <c r="Z24" s="1815"/>
      <c r="AA24" s="1812">
        <v>1</v>
      </c>
      <c r="AB24" s="1812">
        <v>1</v>
      </c>
      <c r="AC24" s="1812">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185"/>
      <c r="Q25" s="1811" t="str">
        <f t="shared" ref="Q25:Q46" si="11">B25</f>
        <v>临街状况</v>
      </c>
      <c r="R25" s="775" t="s">
        <v>17</v>
      </c>
      <c r="S25" s="776">
        <f>F25</f>
        <v>100</v>
      </c>
      <c r="T25" s="775" t="s">
        <v>17</v>
      </c>
      <c r="U25" s="776">
        <f>H25</f>
        <v>100</v>
      </c>
      <c r="V25" s="775" t="s">
        <v>17</v>
      </c>
      <c r="W25" s="776">
        <f>J25</f>
        <v>100</v>
      </c>
      <c r="X25" s="1814"/>
      <c r="Y25" s="3178"/>
      <c r="Z25" s="1815" t="str">
        <f>Q25</f>
        <v>临街状况</v>
      </c>
      <c r="AA25" s="1812">
        <f t="shared" si="3"/>
        <v>1</v>
      </c>
      <c r="AB25" s="1812">
        <f t="shared" si="4"/>
        <v>1</v>
      </c>
      <c r="AC25" s="1812">
        <f t="shared" si="5"/>
        <v>1</v>
      </c>
    </row>
    <row r="26" spans="1:29" ht="15">
      <c r="A26" s="429"/>
      <c r="B26" s="1386" t="s">
        <v>2655</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185"/>
      <c r="Q26" s="1811" t="str">
        <f t="shared" si="11"/>
        <v>平面位置/可视性</v>
      </c>
      <c r="R26" s="775" t="s">
        <v>17</v>
      </c>
      <c r="S26" s="776">
        <f>F26</f>
        <v>100</v>
      </c>
      <c r="T26" s="775" t="s">
        <v>17</v>
      </c>
      <c r="U26" s="776">
        <f>H26</f>
        <v>100</v>
      </c>
      <c r="V26" s="775" t="s">
        <v>17</v>
      </c>
      <c r="W26" s="776">
        <f>J26</f>
        <v>100</v>
      </c>
      <c r="X26" s="1814"/>
      <c r="Y26" s="3178"/>
      <c r="Z26" s="1815" t="str">
        <f>Q26</f>
        <v>平面位置/可视性</v>
      </c>
      <c r="AA26" s="1812">
        <f t="shared" si="3"/>
        <v>1</v>
      </c>
      <c r="AB26" s="1812">
        <f t="shared" si="4"/>
        <v>1</v>
      </c>
      <c r="AC26" s="1812">
        <f t="shared" si="5"/>
        <v>1</v>
      </c>
    </row>
    <row r="27" spans="1:29" s="117" customFormat="1" ht="15">
      <c r="A27" s="432"/>
      <c r="B27" s="452" t="s">
        <v>2656</v>
      </c>
      <c r="C27" s="2662"/>
      <c r="D27" s="463">
        <v>100</v>
      </c>
      <c r="E27" s="2662"/>
      <c r="F27" s="465">
        <f>SUMIF(90:90,E27,91:91)-SUMIF(90:90,C27,91:91)+100</f>
        <v>100</v>
      </c>
      <c r="G27" s="2662"/>
      <c r="H27" s="463">
        <f>SUMIF(90:90,G27,91:91)-SUMIF(90:90,C27,91:91)+100</f>
        <v>100</v>
      </c>
      <c r="I27" s="2662"/>
      <c r="J27" s="463">
        <f>SUMIF(90:90,I27,91:91)-SUMIF(90:90,C27,91:91)+100</f>
        <v>100</v>
      </c>
      <c r="K27" s="613"/>
      <c r="L27" s="1132"/>
      <c r="M27" s="1133"/>
      <c r="N27" s="1133"/>
      <c r="O27" s="1133"/>
      <c r="P27" s="3185"/>
      <c r="Q27" s="1796" t="str">
        <f t="shared" si="11"/>
        <v>人流量</v>
      </c>
      <c r="R27" s="771" t="s">
        <v>17</v>
      </c>
      <c r="S27" s="772">
        <f>F27</f>
        <v>100</v>
      </c>
      <c r="T27" s="771" t="s">
        <v>17</v>
      </c>
      <c r="U27" s="772">
        <f>H27</f>
        <v>100</v>
      </c>
      <c r="V27" s="771" t="s">
        <v>17</v>
      </c>
      <c r="W27" s="772">
        <f>J27</f>
        <v>100</v>
      </c>
      <c r="X27" s="773"/>
      <c r="Y27" s="3178"/>
      <c r="Z27" s="55" t="str">
        <f>Q27</f>
        <v>人流量</v>
      </c>
      <c r="AA27" s="1812">
        <f>D27/F27</f>
        <v>1</v>
      </c>
      <c r="AB27" s="1812">
        <f>D27/H27</f>
        <v>1</v>
      </c>
      <c r="AC27" s="1812">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185"/>
      <c r="Q28" s="1811" t="str">
        <f t="shared" si="11"/>
        <v>楼层</v>
      </c>
      <c r="R28" s="775" t="s">
        <v>17</v>
      </c>
      <c r="S28" s="776">
        <f t="shared" ref="S28:S46" si="12">F28</f>
        <v>100</v>
      </c>
      <c r="T28" s="775" t="s">
        <v>17</v>
      </c>
      <c r="U28" s="776">
        <f t="shared" ref="U28:U46" si="13">H28</f>
        <v>100</v>
      </c>
      <c r="V28" s="775" t="s">
        <v>17</v>
      </c>
      <c r="W28" s="776">
        <f t="shared" ref="W28:W46" si="14">J28</f>
        <v>100</v>
      </c>
      <c r="X28" s="1814"/>
      <c r="Y28" s="3178"/>
      <c r="Z28" s="1815" t="str">
        <f t="shared" ref="Z28:Z46" si="15">Q28</f>
        <v>楼层</v>
      </c>
      <c r="AA28" s="1812">
        <f t="shared" si="3"/>
        <v>1</v>
      </c>
      <c r="AB28" s="1812">
        <f t="shared" si="4"/>
        <v>1</v>
      </c>
      <c r="AC28" s="1812">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185"/>
      <c r="Q29" s="1811">
        <f t="shared" si="11"/>
        <v>111</v>
      </c>
      <c r="R29" s="775" t="s">
        <v>17</v>
      </c>
      <c r="S29" s="776">
        <f t="shared" si="12"/>
        <v>100</v>
      </c>
      <c r="T29" s="775" t="s">
        <v>17</v>
      </c>
      <c r="U29" s="776">
        <f t="shared" si="13"/>
        <v>100</v>
      </c>
      <c r="V29" s="775" t="s">
        <v>17</v>
      </c>
      <c r="W29" s="776">
        <f t="shared" si="14"/>
        <v>100</v>
      </c>
      <c r="X29" s="1814"/>
      <c r="Y29" s="3178"/>
      <c r="Z29" s="1815">
        <f t="shared" si="15"/>
        <v>111</v>
      </c>
      <c r="AA29" s="1812">
        <f t="shared" si="3"/>
        <v>1</v>
      </c>
      <c r="AB29" s="1812">
        <f t="shared" si="4"/>
        <v>1</v>
      </c>
      <c r="AC29" s="1812">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185"/>
      <c r="Q30" s="1811">
        <f t="shared" si="11"/>
        <v>111</v>
      </c>
      <c r="R30" s="775" t="s">
        <v>17</v>
      </c>
      <c r="S30" s="776">
        <f t="shared" si="12"/>
        <v>100</v>
      </c>
      <c r="T30" s="775" t="s">
        <v>17</v>
      </c>
      <c r="U30" s="776">
        <f t="shared" si="13"/>
        <v>100</v>
      </c>
      <c r="V30" s="775" t="s">
        <v>17</v>
      </c>
      <c r="W30" s="776">
        <f t="shared" si="14"/>
        <v>100</v>
      </c>
      <c r="X30" s="1814"/>
      <c r="Y30" s="3178"/>
      <c r="Z30" s="1815">
        <f t="shared" si="15"/>
        <v>111</v>
      </c>
      <c r="AA30" s="1812">
        <f t="shared" si="3"/>
        <v>1</v>
      </c>
      <c r="AB30" s="1812">
        <f t="shared" si="4"/>
        <v>1</v>
      </c>
      <c r="AC30" s="1812">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185"/>
      <c r="Q31" s="1811">
        <f t="shared" si="11"/>
        <v>111</v>
      </c>
      <c r="R31" s="775" t="s">
        <v>17</v>
      </c>
      <c r="S31" s="776">
        <f t="shared" si="12"/>
        <v>100</v>
      </c>
      <c r="T31" s="775" t="s">
        <v>17</v>
      </c>
      <c r="U31" s="776">
        <f t="shared" si="13"/>
        <v>100</v>
      </c>
      <c r="V31" s="775" t="s">
        <v>17</v>
      </c>
      <c r="W31" s="776">
        <f t="shared" si="14"/>
        <v>100</v>
      </c>
      <c r="X31" s="1814"/>
      <c r="Y31" s="3178"/>
      <c r="Z31" s="1815">
        <f t="shared" si="15"/>
        <v>111</v>
      </c>
      <c r="AA31" s="1812">
        <f t="shared" si="3"/>
        <v>1</v>
      </c>
      <c r="AB31" s="1812">
        <f t="shared" si="4"/>
        <v>1</v>
      </c>
      <c r="AC31" s="1812">
        <f t="shared" si="5"/>
        <v>1</v>
      </c>
    </row>
    <row r="32" spans="1:29" ht="15">
      <c r="A32" s="441" t="s">
        <v>2561</v>
      </c>
      <c r="B32" s="71" t="s">
        <v>2658</v>
      </c>
      <c r="C32" s="2614"/>
      <c r="D32" s="468">
        <v>100</v>
      </c>
      <c r="E32" s="2614"/>
      <c r="F32" s="462">
        <f>SUMIF(100:100,E32,101:101)-SUMIF(100:100,C32,101:101)+100</f>
        <v>100</v>
      </c>
      <c r="G32" s="2614"/>
      <c r="H32" s="436">
        <f>SUMIF(100:100,G32,101:101)-SUMIF(100:100,C32,101:101)+100</f>
        <v>100</v>
      </c>
      <c r="I32" s="2614"/>
      <c r="J32" s="468">
        <f>SUMIF(100:100,I32,101:101)-SUMIF(100:100,C32,101:101)+100</f>
        <v>100</v>
      </c>
      <c r="K32" s="613"/>
      <c r="L32" s="1140"/>
      <c r="M32" s="1131"/>
      <c r="N32" s="1131"/>
      <c r="O32" s="1131"/>
      <c r="P32" s="3179" t="s">
        <v>2563</v>
      </c>
      <c r="Q32" s="1811" t="str">
        <f t="shared" si="11"/>
        <v>商业类型</v>
      </c>
      <c r="R32" s="775" t="s">
        <v>17</v>
      </c>
      <c r="S32" s="776">
        <f t="shared" si="12"/>
        <v>100</v>
      </c>
      <c r="T32" s="775" t="s">
        <v>17</v>
      </c>
      <c r="U32" s="776">
        <f t="shared" si="13"/>
        <v>100</v>
      </c>
      <c r="V32" s="775" t="s">
        <v>17</v>
      </c>
      <c r="W32" s="776">
        <f t="shared" si="14"/>
        <v>100</v>
      </c>
      <c r="X32" s="1814"/>
      <c r="Y32" s="3182" t="s">
        <v>2563</v>
      </c>
      <c r="Z32" s="1815" t="str">
        <f t="shared" si="15"/>
        <v>商业类型</v>
      </c>
      <c r="AA32" s="1812">
        <f t="shared" si="3"/>
        <v>1</v>
      </c>
      <c r="AB32" s="1812">
        <f t="shared" si="4"/>
        <v>1</v>
      </c>
      <c r="AC32" s="1812">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8"/>
      <c r="M33" s="1141"/>
      <c r="N33" s="1141"/>
      <c r="O33" s="1141"/>
      <c r="P33" s="3180"/>
      <c r="Q33" s="777" t="str">
        <f t="shared" si="11"/>
        <v>项目建筑规模</v>
      </c>
      <c r="R33" s="778" t="s">
        <v>17</v>
      </c>
      <c r="S33" s="779" t="e">
        <f t="shared" si="12"/>
        <v>#N/A</v>
      </c>
      <c r="T33" s="778" t="s">
        <v>17</v>
      </c>
      <c r="U33" s="779" t="e">
        <f t="shared" si="13"/>
        <v>#N/A</v>
      </c>
      <c r="V33" s="778" t="s">
        <v>17</v>
      </c>
      <c r="W33" s="779" t="e">
        <f t="shared" si="14"/>
        <v>#N/A</v>
      </c>
      <c r="X33" s="780"/>
      <c r="Y33" s="3182"/>
      <c r="Z33" s="781" t="str">
        <f t="shared" si="15"/>
        <v>项目建筑规模</v>
      </c>
      <c r="AA33" s="1812" t="e">
        <f t="shared" si="3"/>
        <v>#N/A</v>
      </c>
      <c r="AB33" s="1812" t="e">
        <f t="shared" si="4"/>
        <v>#N/A</v>
      </c>
      <c r="AC33" s="1812" t="e">
        <f t="shared" si="5"/>
        <v>#N/A</v>
      </c>
    </row>
    <row r="34" spans="1:29" ht="15">
      <c r="A34" s="473"/>
      <c r="B34" s="423" t="s">
        <v>2565</v>
      </c>
      <c r="C34" s="2616"/>
      <c r="D34" s="436">
        <v>100</v>
      </c>
      <c r="E34" s="2616"/>
      <c r="F34" s="462">
        <f>SUMIF(105:105,E34,106:106)-SUMIF(105:105,C34,106:106)+100</f>
        <v>100</v>
      </c>
      <c r="G34" s="2616"/>
      <c r="H34" s="436">
        <f>SUMIF(105:105,G34,106:106)-SUMIF(105:105,C34,106:106)+100</f>
        <v>100</v>
      </c>
      <c r="I34" s="2616"/>
      <c r="J34" s="436">
        <f>SUMIF(105:105,I34,106:106)-SUMIF(105:105,C34,106:106)+100</f>
        <v>100</v>
      </c>
      <c r="K34" s="613"/>
      <c r="L34" s="1140"/>
      <c r="M34" s="1131"/>
      <c r="N34" s="1131"/>
      <c r="O34" s="1131"/>
      <c r="P34" s="3180"/>
      <c r="Q34" s="1811" t="str">
        <f t="shared" si="11"/>
        <v>建筑结构</v>
      </c>
      <c r="R34" s="775" t="s">
        <v>17</v>
      </c>
      <c r="S34" s="776">
        <f t="shared" si="12"/>
        <v>100</v>
      </c>
      <c r="T34" s="775" t="s">
        <v>17</v>
      </c>
      <c r="U34" s="776">
        <f t="shared" si="13"/>
        <v>100</v>
      </c>
      <c r="V34" s="775" t="s">
        <v>17</v>
      </c>
      <c r="W34" s="776">
        <f t="shared" si="14"/>
        <v>100</v>
      </c>
      <c r="X34" s="1814"/>
      <c r="Y34" s="3182"/>
      <c r="Z34" s="1815" t="str">
        <f t="shared" si="15"/>
        <v>建筑结构</v>
      </c>
      <c r="AA34" s="1812">
        <f t="shared" si="3"/>
        <v>1</v>
      </c>
      <c r="AB34" s="1812">
        <f t="shared" si="4"/>
        <v>1</v>
      </c>
      <c r="AC34" s="1812">
        <f t="shared" si="5"/>
        <v>1</v>
      </c>
    </row>
    <row r="35" spans="1:29" ht="15">
      <c r="A35" s="473"/>
      <c r="B35" s="423" t="s">
        <v>2659</v>
      </c>
      <c r="C35" s="2610"/>
      <c r="D35" s="436">
        <v>100</v>
      </c>
      <c r="E35" s="2610"/>
      <c r="F35" s="462">
        <f>SUMIF(107:107,E35,108:108)-SUMIF(107:107,C35,108:108)+100</f>
        <v>100</v>
      </c>
      <c r="G35" s="2610"/>
      <c r="H35" s="436">
        <f>SUMIF(107:107,G35,108:108)-SUMIF(107:107,C35,108:108)+100</f>
        <v>100</v>
      </c>
      <c r="I35" s="2610"/>
      <c r="J35" s="436">
        <f>SUMIF(107:107,I35,108:108)-SUMIF(107:107,C35,108:108)+100</f>
        <v>100</v>
      </c>
      <c r="K35" s="613"/>
      <c r="L35" s="1140"/>
      <c r="M35" s="1131"/>
      <c r="N35" s="1131"/>
      <c r="O35" s="1131"/>
      <c r="P35" s="3180"/>
      <c r="Q35" s="1811" t="str">
        <f t="shared" si="11"/>
        <v>公共部分装修</v>
      </c>
      <c r="R35" s="775" t="s">
        <v>17</v>
      </c>
      <c r="S35" s="776">
        <f t="shared" si="12"/>
        <v>100</v>
      </c>
      <c r="T35" s="775" t="s">
        <v>17</v>
      </c>
      <c r="U35" s="776">
        <f t="shared" si="13"/>
        <v>100</v>
      </c>
      <c r="V35" s="775" t="s">
        <v>17</v>
      </c>
      <c r="W35" s="776">
        <f t="shared" si="14"/>
        <v>100</v>
      </c>
      <c r="X35" s="1814"/>
      <c r="Y35" s="3182"/>
      <c r="Z35" s="1815" t="str">
        <f t="shared" si="15"/>
        <v>公共部分装修</v>
      </c>
      <c r="AA35" s="1812">
        <f t="shared" si="3"/>
        <v>1</v>
      </c>
      <c r="AB35" s="1812">
        <f t="shared" si="4"/>
        <v>1</v>
      </c>
      <c r="AC35" s="1812">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0"/>
      <c r="M36" s="1131"/>
      <c r="N36" s="1131"/>
      <c r="O36" s="1131"/>
      <c r="P36" s="3180"/>
      <c r="Q36" s="1811" t="str">
        <f t="shared" si="11"/>
        <v>成新度</v>
      </c>
      <c r="R36" s="775" t="s">
        <v>17</v>
      </c>
      <c r="S36" s="776" t="e">
        <f t="shared" si="12"/>
        <v>#N/A</v>
      </c>
      <c r="T36" s="775" t="s">
        <v>17</v>
      </c>
      <c r="U36" s="776" t="e">
        <f t="shared" si="13"/>
        <v>#N/A</v>
      </c>
      <c r="V36" s="775" t="s">
        <v>17</v>
      </c>
      <c r="W36" s="776" t="e">
        <f t="shared" si="14"/>
        <v>#N/A</v>
      </c>
      <c r="X36" s="1814"/>
      <c r="Y36" s="3182"/>
      <c r="Z36" s="1815" t="str">
        <f t="shared" si="15"/>
        <v>成新度</v>
      </c>
      <c r="AA36" s="1812" t="e">
        <f t="shared" si="3"/>
        <v>#N/A</v>
      </c>
      <c r="AB36" s="1812" t="e">
        <f t="shared" si="4"/>
        <v>#N/A</v>
      </c>
      <c r="AC36" s="1812" t="e">
        <f t="shared" si="5"/>
        <v>#N/A</v>
      </c>
    </row>
    <row r="37" spans="1:29" s="117" customFormat="1" ht="15">
      <c r="A37" s="474"/>
      <c r="B37" s="423" t="s">
        <v>2661</v>
      </c>
      <c r="C37" s="2610"/>
      <c r="D37" s="136">
        <v>100</v>
      </c>
      <c r="E37" s="2610"/>
      <c r="F37" s="462">
        <f>SUMIF(112:112,E37,113:113)-SUMIF(112:112,C37,113:113)+100</f>
        <v>100</v>
      </c>
      <c r="G37" s="2610"/>
      <c r="H37" s="436">
        <f>SUMIF(112:112,G37,113:113)-SUMIF(112:112,C37,113:113)+100</f>
        <v>100</v>
      </c>
      <c r="I37" s="2610"/>
      <c r="J37" s="436">
        <f>SUMIF(112:112,I37,113:113)-SUMIF(112:112,C37,113:113)+100</f>
        <v>100</v>
      </c>
      <c r="K37" s="613"/>
      <c r="L37" s="1132"/>
      <c r="M37" s="1133"/>
      <c r="N37" s="1133"/>
      <c r="O37" s="1133"/>
      <c r="P37" s="3180"/>
      <c r="Q37" s="1796" t="str">
        <f t="shared" si="11"/>
        <v>市政基础设施</v>
      </c>
      <c r="R37" s="771" t="s">
        <v>17</v>
      </c>
      <c r="S37" s="772">
        <f t="shared" si="12"/>
        <v>100</v>
      </c>
      <c r="T37" s="771" t="s">
        <v>17</v>
      </c>
      <c r="U37" s="772">
        <f t="shared" si="13"/>
        <v>100</v>
      </c>
      <c r="V37" s="771" t="s">
        <v>17</v>
      </c>
      <c r="W37" s="772">
        <f t="shared" si="14"/>
        <v>100</v>
      </c>
      <c r="X37" s="773"/>
      <c r="Y37" s="3182"/>
      <c r="Z37" s="55" t="str">
        <f t="shared" si="15"/>
        <v>市政基础设施</v>
      </c>
      <c r="AA37" s="774">
        <f t="shared" si="3"/>
        <v>1</v>
      </c>
      <c r="AB37" s="774">
        <f t="shared" si="4"/>
        <v>1</v>
      </c>
      <c r="AC37" s="774">
        <f t="shared" si="5"/>
        <v>1</v>
      </c>
    </row>
    <row r="38" spans="1:29" ht="15">
      <c r="A38" s="473"/>
      <c r="B38" s="423" t="s">
        <v>2662</v>
      </c>
      <c r="C38" s="2610"/>
      <c r="D38" s="436">
        <v>100</v>
      </c>
      <c r="E38" s="2610"/>
      <c r="F38" s="462">
        <f>SUMIF(114:114,E38,115:115)-SUMIF(114:114,C38,115:115)+100</f>
        <v>100</v>
      </c>
      <c r="G38" s="2610"/>
      <c r="H38" s="436">
        <f>SUMIF(114:114,G38,115:115)-SUMIF(114:114,C38,115:115)+100</f>
        <v>100</v>
      </c>
      <c r="I38" s="2610"/>
      <c r="J38" s="436">
        <f>SUMIF(114:114,I38,115:115)-SUMIF(114:114,C38,115:115)+100</f>
        <v>100</v>
      </c>
      <c r="K38" s="613"/>
      <c r="L38" s="1140"/>
      <c r="M38" s="1131"/>
      <c r="N38" s="1131"/>
      <c r="O38" s="1131"/>
      <c r="P38" s="3180" t="s">
        <v>2563</v>
      </c>
      <c r="Q38" s="1811" t="str">
        <f t="shared" si="11"/>
        <v>业态</v>
      </c>
      <c r="R38" s="775" t="s">
        <v>17</v>
      </c>
      <c r="S38" s="776">
        <f t="shared" si="12"/>
        <v>100</v>
      </c>
      <c r="T38" s="775" t="s">
        <v>17</v>
      </c>
      <c r="U38" s="776">
        <f t="shared" si="13"/>
        <v>100</v>
      </c>
      <c r="V38" s="775" t="s">
        <v>17</v>
      </c>
      <c r="W38" s="776">
        <f t="shared" si="14"/>
        <v>100</v>
      </c>
      <c r="X38" s="1814"/>
      <c r="Y38" s="3182" t="s">
        <v>2563</v>
      </c>
      <c r="Z38" s="1815" t="str">
        <f t="shared" si="15"/>
        <v>业态</v>
      </c>
      <c r="AA38" s="1812">
        <f t="shared" si="3"/>
        <v>1</v>
      </c>
      <c r="AB38" s="1812">
        <f t="shared" si="4"/>
        <v>1</v>
      </c>
      <c r="AC38" s="1812">
        <f t="shared" si="5"/>
        <v>1</v>
      </c>
    </row>
    <row r="39" spans="1:29" ht="15">
      <c r="A39" s="473"/>
      <c r="B39" s="423" t="s">
        <v>2663</v>
      </c>
      <c r="C39" s="2610"/>
      <c r="D39" s="436">
        <v>100</v>
      </c>
      <c r="E39" s="2610"/>
      <c r="F39" s="462">
        <f>SUMIF(116:116,E39,117:117)-SUMIF(116:116,C39,117:117)+100</f>
        <v>100</v>
      </c>
      <c r="G39" s="2610"/>
      <c r="H39" s="436">
        <f>SUMIF(116:116,G39,117:117)-SUMIF(116:116,C39,117:117)+100</f>
        <v>100</v>
      </c>
      <c r="I39" s="2610"/>
      <c r="J39" s="436">
        <f>SUMIF(116:116,I39,117:117)-SUMIF(116:116,C39,117:117)+100</f>
        <v>100</v>
      </c>
      <c r="K39" s="613"/>
      <c r="L39" s="1140"/>
      <c r="M39" s="1131"/>
      <c r="N39" s="1131"/>
      <c r="O39" s="1131"/>
      <c r="P39" s="3180"/>
      <c r="Q39" s="1811" t="str">
        <f t="shared" si="11"/>
        <v>层高</v>
      </c>
      <c r="R39" s="775" t="s">
        <v>17</v>
      </c>
      <c r="S39" s="776">
        <f t="shared" si="12"/>
        <v>100</v>
      </c>
      <c r="T39" s="775" t="s">
        <v>17</v>
      </c>
      <c r="U39" s="776">
        <f t="shared" si="13"/>
        <v>100</v>
      </c>
      <c r="V39" s="775" t="s">
        <v>17</v>
      </c>
      <c r="W39" s="776">
        <f t="shared" si="14"/>
        <v>100</v>
      </c>
      <c r="X39" s="1814"/>
      <c r="Y39" s="3182"/>
      <c r="Z39" s="1815" t="str">
        <f t="shared" si="15"/>
        <v>层高</v>
      </c>
      <c r="AA39" s="1812">
        <f t="shared" si="3"/>
        <v>1</v>
      </c>
      <c r="AB39" s="1812">
        <f t="shared" si="4"/>
        <v>1</v>
      </c>
      <c r="AC39" s="1812">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180"/>
      <c r="Q40" s="1811" t="str">
        <f t="shared" si="11"/>
        <v>单套建筑面积</v>
      </c>
      <c r="R40" s="775" t="s">
        <v>17</v>
      </c>
      <c r="S40" s="776">
        <f t="shared" si="12"/>
        <v>100</v>
      </c>
      <c r="T40" s="775" t="s">
        <v>17</v>
      </c>
      <c r="U40" s="776">
        <f t="shared" si="13"/>
        <v>100</v>
      </c>
      <c r="V40" s="775" t="s">
        <v>17</v>
      </c>
      <c r="W40" s="776">
        <f t="shared" si="14"/>
        <v>100</v>
      </c>
      <c r="X40" s="1814"/>
      <c r="Y40" s="3182"/>
      <c r="Z40" s="1815" t="str">
        <f t="shared" si="15"/>
        <v>单套建筑面积</v>
      </c>
      <c r="AA40" s="1812">
        <f t="shared" si="3"/>
        <v>1</v>
      </c>
      <c r="AB40" s="1812">
        <f t="shared" si="4"/>
        <v>1</v>
      </c>
      <c r="AC40" s="1812">
        <f t="shared" si="5"/>
        <v>1</v>
      </c>
    </row>
    <row r="41" spans="1:29" s="472" customFormat="1" ht="15">
      <c r="A41" s="469"/>
      <c r="B41" s="1813"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180"/>
      <c r="Q41" s="777" t="str">
        <f t="shared" si="11"/>
        <v>进深比</v>
      </c>
      <c r="R41" s="778" t="s">
        <v>17</v>
      </c>
      <c r="S41" s="779">
        <f t="shared" si="12"/>
        <v>100</v>
      </c>
      <c r="T41" s="778" t="s">
        <v>17</v>
      </c>
      <c r="U41" s="779">
        <f t="shared" si="13"/>
        <v>100</v>
      </c>
      <c r="V41" s="778" t="s">
        <v>17</v>
      </c>
      <c r="W41" s="779">
        <f t="shared" si="14"/>
        <v>100</v>
      </c>
      <c r="X41" s="780"/>
      <c r="Y41" s="3182"/>
      <c r="Z41" s="781" t="str">
        <f t="shared" si="15"/>
        <v>进深比</v>
      </c>
      <c r="AA41" s="1812">
        <f t="shared" si="3"/>
        <v>1</v>
      </c>
      <c r="AB41" s="1812">
        <f t="shared" si="4"/>
        <v>1</v>
      </c>
      <c r="AC41" s="1812">
        <f t="shared" si="5"/>
        <v>1</v>
      </c>
    </row>
    <row r="42" spans="1:29" ht="15">
      <c r="A42" s="473"/>
      <c r="B42" s="423" t="s">
        <v>2666</v>
      </c>
      <c r="C42" s="2610"/>
      <c r="D42" s="436">
        <v>100</v>
      </c>
      <c r="E42" s="2610"/>
      <c r="F42" s="462">
        <f>SUMIF(122:122,E42,123:123)-SUMIF(122:122,C42,123:123)+100</f>
        <v>100</v>
      </c>
      <c r="G42" s="2610"/>
      <c r="H42" s="436">
        <f>SUMIF(122:122,G42,123:123)-SUMIF(122:122,C42,123:123)+100</f>
        <v>100</v>
      </c>
      <c r="I42" s="2610"/>
      <c r="J42" s="436">
        <f>SUMIF(122:122,I42,123:123)-SUMIF(122:122,C42,123:123)+100</f>
        <v>100</v>
      </c>
      <c r="K42" s="613"/>
      <c r="L42" s="1140"/>
      <c r="M42" s="1131"/>
      <c r="N42" s="1131"/>
      <c r="O42" s="1131"/>
      <c r="P42" s="3180"/>
      <c r="Q42" s="1811" t="str">
        <f t="shared" si="11"/>
        <v>内部装修</v>
      </c>
      <c r="R42" s="775" t="s">
        <v>17</v>
      </c>
      <c r="S42" s="776">
        <f t="shared" si="12"/>
        <v>100</v>
      </c>
      <c r="T42" s="775" t="s">
        <v>17</v>
      </c>
      <c r="U42" s="776">
        <f t="shared" si="13"/>
        <v>100</v>
      </c>
      <c r="V42" s="775" t="s">
        <v>17</v>
      </c>
      <c r="W42" s="776">
        <f t="shared" si="14"/>
        <v>100</v>
      </c>
      <c r="X42" s="1814"/>
      <c r="Y42" s="3182"/>
      <c r="Z42" s="1815" t="str">
        <f t="shared" si="15"/>
        <v>内部装修</v>
      </c>
      <c r="AA42" s="1812">
        <f t="shared" si="3"/>
        <v>1</v>
      </c>
      <c r="AB42" s="1812">
        <f t="shared" si="4"/>
        <v>1</v>
      </c>
      <c r="AC42" s="1812">
        <f t="shared" si="5"/>
        <v>1</v>
      </c>
    </row>
    <row r="43" spans="1:29" ht="15">
      <c r="A43" s="473"/>
      <c r="B43" s="423" t="s">
        <v>2574</v>
      </c>
      <c r="C43" s="2610"/>
      <c r="D43" s="436">
        <v>100</v>
      </c>
      <c r="E43" s="2610"/>
      <c r="F43" s="462">
        <f>SUMIF(124:124,E43,125:125)-SUMIF(124:124,C43,125:125)+100</f>
        <v>100</v>
      </c>
      <c r="G43" s="2610"/>
      <c r="H43" s="436">
        <f>SUMIF(124:124,G43,125:125)-SUMIF(124:124,C43,125:125)+100</f>
        <v>100</v>
      </c>
      <c r="I43" s="2610"/>
      <c r="J43" s="436">
        <f>SUMIF(124:124,I43,125:125)-SUMIF(124:124,C43,125:125)+100</f>
        <v>100</v>
      </c>
      <c r="K43" s="613"/>
      <c r="L43" s="1140"/>
      <c r="M43" s="1131"/>
      <c r="N43" s="1131"/>
      <c r="O43" s="1131"/>
      <c r="P43" s="3180"/>
      <c r="Q43" s="1811" t="str">
        <f t="shared" si="11"/>
        <v>内部装修维护情况</v>
      </c>
      <c r="R43" s="775" t="s">
        <v>17</v>
      </c>
      <c r="S43" s="776">
        <f t="shared" si="12"/>
        <v>100</v>
      </c>
      <c r="T43" s="775" t="s">
        <v>17</v>
      </c>
      <c r="U43" s="776">
        <f t="shared" si="13"/>
        <v>100</v>
      </c>
      <c r="V43" s="775" t="s">
        <v>17</v>
      </c>
      <c r="W43" s="776">
        <f t="shared" si="14"/>
        <v>100</v>
      </c>
      <c r="X43" s="1814"/>
      <c r="Y43" s="3182"/>
      <c r="Z43" s="1815" t="str">
        <f t="shared" si="15"/>
        <v>内部装修维护情况</v>
      </c>
      <c r="AA43" s="1812">
        <f t="shared" si="3"/>
        <v>1</v>
      </c>
      <c r="AB43" s="1812">
        <f t="shared" si="4"/>
        <v>1</v>
      </c>
      <c r="AC43" s="1812">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180"/>
      <c r="Q44" s="1796">
        <f t="shared" si="11"/>
        <v>111</v>
      </c>
      <c r="R44" s="771" t="s">
        <v>17</v>
      </c>
      <c r="S44" s="772">
        <f t="shared" si="12"/>
        <v>100</v>
      </c>
      <c r="T44" s="771" t="s">
        <v>17</v>
      </c>
      <c r="U44" s="772">
        <f t="shared" si="13"/>
        <v>100</v>
      </c>
      <c r="V44" s="771" t="s">
        <v>17</v>
      </c>
      <c r="W44" s="772">
        <f t="shared" si="14"/>
        <v>100</v>
      </c>
      <c r="X44" s="773"/>
      <c r="Y44" s="3182"/>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180"/>
      <c r="Q45" s="1811">
        <f t="shared" si="11"/>
        <v>111</v>
      </c>
      <c r="R45" s="775" t="s">
        <v>17</v>
      </c>
      <c r="S45" s="776">
        <f t="shared" si="12"/>
        <v>100</v>
      </c>
      <c r="T45" s="775" t="s">
        <v>17</v>
      </c>
      <c r="U45" s="776">
        <f t="shared" si="13"/>
        <v>100</v>
      </c>
      <c r="V45" s="775" t="s">
        <v>17</v>
      </c>
      <c r="W45" s="776">
        <f t="shared" si="14"/>
        <v>100</v>
      </c>
      <c r="X45" s="1814"/>
      <c r="Y45" s="3182"/>
      <c r="Z45" s="1815">
        <f t="shared" si="15"/>
        <v>111</v>
      </c>
      <c r="AA45" s="1812">
        <f t="shared" si="3"/>
        <v>1</v>
      </c>
      <c r="AB45" s="1812">
        <f t="shared" si="4"/>
        <v>1</v>
      </c>
      <c r="AC45" s="1812">
        <f t="shared" si="5"/>
        <v>1</v>
      </c>
    </row>
    <row r="46" spans="1:29" ht="15.75" thickBot="1">
      <c r="A46" s="479"/>
      <c r="B46" s="259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181"/>
      <c r="Q46" s="1811">
        <f t="shared" si="11"/>
        <v>111</v>
      </c>
      <c r="R46" s="775" t="s">
        <v>17</v>
      </c>
      <c r="S46" s="776">
        <f t="shared" si="12"/>
        <v>100</v>
      </c>
      <c r="T46" s="775" t="s">
        <v>17</v>
      </c>
      <c r="U46" s="776">
        <f t="shared" si="13"/>
        <v>100</v>
      </c>
      <c r="V46" s="775" t="s">
        <v>17</v>
      </c>
      <c r="W46" s="776">
        <f t="shared" si="14"/>
        <v>100</v>
      </c>
      <c r="X46" s="1814"/>
      <c r="Y46" s="3183"/>
      <c r="Z46" s="1815">
        <f t="shared" si="15"/>
        <v>111</v>
      </c>
      <c r="AA46" s="1812">
        <f t="shared" si="3"/>
        <v>1</v>
      </c>
      <c r="AB46" s="1812">
        <f t="shared" si="4"/>
        <v>1</v>
      </c>
      <c r="AC46" s="1812">
        <f t="shared" si="5"/>
        <v>1</v>
      </c>
    </row>
    <row r="47" spans="1:29" ht="15">
      <c r="A47" s="480" t="s">
        <v>2575</v>
      </c>
      <c r="B47" s="481"/>
      <c r="C47" s="1407" t="s">
        <v>1</v>
      </c>
      <c r="D47" s="1408"/>
      <c r="E47" s="1409"/>
      <c r="F47" s="1410"/>
      <c r="G47" s="1411"/>
      <c r="H47" s="1412"/>
      <c r="I47" s="1409"/>
      <c r="J47" s="1412"/>
      <c r="K47" s="784"/>
      <c r="L47" s="1143"/>
      <c r="M47" s="1144"/>
      <c r="N47" s="1131"/>
      <c r="O47" s="1144"/>
      <c r="P47" s="3175" t="str">
        <f>A47</f>
        <v>成交单价（元/平方米）</v>
      </c>
      <c r="Q47" s="3175"/>
      <c r="R47" s="3206">
        <f>E47</f>
        <v>0</v>
      </c>
      <c r="S47" s="3206"/>
      <c r="T47" s="3206">
        <f>G47</f>
        <v>0</v>
      </c>
      <c r="U47" s="3206"/>
      <c r="V47" s="3206">
        <f>I47</f>
        <v>0</v>
      </c>
      <c r="W47" s="3206"/>
      <c r="X47" s="760"/>
      <c r="Y47" s="782"/>
      <c r="Z47" s="760"/>
      <c r="AA47" s="760"/>
      <c r="AB47" s="760"/>
      <c r="AC47" s="760"/>
    </row>
    <row r="48" spans="1:29" ht="15.75" thickBot="1">
      <c r="A48" s="487" t="s">
        <v>2667</v>
      </c>
      <c r="B48" s="488"/>
      <c r="C48" s="1413" t="e">
        <f>R49</f>
        <v>#DIV/0!</v>
      </c>
      <c r="D48" s="1414"/>
      <c r="E48" s="1415" t="e">
        <f>R48</f>
        <v>#DIV/0!</v>
      </c>
      <c r="F48" s="1415"/>
      <c r="G48" s="1413" t="e">
        <f>T48</f>
        <v>#DIV/0!</v>
      </c>
      <c r="H48" s="1414"/>
      <c r="I48" s="1415" t="e">
        <f>V48</f>
        <v>#DIV/0!</v>
      </c>
      <c r="J48" s="1414"/>
      <c r="K48" s="785"/>
      <c r="L48" s="1143"/>
      <c r="M48" s="1144"/>
      <c r="N48" s="1131"/>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60"/>
      <c r="Y48" s="760"/>
      <c r="Z48" s="760"/>
      <c r="AA48" s="760"/>
      <c r="AB48" s="760"/>
      <c r="AC48" s="760"/>
    </row>
    <row r="49" spans="1:29" ht="15.75" thickBot="1">
      <c r="A49" s="493" t="s">
        <v>2668</v>
      </c>
      <c r="B49" s="494"/>
      <c r="C49" s="1417" t="e">
        <f>R49</f>
        <v>#DIV/0!</v>
      </c>
      <c r="D49" s="1417"/>
      <c r="E49" s="1417"/>
      <c r="F49" s="1417"/>
      <c r="G49" s="1417"/>
      <c r="H49" s="1417"/>
      <c r="I49" s="1417"/>
      <c r="J49" s="1417"/>
      <c r="K49" s="786"/>
      <c r="L49" s="1143"/>
      <c r="M49" s="1144"/>
      <c r="N49" s="1131"/>
      <c r="O49" s="1144"/>
      <c r="P49" s="3172" t="str">
        <f>A49</f>
        <v>估价对象XX用房的比较价值（楼面单价，元/平方米）</v>
      </c>
      <c r="Q49" s="3173"/>
      <c r="R49" s="3174" t="e">
        <f>IF(F1="售价",ROUND(AVERAGE(R48:V48),0),ROUND(AVERAGE(R48:V48),1))</f>
        <v>#DIV/0!</v>
      </c>
      <c r="S49" s="3174"/>
      <c r="T49" s="3174"/>
      <c r="U49" s="3174"/>
      <c r="V49" s="3174"/>
      <c r="W49" s="3174"/>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63"/>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3"/>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1"/>
      <c r="M57" s="1159"/>
      <c r="N57" s="1159"/>
      <c r="O57" s="1159"/>
      <c r="P57" s="2664"/>
      <c r="Q57" s="2665"/>
      <c r="R57" s="760"/>
      <c r="S57" s="760"/>
      <c r="T57" s="760"/>
      <c r="U57" s="760"/>
      <c r="V57" s="760"/>
      <c r="W57" s="760"/>
      <c r="X57" s="760"/>
      <c r="Y57" s="760"/>
      <c r="Z57" s="760"/>
      <c r="AA57" s="760"/>
      <c r="AB57" s="760"/>
      <c r="AC57" s="760"/>
    </row>
    <row r="58" spans="1:29" s="509" customFormat="1" ht="15">
      <c r="A58" s="506" t="s">
        <v>2546</v>
      </c>
      <c r="B58" s="507"/>
      <c r="C58" s="1575" t="str">
        <f>YEAR(C7)&amp;"-"&amp;MONTH(C7)</f>
        <v>2017-10</v>
      </c>
      <c r="D58" s="1576">
        <f>EDATE(C58,-1)</f>
        <v>42979</v>
      </c>
      <c r="E58" s="1576">
        <f t="shared" ref="E58:N58" si="16">EDATE(D58,-1)</f>
        <v>42948</v>
      </c>
      <c r="F58" s="1576">
        <f t="shared" si="16"/>
        <v>42917</v>
      </c>
      <c r="G58" s="1576">
        <f t="shared" si="16"/>
        <v>42887</v>
      </c>
      <c r="H58" s="1576">
        <f t="shared" si="16"/>
        <v>42856</v>
      </c>
      <c r="I58" s="1576">
        <f t="shared" si="16"/>
        <v>42826</v>
      </c>
      <c r="J58" s="1576">
        <f t="shared" si="16"/>
        <v>42795</v>
      </c>
      <c r="K58" s="1576">
        <f t="shared" si="16"/>
        <v>42767</v>
      </c>
      <c r="L58" s="1576">
        <f t="shared" si="16"/>
        <v>42736</v>
      </c>
      <c r="M58" s="1576">
        <f t="shared" si="16"/>
        <v>42705</v>
      </c>
      <c r="N58" s="1576">
        <f t="shared" si="16"/>
        <v>42675</v>
      </c>
      <c r="O58" s="1576">
        <f>EDATE(N58,-1)</f>
        <v>42644</v>
      </c>
      <c r="P58" s="1571"/>
    </row>
    <row r="59" spans="1:29" s="117" customFormat="1" ht="15">
      <c r="A59" s="510"/>
      <c r="B59" s="511"/>
      <c r="C59" s="1574">
        <v>100</v>
      </c>
      <c r="D59" s="513"/>
      <c r="E59" s="513"/>
      <c r="F59" s="513"/>
      <c r="G59" s="513"/>
      <c r="H59" s="513"/>
      <c r="I59" s="513"/>
      <c r="J59" s="513"/>
      <c r="K59" s="513"/>
      <c r="L59" s="513"/>
      <c r="M59" s="514"/>
      <c r="N59" s="513"/>
      <c r="O59" s="514"/>
      <c r="P59" s="2625"/>
    </row>
    <row r="60" spans="1:29" s="117" customFormat="1" ht="15.75" thickBot="1">
      <c r="A60" s="516" t="s">
        <v>2583</v>
      </c>
      <c r="B60" s="517"/>
      <c r="C60" s="518"/>
      <c r="D60" s="519"/>
      <c r="E60" s="519"/>
      <c r="F60" s="519"/>
      <c r="G60" s="519"/>
      <c r="H60" s="519"/>
      <c r="I60" s="519"/>
      <c r="J60" s="519"/>
      <c r="K60" s="519"/>
      <c r="L60" s="519"/>
      <c r="M60" s="520"/>
      <c r="N60" s="519"/>
      <c r="O60" s="520"/>
      <c r="P60" s="2625"/>
      <c r="Q60" s="505"/>
    </row>
    <row r="61" spans="1:29" s="117" customFormat="1" ht="15">
      <c r="A61" s="522" t="s">
        <v>2548</v>
      </c>
      <c r="B61" s="511"/>
      <c r="C61" s="523" t="s">
        <v>2650</v>
      </c>
      <c r="D61" s="524"/>
      <c r="E61" s="524"/>
      <c r="F61" s="524"/>
      <c r="G61" s="524"/>
      <c r="H61" s="524"/>
      <c r="I61" s="524"/>
      <c r="J61" s="524"/>
      <c r="K61" s="524"/>
      <c r="L61" s="525"/>
      <c r="M61" s="526"/>
      <c r="N61" s="1151"/>
      <c r="O61" s="1151"/>
      <c r="P61" s="2626"/>
      <c r="Q61" s="505"/>
    </row>
    <row r="62" spans="1:29" s="117" customFormat="1" ht="15.75" thickBot="1">
      <c r="A62" s="522"/>
      <c r="B62" s="511"/>
      <c r="C62" s="512">
        <v>100</v>
      </c>
      <c r="D62" s="513"/>
      <c r="E62" s="513"/>
      <c r="F62" s="513"/>
      <c r="G62" s="513"/>
      <c r="H62" s="513"/>
      <c r="I62" s="513"/>
      <c r="J62" s="513"/>
      <c r="K62" s="513"/>
      <c r="L62" s="513"/>
      <c r="M62" s="515"/>
      <c r="N62" s="1151"/>
      <c r="O62" s="1151"/>
      <c r="P62" s="2625"/>
      <c r="Q62" s="505"/>
    </row>
    <row r="63" spans="1:29">
      <c r="A63" s="528" t="s">
        <v>2586</v>
      </c>
      <c r="B63" s="529" t="s">
        <v>2552</v>
      </c>
      <c r="C63" s="530">
        <f>C9</f>
        <v>0</v>
      </c>
      <c r="D63" s="531"/>
      <c r="E63" s="531"/>
      <c r="F63" s="531"/>
      <c r="G63" s="531"/>
      <c r="H63" s="531"/>
      <c r="I63" s="531"/>
      <c r="J63" s="531"/>
      <c r="K63" s="532"/>
      <c r="L63" s="533"/>
      <c r="M63" s="534"/>
      <c r="N63" s="1152"/>
      <c r="O63" s="1152"/>
      <c r="P63" s="2627"/>
      <c r="Q63" s="505"/>
    </row>
    <row r="64" spans="1:29" ht="15.75" thickBot="1">
      <c r="A64" s="535"/>
      <c r="B64" s="536"/>
      <c r="C64" s="537">
        <v>100</v>
      </c>
      <c r="D64" s="537"/>
      <c r="E64" s="537"/>
      <c r="F64" s="537"/>
      <c r="G64" s="537"/>
      <c r="H64" s="537"/>
      <c r="I64" s="537"/>
      <c r="J64" s="537"/>
      <c r="K64" s="537"/>
      <c r="L64" s="537"/>
      <c r="M64" s="538"/>
      <c r="N64" s="1153"/>
      <c r="O64" s="1153"/>
      <c r="P64" s="2627"/>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27"/>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27"/>
      <c r="Q67" s="505"/>
    </row>
    <row r="68" spans="1:17" ht="15">
      <c r="A68" s="535"/>
      <c r="B68" s="549"/>
      <c r="C68" s="550"/>
      <c r="D68" s="550"/>
      <c r="E68" s="550"/>
      <c r="F68" s="550"/>
      <c r="G68" s="550"/>
      <c r="H68" s="550"/>
      <c r="I68" s="550"/>
      <c r="J68" s="550"/>
      <c r="K68" s="551"/>
      <c r="L68" s="552"/>
      <c r="M68" s="553"/>
      <c r="N68" s="1152"/>
      <c r="O68" s="1152"/>
      <c r="P68" s="262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27"/>
      <c r="Q69" s="505"/>
    </row>
    <row r="70" spans="1:17" s="472" customFormat="1" ht="15.75" thickTop="1">
      <c r="A70" s="554"/>
      <c r="B70" s="539">
        <f>B12</f>
        <v>111</v>
      </c>
      <c r="C70" s="555"/>
      <c r="D70" s="555"/>
      <c r="E70" s="555"/>
      <c r="F70" s="555"/>
      <c r="G70" s="555"/>
      <c r="H70" s="556"/>
      <c r="I70" s="556"/>
      <c r="J70" s="556"/>
      <c r="K70" s="556"/>
      <c r="L70" s="557"/>
      <c r="M70" s="558"/>
      <c r="N70" s="1154"/>
      <c r="O70" s="1154"/>
      <c r="P70" s="2628"/>
      <c r="Q70" s="560"/>
    </row>
    <row r="71" spans="1:17" s="472" customFormat="1" ht="15.75" thickBot="1">
      <c r="A71" s="554"/>
      <c r="B71" s="544"/>
      <c r="C71" s="561"/>
      <c r="D71" s="537"/>
      <c r="E71" s="537"/>
      <c r="F71" s="537"/>
      <c r="G71" s="537"/>
      <c r="H71" s="537"/>
      <c r="I71" s="537"/>
      <c r="J71" s="537"/>
      <c r="K71" s="537"/>
      <c r="L71" s="537"/>
      <c r="M71" s="538"/>
      <c r="N71" s="1153"/>
      <c r="O71" s="1153"/>
      <c r="P71" s="2628"/>
      <c r="Q71" s="560"/>
    </row>
    <row r="72" spans="1:17" s="472" customFormat="1" ht="15.75" thickTop="1">
      <c r="A72" s="554"/>
      <c r="B72" s="539">
        <f>B13</f>
        <v>111</v>
      </c>
      <c r="C72" s="555"/>
      <c r="D72" s="555"/>
      <c r="E72" s="555"/>
      <c r="F72" s="555"/>
      <c r="G72" s="555"/>
      <c r="H72" s="556"/>
      <c r="I72" s="556"/>
      <c r="J72" s="556"/>
      <c r="K72" s="556"/>
      <c r="L72" s="557"/>
      <c r="M72" s="558"/>
      <c r="N72" s="1154"/>
      <c r="O72" s="1154"/>
      <c r="P72" s="2629"/>
      <c r="Q72" s="562"/>
    </row>
    <row r="73" spans="1:17" s="472" customFormat="1" ht="15.75" thickBot="1">
      <c r="A73" s="554"/>
      <c r="B73" s="544"/>
      <c r="C73" s="561"/>
      <c r="D73" s="537"/>
      <c r="E73" s="537"/>
      <c r="F73" s="537"/>
      <c r="G73" s="561"/>
      <c r="H73" s="563"/>
      <c r="I73" s="563"/>
      <c r="J73" s="563"/>
      <c r="K73" s="563"/>
      <c r="L73" s="563"/>
      <c r="M73" s="564"/>
      <c r="N73" s="1154"/>
      <c r="O73" s="1154"/>
      <c r="P73" s="2628"/>
      <c r="Q73" s="560"/>
    </row>
    <row r="74" spans="1:17" s="472" customFormat="1" ht="15.75" thickTop="1">
      <c r="A74" s="554"/>
      <c r="B74" s="547">
        <f>B14</f>
        <v>111</v>
      </c>
      <c r="C74" s="555"/>
      <c r="D74" s="555"/>
      <c r="E74" s="555"/>
      <c r="F74" s="555"/>
      <c r="G74" s="524"/>
      <c r="H74" s="565"/>
      <c r="I74" s="565"/>
      <c r="J74" s="565"/>
      <c r="K74" s="565"/>
      <c r="L74" s="566"/>
      <c r="M74" s="567"/>
      <c r="N74" s="1154"/>
      <c r="O74" s="1154"/>
      <c r="P74" s="2630"/>
      <c r="Q74" s="560"/>
    </row>
    <row r="75" spans="1:17" s="472" customFormat="1" ht="15.75" thickBot="1">
      <c r="A75" s="569"/>
      <c r="B75" s="570"/>
      <c r="C75" s="571"/>
      <c r="D75" s="571"/>
      <c r="E75" s="571"/>
      <c r="F75" s="571"/>
      <c r="G75" s="571"/>
      <c r="H75" s="572"/>
      <c r="I75" s="572"/>
      <c r="J75" s="572"/>
      <c r="K75" s="572"/>
      <c r="L75" s="572"/>
      <c r="M75" s="573"/>
      <c r="N75" s="1154"/>
      <c r="O75" s="1154"/>
      <c r="P75" s="2628"/>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7"/>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7"/>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7"/>
      <c r="Q81" s="505"/>
    </row>
    <row r="82" spans="1:17" ht="15.75" thickTop="1">
      <c r="A82" s="535"/>
      <c r="B82" s="547" t="s">
        <v>2653</v>
      </c>
      <c r="C82" s="661" t="s">
        <v>2673</v>
      </c>
      <c r="D82" s="661" t="s">
        <v>2674</v>
      </c>
      <c r="E82" s="661" t="s">
        <v>2675</v>
      </c>
      <c r="F82" s="661" t="s">
        <v>2676</v>
      </c>
      <c r="G82" s="661" t="s">
        <v>2677</v>
      </c>
      <c r="H82" s="540"/>
      <c r="I82" s="540"/>
      <c r="J82" s="540"/>
      <c r="K82" s="540"/>
      <c r="L82" s="540"/>
      <c r="M82" s="1382"/>
      <c r="N82" s="1153"/>
      <c r="O82" s="1153"/>
      <c r="P82" s="262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27"/>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7"/>
      <c r="Q85" s="505"/>
    </row>
    <row r="86" spans="1:17" s="117" customFormat="1" ht="15.75" thickTop="1">
      <c r="A86" s="580"/>
      <c r="B86" s="539" t="s">
        <v>2678</v>
      </c>
      <c r="C86" s="555"/>
      <c r="D86" s="555"/>
      <c r="E86" s="555"/>
      <c r="F86" s="555"/>
      <c r="G86" s="555"/>
      <c r="H86" s="555"/>
      <c r="I86" s="555"/>
      <c r="J86" s="555"/>
      <c r="K86" s="555"/>
      <c r="L86" s="581"/>
      <c r="M86" s="582"/>
      <c r="N86" s="1151"/>
      <c r="O86" s="1151"/>
      <c r="P86" s="262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27"/>
      <c r="Q87" s="505"/>
    </row>
    <row r="88" spans="1:17" s="117" customFormat="1" ht="15.75" thickTop="1">
      <c r="A88" s="580"/>
      <c r="B88" s="539" t="str">
        <f>B26</f>
        <v>平面位置/可视性</v>
      </c>
      <c r="C88" s="555"/>
      <c r="D88" s="555"/>
      <c r="E88" s="555"/>
      <c r="F88" s="2632"/>
      <c r="G88" s="555"/>
      <c r="H88" s="555"/>
      <c r="I88" s="555"/>
      <c r="J88" s="555"/>
      <c r="K88" s="555"/>
      <c r="L88" s="555"/>
      <c r="M88" s="582"/>
      <c r="N88" s="1151"/>
      <c r="O88" s="1151"/>
      <c r="P88" s="2627"/>
      <c r="Q88" s="505"/>
    </row>
    <row r="89" spans="1:17" s="117" customFormat="1" ht="15.75" thickBot="1">
      <c r="A89" s="580"/>
      <c r="B89" s="544"/>
      <c r="C89" s="561"/>
      <c r="D89" s="537"/>
      <c r="E89" s="537"/>
      <c r="F89" s="537"/>
      <c r="G89" s="537"/>
      <c r="H89" s="537"/>
      <c r="I89" s="537"/>
      <c r="J89" s="537"/>
      <c r="K89" s="537"/>
      <c r="L89" s="537"/>
      <c r="M89" s="537"/>
      <c r="N89" s="1153"/>
      <c r="O89" s="1153"/>
      <c r="P89" s="2627"/>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2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28"/>
      <c r="Q91" s="560"/>
    </row>
    <row r="92" spans="1:17" ht="15.75" thickTop="1">
      <c r="A92" s="535"/>
      <c r="B92" s="539" t="str">
        <f>B28</f>
        <v>楼层</v>
      </c>
      <c r="C92" s="555"/>
      <c r="D92" s="555"/>
      <c r="E92" s="555"/>
      <c r="F92" s="555"/>
      <c r="G92" s="555"/>
      <c r="H92" s="555"/>
      <c r="I92" s="555"/>
      <c r="J92" s="555"/>
      <c r="K92" s="555"/>
      <c r="L92" s="581"/>
      <c r="M92" s="582"/>
      <c r="N92" s="1152"/>
      <c r="O92" s="1152"/>
      <c r="P92" s="2627"/>
      <c r="Q92" s="505"/>
    </row>
    <row r="93" spans="1:17" ht="15.75" thickBot="1">
      <c r="A93" s="535"/>
      <c r="B93" s="544"/>
      <c r="C93" s="537"/>
      <c r="D93" s="537"/>
      <c r="E93" s="537"/>
      <c r="F93" s="537"/>
      <c r="G93" s="537"/>
      <c r="H93" s="537"/>
      <c r="I93" s="537"/>
      <c r="J93" s="537"/>
      <c r="K93" s="537"/>
      <c r="L93" s="537"/>
      <c r="M93" s="538"/>
      <c r="N93" s="1153"/>
      <c r="O93" s="1153"/>
      <c r="P93" s="2627"/>
      <c r="Q93" s="505"/>
    </row>
    <row r="94" spans="1:17" ht="15.75" thickTop="1">
      <c r="A94" s="535"/>
      <c r="B94" s="539">
        <f>B29</f>
        <v>111</v>
      </c>
      <c r="C94" s="555"/>
      <c r="D94" s="555"/>
      <c r="E94" s="555"/>
      <c r="F94" s="555"/>
      <c r="G94" s="584"/>
      <c r="H94" s="584"/>
      <c r="I94" s="584"/>
      <c r="J94" s="584"/>
      <c r="K94" s="585"/>
      <c r="L94" s="586"/>
      <c r="M94" s="587"/>
      <c r="N94" s="1152"/>
      <c r="O94" s="1152"/>
      <c r="P94" s="2627"/>
      <c r="Q94" s="505"/>
    </row>
    <row r="95" spans="1:17" ht="15.75" thickBot="1">
      <c r="A95" s="535"/>
      <c r="B95" s="544"/>
      <c r="C95" s="561"/>
      <c r="D95" s="537"/>
      <c r="E95" s="537"/>
      <c r="F95" s="537"/>
      <c r="G95" s="537"/>
      <c r="H95" s="537"/>
      <c r="I95" s="537"/>
      <c r="J95" s="537"/>
      <c r="K95" s="537"/>
      <c r="L95" s="537"/>
      <c r="M95" s="538"/>
      <c r="N95" s="1153"/>
      <c r="O95" s="1153"/>
      <c r="P95" s="2627"/>
      <c r="Q95" s="505"/>
    </row>
    <row r="96" spans="1:17" ht="15.75" thickTop="1">
      <c r="A96" s="535"/>
      <c r="B96" s="539">
        <f>B30</f>
        <v>111</v>
      </c>
      <c r="C96" s="555"/>
      <c r="D96" s="555"/>
      <c r="E96" s="555"/>
      <c r="F96" s="555"/>
      <c r="G96" s="584"/>
      <c r="H96" s="584"/>
      <c r="I96" s="584"/>
      <c r="J96" s="584"/>
      <c r="K96" s="585"/>
      <c r="L96" s="586"/>
      <c r="M96" s="587"/>
      <c r="N96" s="1152"/>
      <c r="O96" s="1152"/>
      <c r="P96" s="2627"/>
      <c r="Q96" s="505"/>
    </row>
    <row r="97" spans="1:17" ht="15.75" thickBot="1">
      <c r="A97" s="535"/>
      <c r="B97" s="544"/>
      <c r="C97" s="561"/>
      <c r="D97" s="537"/>
      <c r="E97" s="537"/>
      <c r="F97" s="537"/>
      <c r="G97" s="537"/>
      <c r="H97" s="537"/>
      <c r="I97" s="537"/>
      <c r="J97" s="537"/>
      <c r="K97" s="537"/>
      <c r="L97" s="537"/>
      <c r="M97" s="538"/>
      <c r="N97" s="1153"/>
      <c r="O97" s="1153"/>
      <c r="P97" s="2627"/>
      <c r="Q97" s="505"/>
    </row>
    <row r="98" spans="1:17" ht="15.75" thickTop="1">
      <c r="A98" s="535"/>
      <c r="B98" s="547">
        <f>B31</f>
        <v>111</v>
      </c>
      <c r="C98" s="555"/>
      <c r="D98" s="555"/>
      <c r="E98" s="555"/>
      <c r="F98" s="555"/>
      <c r="G98" s="588"/>
      <c r="H98" s="588"/>
      <c r="I98" s="588"/>
      <c r="J98" s="588"/>
      <c r="K98" s="589"/>
      <c r="L98" s="590"/>
      <c r="M98" s="591"/>
      <c r="N98" s="1152"/>
      <c r="O98" s="1152"/>
      <c r="P98" s="2627"/>
      <c r="Q98" s="505"/>
    </row>
    <row r="99" spans="1:17" ht="15.75" thickBot="1">
      <c r="A99" s="2633"/>
      <c r="B99" s="570"/>
      <c r="C99" s="571"/>
      <c r="D99" s="571"/>
      <c r="E99" s="571"/>
      <c r="F99" s="571"/>
      <c r="G99" s="592"/>
      <c r="H99" s="592"/>
      <c r="I99" s="592"/>
      <c r="J99" s="592"/>
      <c r="K99" s="592"/>
      <c r="L99" s="592"/>
      <c r="M99" s="593"/>
      <c r="N99" s="1153"/>
      <c r="O99" s="1153"/>
      <c r="P99" s="2627"/>
      <c r="Q99" s="505"/>
    </row>
    <row r="100" spans="1:17">
      <c r="A100" s="528" t="s">
        <v>2561</v>
      </c>
      <c r="B100" s="529" t="s">
        <v>2679</v>
      </c>
      <c r="C100" s="531"/>
      <c r="D100" s="531"/>
      <c r="E100" s="531"/>
      <c r="F100" s="531"/>
      <c r="G100" s="531"/>
      <c r="H100" s="531"/>
      <c r="I100" s="531"/>
      <c r="J100" s="531"/>
      <c r="K100" s="532"/>
      <c r="L100" s="533"/>
      <c r="M100" s="534"/>
      <c r="N100" s="1152"/>
      <c r="O100" s="1152"/>
      <c r="P100" s="262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3"/>
      <c r="O101" s="1153"/>
      <c r="P101" s="2627"/>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1"/>
      <c r="O102" s="1151"/>
      <c r="P102" s="2627"/>
      <c r="Q102" s="505"/>
    </row>
    <row r="103" spans="1:17" s="472" customFormat="1">
      <c r="A103" s="594"/>
      <c r="B103" s="595"/>
      <c r="C103" s="596"/>
      <c r="D103" s="596"/>
      <c r="E103" s="596"/>
      <c r="F103" s="596"/>
      <c r="G103" s="596"/>
      <c r="H103" s="596"/>
      <c r="I103" s="596"/>
      <c r="J103" s="597"/>
      <c r="K103" s="597"/>
      <c r="L103" s="598"/>
      <c r="M103" s="599"/>
      <c r="N103" s="1154"/>
      <c r="O103" s="1154"/>
      <c r="P103" s="2628"/>
      <c r="Q103" s="560"/>
    </row>
    <row r="104" spans="1:17" s="472" customFormat="1" ht="15.75" thickBot="1">
      <c r="A104" s="554"/>
      <c r="B104" s="544"/>
      <c r="C104" s="561"/>
      <c r="D104" s="537"/>
      <c r="E104" s="537"/>
      <c r="F104" s="537"/>
      <c r="G104" s="537"/>
      <c r="H104" s="537"/>
      <c r="I104" s="537"/>
      <c r="J104" s="537"/>
      <c r="K104" s="537"/>
      <c r="L104" s="537"/>
      <c r="M104" s="538"/>
      <c r="N104" s="1153"/>
      <c r="O104" s="1153"/>
      <c r="P104" s="2628"/>
      <c r="Q104" s="560"/>
    </row>
    <row r="105" spans="1:17" ht="15" thickTop="1">
      <c r="A105" s="600"/>
      <c r="B105" s="539" t="s">
        <v>2612</v>
      </c>
      <c r="C105" s="555"/>
      <c r="D105" s="555"/>
      <c r="E105" s="584"/>
      <c r="F105" s="584"/>
      <c r="G105" s="584"/>
      <c r="H105" s="584"/>
      <c r="I105" s="584"/>
      <c r="J105" s="584"/>
      <c r="K105" s="585"/>
      <c r="L105" s="586"/>
      <c r="M105" s="587"/>
      <c r="N105" s="1152"/>
      <c r="O105" s="1152"/>
      <c r="P105" s="262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27"/>
      <c r="Q106" s="505"/>
    </row>
    <row r="107" spans="1:17" ht="15" thickTop="1">
      <c r="A107" s="600"/>
      <c r="B107" s="539" t="s">
        <v>2614</v>
      </c>
      <c r="C107" s="555"/>
      <c r="D107" s="555"/>
      <c r="E107" s="555"/>
      <c r="F107" s="584"/>
      <c r="G107" s="584"/>
      <c r="H107" s="584"/>
      <c r="I107" s="584"/>
      <c r="J107" s="584"/>
      <c r="K107" s="585"/>
      <c r="L107" s="586"/>
      <c r="M107" s="587"/>
      <c r="N107" s="1152"/>
      <c r="O107" s="1152"/>
      <c r="P107" s="262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27"/>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27"/>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2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27"/>
      <c r="Q111" s="505"/>
    </row>
    <row r="112" spans="1:17" s="472" customFormat="1" ht="15" thickTop="1">
      <c r="A112" s="594"/>
      <c r="B112" s="539" t="s">
        <v>2616</v>
      </c>
      <c r="C112" s="555"/>
      <c r="D112" s="555"/>
      <c r="E112" s="555"/>
      <c r="F112" s="555"/>
      <c r="G112" s="555"/>
      <c r="H112" s="584"/>
      <c r="I112" s="584"/>
      <c r="J112" s="584"/>
      <c r="K112" s="585"/>
      <c r="L112" s="586"/>
      <c r="M112" s="587"/>
      <c r="N112" s="1154"/>
      <c r="O112" s="1154"/>
      <c r="P112" s="262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28"/>
      <c r="Q113" s="560"/>
    </row>
    <row r="114" spans="1:17" ht="15" thickTop="1">
      <c r="A114" s="600"/>
      <c r="B114" s="539" t="s">
        <v>2680</v>
      </c>
      <c r="C114" s="555"/>
      <c r="D114" s="555"/>
      <c r="E114" s="584"/>
      <c r="F114" s="584"/>
      <c r="G114" s="584"/>
      <c r="H114" s="584"/>
      <c r="I114" s="584"/>
      <c r="J114" s="584"/>
      <c r="K114" s="585"/>
      <c r="L114" s="586"/>
      <c r="M114" s="587"/>
      <c r="N114" s="1152"/>
      <c r="O114" s="1152"/>
      <c r="P114" s="262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27"/>
      <c r="Q115" s="505"/>
    </row>
    <row r="116" spans="1:17" ht="15" thickTop="1">
      <c r="A116" s="600"/>
      <c r="B116" s="539" t="s">
        <v>2681</v>
      </c>
      <c r="C116" s="555"/>
      <c r="D116" s="555"/>
      <c r="E116" s="555"/>
      <c r="F116" s="555"/>
      <c r="G116" s="555"/>
      <c r="H116" s="584"/>
      <c r="I116" s="584"/>
      <c r="J116" s="584"/>
      <c r="K116" s="585"/>
      <c r="L116" s="586"/>
      <c r="M116" s="587"/>
      <c r="N116" s="1152"/>
      <c r="O116" s="1152"/>
      <c r="P116" s="262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7"/>
      <c r="Q117" s="505"/>
    </row>
    <row r="118" spans="1:17" ht="15" thickTop="1">
      <c r="A118" s="600"/>
      <c r="B118" s="539" t="s">
        <v>2682</v>
      </c>
      <c r="C118" s="628"/>
      <c r="D118" s="628"/>
      <c r="E118" s="628"/>
      <c r="F118" s="628"/>
      <c r="G118" s="628"/>
      <c r="H118" s="556"/>
      <c r="I118" s="556"/>
      <c r="J118" s="556"/>
      <c r="K118" s="556"/>
      <c r="L118" s="557"/>
      <c r="M118" s="558"/>
      <c r="N118" s="1152"/>
      <c r="O118" s="1152"/>
      <c r="P118" s="2627"/>
      <c r="Q118" s="505"/>
    </row>
    <row r="119" spans="1:17" ht="15.75" thickBot="1">
      <c r="A119" s="535"/>
      <c r="B119" s="544"/>
      <c r="C119" s="561"/>
      <c r="D119" s="537"/>
      <c r="E119" s="537"/>
      <c r="F119" s="537"/>
      <c r="G119" s="537"/>
      <c r="H119" s="537"/>
      <c r="I119" s="537"/>
      <c r="J119" s="537"/>
      <c r="K119" s="537"/>
      <c r="L119" s="537"/>
      <c r="M119" s="538"/>
      <c r="N119" s="1153"/>
      <c r="O119" s="1153"/>
      <c r="P119" s="2627"/>
      <c r="Q119" s="505"/>
    </row>
    <row r="120" spans="1:17" s="472" customFormat="1" ht="15" thickTop="1">
      <c r="A120" s="594"/>
      <c r="B120" s="539" t="s">
        <v>2683</v>
      </c>
      <c r="C120" s="584"/>
      <c r="D120" s="584"/>
      <c r="E120" s="584"/>
      <c r="F120" s="584"/>
      <c r="G120" s="556"/>
      <c r="H120" s="556"/>
      <c r="I120" s="556"/>
      <c r="J120" s="556"/>
      <c r="K120" s="556"/>
      <c r="L120" s="557"/>
      <c r="M120" s="558"/>
      <c r="N120" s="1154"/>
      <c r="O120" s="1154"/>
      <c r="P120" s="262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28"/>
      <c r="Q121" s="560"/>
    </row>
    <row r="122" spans="1:17" ht="15" thickTop="1">
      <c r="A122" s="600"/>
      <c r="B122" s="539" t="s">
        <v>2618</v>
      </c>
      <c r="C122" s="555"/>
      <c r="D122" s="555"/>
      <c r="E122" s="555"/>
      <c r="F122" s="584"/>
      <c r="G122" s="584"/>
      <c r="H122" s="584"/>
      <c r="I122" s="584"/>
      <c r="J122" s="584"/>
      <c r="K122" s="585"/>
      <c r="L122" s="586"/>
      <c r="M122" s="587"/>
      <c r="N122" s="1152"/>
      <c r="O122" s="1152"/>
      <c r="P122" s="262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3"/>
      <c r="O123" s="1153"/>
      <c r="P123" s="2627"/>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2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7"/>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28"/>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28"/>
      <c r="Q127" s="560"/>
    </row>
    <row r="128" spans="1:17" ht="15" thickTop="1">
      <c r="A128" s="600"/>
      <c r="B128" s="539">
        <f>B45</f>
        <v>111</v>
      </c>
      <c r="C128" s="555"/>
      <c r="D128" s="555"/>
      <c r="E128" s="555"/>
      <c r="F128" s="555"/>
      <c r="G128" s="584"/>
      <c r="H128" s="584"/>
      <c r="I128" s="584"/>
      <c r="J128" s="584"/>
      <c r="K128" s="585"/>
      <c r="L128" s="586"/>
      <c r="M128" s="587"/>
      <c r="N128" s="1152"/>
      <c r="O128" s="1152"/>
      <c r="P128" s="2627"/>
      <c r="Q128" s="505"/>
    </row>
    <row r="129" spans="1:17" ht="15.75" thickBot="1">
      <c r="A129" s="535"/>
      <c r="B129" s="544"/>
      <c r="C129" s="561"/>
      <c r="D129" s="537"/>
      <c r="E129" s="537"/>
      <c r="F129" s="537"/>
      <c r="G129" s="537"/>
      <c r="H129" s="537"/>
      <c r="I129" s="537"/>
      <c r="J129" s="537"/>
      <c r="K129" s="537"/>
      <c r="L129" s="537"/>
      <c r="M129" s="538"/>
      <c r="N129" s="1153"/>
      <c r="O129" s="1153"/>
      <c r="P129" s="2627"/>
      <c r="Q129" s="505"/>
    </row>
    <row r="130" spans="1:17" ht="15" thickTop="1">
      <c r="A130" s="600"/>
      <c r="B130" s="547">
        <f>B46</f>
        <v>111</v>
      </c>
      <c r="C130" s="555"/>
      <c r="D130" s="555"/>
      <c r="E130" s="555"/>
      <c r="F130" s="555"/>
      <c r="G130" s="588"/>
      <c r="H130" s="588"/>
      <c r="I130" s="588"/>
      <c r="J130" s="588"/>
      <c r="K130" s="524"/>
      <c r="L130" s="525"/>
      <c r="M130" s="591"/>
      <c r="N130" s="1152"/>
      <c r="O130" s="1152"/>
      <c r="P130" s="2627"/>
      <c r="Q130" s="505"/>
    </row>
    <row r="131" spans="1:17" ht="15.75" thickBot="1">
      <c r="A131" s="2633"/>
      <c r="B131" s="570"/>
      <c r="C131" s="571"/>
      <c r="D131" s="571"/>
      <c r="E131" s="571"/>
      <c r="F131" s="571"/>
      <c r="G131" s="592"/>
      <c r="H131" s="592"/>
      <c r="I131" s="592"/>
      <c r="J131" s="592"/>
      <c r="K131" s="592"/>
      <c r="L131" s="592"/>
      <c r="M131" s="593"/>
      <c r="N131" s="1153"/>
      <c r="O131" s="1153"/>
      <c r="P131" s="262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666" t="s">
        <v>2684</v>
      </c>
      <c r="C1" s="1621" t="s">
        <v>2528</v>
      </c>
      <c r="D1" s="1622"/>
      <c r="E1" s="1631"/>
      <c r="F1" s="2581"/>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2325</v>
      </c>
      <c r="B2" s="1418" t="e">
        <f ca="1">IF(C2="——",ROUND(C50*D3/10000,0),ROUND(C50*D3/10000,0)-D2)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2327</v>
      </c>
      <c r="B3" s="610" t="e">
        <f ca="1">IF(C2="——",C50,ROUND(B2*10000/D3,0))</f>
        <v>#DIV/0!</v>
      </c>
      <c r="C3" s="401" t="s">
        <v>2642</v>
      </c>
      <c r="D3" s="400">
        <f>IF(D1="",'数据-汇总表'!E3,SUMIF('数据-汇总表'!$C19:$C33,D1,'数据-汇总表'!$E19:$E33))</f>
        <v>65110.920000000006</v>
      </c>
      <c r="E3" s="2660"/>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2643</v>
      </c>
      <c r="B4" s="403"/>
      <c r="C4" s="3190" t="s">
        <v>2644</v>
      </c>
      <c r="D4" s="3191"/>
      <c r="E4" s="3192" t="s">
        <v>2645</v>
      </c>
      <c r="F4" s="3193"/>
      <c r="G4" s="3190" t="s">
        <v>2646</v>
      </c>
      <c r="H4" s="3191"/>
      <c r="I4" s="3190" t="s">
        <v>2647</v>
      </c>
      <c r="J4" s="3191"/>
      <c r="K4" s="611" t="s">
        <v>2648</v>
      </c>
      <c r="L4" s="1130"/>
      <c r="M4" s="1131"/>
      <c r="N4" s="1131"/>
      <c r="O4" s="1131"/>
      <c r="P4" s="3224" t="s">
        <v>2649</v>
      </c>
      <c r="Q4" s="3225"/>
      <c r="R4" s="3228" t="s">
        <v>2645</v>
      </c>
      <c r="S4" s="3229"/>
      <c r="T4" s="3228" t="s">
        <v>2646</v>
      </c>
      <c r="U4" s="3229"/>
      <c r="V4" s="3230" t="s">
        <v>2647</v>
      </c>
      <c r="W4" s="3230"/>
      <c r="X4" s="2667"/>
      <c r="Y4" s="3228" t="s">
        <v>2649</v>
      </c>
      <c r="Z4" s="3229"/>
      <c r="AA4" s="3232" t="s">
        <v>2645</v>
      </c>
      <c r="AB4" s="3232" t="s">
        <v>2646</v>
      </c>
      <c r="AC4" s="3221" t="s">
        <v>2647</v>
      </c>
    </row>
    <row r="5" spans="1:29" ht="15">
      <c r="A5" s="405"/>
      <c r="B5" s="406"/>
      <c r="C5" s="3209" t="s">
        <v>2540</v>
      </c>
      <c r="D5" s="3210"/>
      <c r="E5" s="3216" t="s">
        <v>2541</v>
      </c>
      <c r="F5" s="3217"/>
      <c r="G5" s="3209" t="s">
        <v>2542</v>
      </c>
      <c r="H5" s="3210"/>
      <c r="I5" s="3209" t="s">
        <v>2543</v>
      </c>
      <c r="J5" s="3210"/>
      <c r="K5" s="611"/>
      <c r="L5" s="1130"/>
      <c r="M5" s="1131"/>
      <c r="N5" s="1131"/>
      <c r="O5" s="1131"/>
      <c r="P5" s="3226"/>
      <c r="Q5" s="3197"/>
      <c r="R5" s="3202"/>
      <c r="S5" s="3203"/>
      <c r="T5" s="3202"/>
      <c r="U5" s="3203"/>
      <c r="V5" s="3206"/>
      <c r="W5" s="3206"/>
      <c r="X5" s="1814"/>
      <c r="Y5" s="3202"/>
      <c r="Z5" s="3203"/>
      <c r="AA5" s="3188"/>
      <c r="AB5" s="3188"/>
      <c r="AC5" s="3222"/>
    </row>
    <row r="6" spans="1:29" ht="15.75" thickBot="1">
      <c r="A6" s="407"/>
      <c r="B6" s="408"/>
      <c r="C6" s="3207" t="s">
        <v>2544</v>
      </c>
      <c r="D6" s="3208"/>
      <c r="E6" s="3214" t="s">
        <v>2544</v>
      </c>
      <c r="F6" s="3215"/>
      <c r="G6" s="3207" t="s">
        <v>2544</v>
      </c>
      <c r="H6" s="3208"/>
      <c r="I6" s="3207" t="s">
        <v>2544</v>
      </c>
      <c r="J6" s="3208"/>
      <c r="K6" s="611" t="s">
        <v>2545</v>
      </c>
      <c r="L6" s="1130"/>
      <c r="M6" s="1131"/>
      <c r="N6" s="1131"/>
      <c r="O6" s="1131"/>
      <c r="P6" s="3227"/>
      <c r="Q6" s="3199"/>
      <c r="R6" s="3202"/>
      <c r="S6" s="3203"/>
      <c r="T6" s="3204"/>
      <c r="U6" s="3205"/>
      <c r="V6" s="3206"/>
      <c r="W6" s="3206"/>
      <c r="X6" s="1814"/>
      <c r="Y6" s="3204"/>
      <c r="Z6" s="3205"/>
      <c r="AA6" s="3189"/>
      <c r="AB6" s="3189"/>
      <c r="AC6" s="3223"/>
    </row>
    <row r="7" spans="1:29" s="117" customFormat="1" ht="15.75" thickBot="1">
      <c r="A7" s="409" t="s">
        <v>2546</v>
      </c>
      <c r="B7" s="410"/>
      <c r="C7" s="411">
        <f>'数据-取费表'!B2</f>
        <v>43039</v>
      </c>
      <c r="D7" s="412">
        <v>100</v>
      </c>
      <c r="E7" s="413"/>
      <c r="F7" s="414">
        <f>SUMIF(59:59,YEAR(E7)&amp;"-"&amp;MONTH(E7),60:60)</f>
        <v>0</v>
      </c>
      <c r="G7" s="413"/>
      <c r="H7" s="412">
        <f>SUMIF(59:59,YEAR(G7)&amp;"-"&amp;MONTH(G7),60:60)</f>
        <v>0</v>
      </c>
      <c r="I7" s="413"/>
      <c r="J7" s="412">
        <f>SUMIF(59:59,YEAR(I7)&amp;"-"&amp;MONTH(I7),60:60)</f>
        <v>0</v>
      </c>
      <c r="K7" s="612"/>
      <c r="L7" s="1132"/>
      <c r="M7" s="1133"/>
      <c r="N7" s="1133"/>
      <c r="O7" s="1133"/>
      <c r="P7" s="3231" t="s">
        <v>2547</v>
      </c>
      <c r="Q7" s="3213"/>
      <c r="R7" s="771" t="s">
        <v>17</v>
      </c>
      <c r="S7" s="772">
        <f t="shared" ref="S7:S15" si="0">F7</f>
        <v>0</v>
      </c>
      <c r="T7" s="771" t="s">
        <v>17</v>
      </c>
      <c r="U7" s="772">
        <f t="shared" ref="U7:U15" si="1">H7</f>
        <v>0</v>
      </c>
      <c r="V7" s="771" t="s">
        <v>17</v>
      </c>
      <c r="W7" s="772">
        <f t="shared" ref="W7:W15" si="2">J7</f>
        <v>0</v>
      </c>
      <c r="X7" s="773"/>
      <c r="Y7" s="3211" t="s">
        <v>2547</v>
      </c>
      <c r="Z7" s="3212"/>
      <c r="AA7" s="774" t="e">
        <f>D7/F7</f>
        <v>#DIV/0!</v>
      </c>
      <c r="AB7" s="774" t="e">
        <f>D7/H7</f>
        <v>#DIV/0!</v>
      </c>
      <c r="AC7" s="2668" t="e">
        <f>D7/J7</f>
        <v>#DIV/0!</v>
      </c>
    </row>
    <row r="8" spans="1:29" s="117" customFormat="1" ht="15.75" thickBot="1">
      <c r="A8" s="409" t="s">
        <v>2548</v>
      </c>
      <c r="B8" s="410"/>
      <c r="C8" s="415" t="s">
        <v>2650</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231" t="s">
        <v>2550</v>
      </c>
      <c r="Q8" s="3212"/>
      <c r="R8" s="771" t="s">
        <v>17</v>
      </c>
      <c r="S8" s="772">
        <f t="shared" si="0"/>
        <v>0</v>
      </c>
      <c r="T8" s="771" t="s">
        <v>17</v>
      </c>
      <c r="U8" s="772">
        <f t="shared" si="1"/>
        <v>0</v>
      </c>
      <c r="V8" s="771" t="s">
        <v>17</v>
      </c>
      <c r="W8" s="772">
        <f t="shared" si="2"/>
        <v>0</v>
      </c>
      <c r="X8" s="773"/>
      <c r="Y8" s="3211" t="s">
        <v>2550</v>
      </c>
      <c r="Z8" s="3212"/>
      <c r="AA8" s="774" t="e">
        <f t="shared" ref="AA8:AA47" si="3">D8/F8</f>
        <v>#DIV/0!</v>
      </c>
      <c r="AB8" s="774" t="e">
        <f t="shared" ref="AB8:AB47" si="4">D8/H8</f>
        <v>#DIV/0!</v>
      </c>
      <c r="AC8" s="2668"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186" t="s">
        <v>2553</v>
      </c>
      <c r="Q9" s="1796" t="str">
        <f t="shared" ref="Q9:Q15" si="6">B9</f>
        <v>用途</v>
      </c>
      <c r="R9" s="771" t="s">
        <v>17</v>
      </c>
      <c r="S9" s="772">
        <f t="shared" si="0"/>
        <v>100</v>
      </c>
      <c r="T9" s="771" t="s">
        <v>17</v>
      </c>
      <c r="U9" s="772">
        <f t="shared" si="1"/>
        <v>100</v>
      </c>
      <c r="V9" s="771" t="s">
        <v>17</v>
      </c>
      <c r="W9" s="772">
        <f t="shared" si="2"/>
        <v>100</v>
      </c>
      <c r="X9" s="773"/>
      <c r="Y9" s="3000" t="s">
        <v>2554</v>
      </c>
      <c r="Z9" s="55" t="str">
        <f t="shared" ref="Z9:Z15" si="7">Q9</f>
        <v>用途</v>
      </c>
      <c r="AA9" s="774">
        <f t="shared" si="3"/>
        <v>1</v>
      </c>
      <c r="AB9" s="774">
        <f t="shared" si="4"/>
        <v>1</v>
      </c>
      <c r="AC9" s="2668">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186"/>
      <c r="Q10" s="1796" t="str">
        <f t="shared" si="6"/>
        <v>土地使用年限（年）</v>
      </c>
      <c r="R10" s="771" t="s">
        <v>17</v>
      </c>
      <c r="S10" s="772">
        <f t="shared" si="0"/>
        <v>100</v>
      </c>
      <c r="T10" s="771" t="s">
        <v>17</v>
      </c>
      <c r="U10" s="772">
        <f t="shared" si="1"/>
        <v>100</v>
      </c>
      <c r="V10" s="771" t="s">
        <v>17</v>
      </c>
      <c r="W10" s="772">
        <f t="shared" si="2"/>
        <v>100</v>
      </c>
      <c r="X10" s="773"/>
      <c r="Y10" s="3000"/>
      <c r="Z10" s="55" t="str">
        <f t="shared" si="7"/>
        <v>土地使用年限（年）</v>
      </c>
      <c r="AA10" s="774">
        <f t="shared" si="3"/>
        <v>1</v>
      </c>
      <c r="AB10" s="774">
        <f t="shared" si="4"/>
        <v>1</v>
      </c>
      <c r="AC10" s="2668">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186"/>
      <c r="Q11" s="1796" t="str">
        <f t="shared" si="6"/>
        <v>容积率</v>
      </c>
      <c r="R11" s="771" t="s">
        <v>17</v>
      </c>
      <c r="S11" s="772" t="e">
        <f t="shared" si="0"/>
        <v>#N/A</v>
      </c>
      <c r="T11" s="771" t="s">
        <v>17</v>
      </c>
      <c r="U11" s="772" t="e">
        <f t="shared" si="1"/>
        <v>#N/A</v>
      </c>
      <c r="V11" s="771" t="s">
        <v>17</v>
      </c>
      <c r="W11" s="772" t="e">
        <f t="shared" si="2"/>
        <v>#N/A</v>
      </c>
      <c r="X11" s="773"/>
      <c r="Y11" s="3000"/>
      <c r="Z11" s="55" t="str">
        <f t="shared" si="7"/>
        <v>容积率</v>
      </c>
      <c r="AA11" s="774" t="e">
        <f t="shared" si="3"/>
        <v>#N/A</v>
      </c>
      <c r="AB11" s="774" t="e">
        <f t="shared" si="4"/>
        <v>#N/A</v>
      </c>
      <c r="AC11" s="2668" t="e">
        <f t="shared" si="5"/>
        <v>#N/A</v>
      </c>
    </row>
    <row r="12" spans="1:29" s="117" customFormat="1" ht="15">
      <c r="A12" s="432"/>
      <c r="B12" s="2597">
        <v>111</v>
      </c>
      <c r="C12" s="433"/>
      <c r="D12" s="434">
        <v>100</v>
      </c>
      <c r="E12" s="433"/>
      <c r="F12" s="136">
        <f>SUMIF(71:71,E12,72:72)-SUMIF(71:71,C12,72:72)+100</f>
        <v>100</v>
      </c>
      <c r="G12" s="2669"/>
      <c r="H12" s="136">
        <f>SUMIF(71:71,G12,72:72)-SUMIF(71:71,C12,72:72)+100</f>
        <v>100</v>
      </c>
      <c r="I12" s="433"/>
      <c r="J12" s="136">
        <f>SUMIF(71:71,I12,72:72)-SUMIF(71:71,C12,72:72)+100</f>
        <v>100</v>
      </c>
      <c r="K12" s="614"/>
      <c r="L12" s="1132"/>
      <c r="M12" s="1133"/>
      <c r="N12" s="1133"/>
      <c r="O12" s="1133"/>
      <c r="P12" s="3186"/>
      <c r="Q12" s="1796">
        <f t="shared" si="6"/>
        <v>111</v>
      </c>
      <c r="R12" s="771" t="s">
        <v>17</v>
      </c>
      <c r="S12" s="772">
        <f t="shared" si="0"/>
        <v>100</v>
      </c>
      <c r="T12" s="771" t="s">
        <v>17</v>
      </c>
      <c r="U12" s="772">
        <f t="shared" si="1"/>
        <v>100</v>
      </c>
      <c r="V12" s="771" t="s">
        <v>17</v>
      </c>
      <c r="W12" s="772">
        <f t="shared" si="2"/>
        <v>100</v>
      </c>
      <c r="X12" s="773"/>
      <c r="Y12" s="3000"/>
      <c r="Z12" s="55">
        <f t="shared" si="7"/>
        <v>111</v>
      </c>
      <c r="AA12" s="774">
        <f>D12/F12</f>
        <v>1</v>
      </c>
      <c r="AB12" s="774">
        <f>D12/H12</f>
        <v>1</v>
      </c>
      <c r="AC12" s="2668">
        <f>D12/J12</f>
        <v>1</v>
      </c>
    </row>
    <row r="13" spans="1:29" ht="15">
      <c r="A13" s="429"/>
      <c r="B13" s="2597">
        <v>111</v>
      </c>
      <c r="C13" s="435"/>
      <c r="D13" s="436">
        <v>100</v>
      </c>
      <c r="E13" s="433"/>
      <c r="F13" s="136">
        <f>SUMIF(73:73,E13,74:74)-SUMIF(73:73,C13,74:74)+100</f>
        <v>100</v>
      </c>
      <c r="G13" s="2669"/>
      <c r="H13" s="436">
        <f>SUMIF(73:73,G13,74:74)-SUMIF(73:73,C13,74:74)+100</f>
        <v>100</v>
      </c>
      <c r="I13" s="433"/>
      <c r="J13" s="436">
        <f>SUMIF(73:73,I13,74:74)-SUMIF(73:73,C13,74:74)+100</f>
        <v>100</v>
      </c>
      <c r="K13" s="614"/>
      <c r="L13" s="1140"/>
      <c r="M13" s="1131"/>
      <c r="N13" s="1131"/>
      <c r="O13" s="1131"/>
      <c r="P13" s="3186"/>
      <c r="Q13" s="1796">
        <f t="shared" si="6"/>
        <v>111</v>
      </c>
      <c r="R13" s="771" t="s">
        <v>17</v>
      </c>
      <c r="S13" s="772">
        <f t="shared" si="0"/>
        <v>100</v>
      </c>
      <c r="T13" s="771" t="s">
        <v>17</v>
      </c>
      <c r="U13" s="772">
        <f t="shared" si="1"/>
        <v>100</v>
      </c>
      <c r="V13" s="771" t="s">
        <v>17</v>
      </c>
      <c r="W13" s="772">
        <f t="shared" si="2"/>
        <v>100</v>
      </c>
      <c r="X13" s="773"/>
      <c r="Y13" s="3000"/>
      <c r="Z13" s="55">
        <f t="shared" si="7"/>
        <v>111</v>
      </c>
      <c r="AA13" s="774">
        <f t="shared" si="3"/>
        <v>1</v>
      </c>
      <c r="AB13" s="774">
        <f t="shared" si="4"/>
        <v>1</v>
      </c>
      <c r="AC13" s="2668">
        <f t="shared" si="5"/>
        <v>1</v>
      </c>
    </row>
    <row r="14" spans="1:29" ht="15.75" thickBot="1">
      <c r="A14" s="437"/>
      <c r="B14" s="2599">
        <v>111</v>
      </c>
      <c r="C14" s="438"/>
      <c r="D14" s="439">
        <v>100</v>
      </c>
      <c r="E14" s="629"/>
      <c r="F14" s="439">
        <f>SUMIF(75:75,E14,76:76)-SUMIF(75:75,C14,76:76)+100</f>
        <v>100</v>
      </c>
      <c r="G14" s="2669"/>
      <c r="H14" s="439">
        <f>SUMIF(75:75,G14,76:76)-SUMIF(75:75,C14,76:76)+100</f>
        <v>100</v>
      </c>
      <c r="I14" s="433"/>
      <c r="J14" s="439">
        <f>SUMIF(75:75,I14,76:76)-SUMIF(75:75,C14,76:76)+100</f>
        <v>100</v>
      </c>
      <c r="K14" s="614"/>
      <c r="L14" s="1140"/>
      <c r="M14" s="1131"/>
      <c r="N14" s="1131"/>
      <c r="O14" s="1131"/>
      <c r="P14" s="3186"/>
      <c r="Q14" s="1796">
        <f t="shared" si="6"/>
        <v>111</v>
      </c>
      <c r="R14" s="771" t="s">
        <v>17</v>
      </c>
      <c r="S14" s="772">
        <f t="shared" si="0"/>
        <v>100</v>
      </c>
      <c r="T14" s="771" t="s">
        <v>17</v>
      </c>
      <c r="U14" s="772">
        <f t="shared" si="1"/>
        <v>100</v>
      </c>
      <c r="V14" s="771" t="s">
        <v>17</v>
      </c>
      <c r="W14" s="772">
        <f t="shared" si="2"/>
        <v>100</v>
      </c>
      <c r="X14" s="773"/>
      <c r="Y14" s="3000"/>
      <c r="Z14" s="55">
        <f t="shared" si="7"/>
        <v>111</v>
      </c>
      <c r="AA14" s="774">
        <f t="shared" si="3"/>
        <v>1</v>
      </c>
      <c r="AB14" s="774">
        <f t="shared" si="4"/>
        <v>1</v>
      </c>
      <c r="AC14" s="2668">
        <f t="shared" si="5"/>
        <v>1</v>
      </c>
    </row>
    <row r="15" spans="1:29" ht="15">
      <c r="A15" s="441" t="s">
        <v>2557</v>
      </c>
      <c r="B15" s="630" t="s">
        <v>2685</v>
      </c>
      <c r="C15" s="2670">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184" t="s">
        <v>2558</v>
      </c>
      <c r="Q15" s="1811" t="str">
        <f t="shared" si="6"/>
        <v>办公集聚程度</v>
      </c>
      <c r="R15" s="775" t="s">
        <v>17</v>
      </c>
      <c r="S15" s="776">
        <f t="shared" si="0"/>
        <v>100</v>
      </c>
      <c r="T15" s="775" t="s">
        <v>17</v>
      </c>
      <c r="U15" s="776">
        <f t="shared" si="1"/>
        <v>100</v>
      </c>
      <c r="V15" s="775" t="s">
        <v>17</v>
      </c>
      <c r="W15" s="776">
        <f t="shared" si="2"/>
        <v>100</v>
      </c>
      <c r="X15" s="1814"/>
      <c r="Y15" s="3177" t="s">
        <v>2558</v>
      </c>
      <c r="Z15" s="1815" t="str">
        <f t="shared" si="7"/>
        <v>办公集聚程度</v>
      </c>
      <c r="AA15" s="1812">
        <f t="shared" si="3"/>
        <v>1</v>
      </c>
      <c r="AB15" s="1812">
        <f t="shared" si="4"/>
        <v>1</v>
      </c>
      <c r="AC15" s="2671">
        <f t="shared" si="5"/>
        <v>1</v>
      </c>
    </row>
    <row r="16" spans="1:29" ht="15">
      <c r="A16" s="429"/>
      <c r="B16" s="631"/>
      <c r="C16" s="2608"/>
      <c r="D16" s="449"/>
      <c r="E16" s="448"/>
      <c r="F16" s="449"/>
      <c r="G16" s="2608"/>
      <c r="H16" s="451"/>
      <c r="I16" s="448"/>
      <c r="J16" s="449"/>
      <c r="K16" s="616"/>
      <c r="L16" s="1140"/>
      <c r="M16" s="1131"/>
      <c r="N16" s="1131"/>
      <c r="O16" s="1131"/>
      <c r="P16" s="3185"/>
      <c r="Q16" s="1811"/>
      <c r="R16" s="775"/>
      <c r="S16" s="776"/>
      <c r="T16" s="775"/>
      <c r="U16" s="776"/>
      <c r="V16" s="775"/>
      <c r="W16" s="776"/>
      <c r="X16" s="1814"/>
      <c r="Y16" s="3178"/>
      <c r="Z16" s="1815"/>
      <c r="AA16" s="1812">
        <v>1</v>
      </c>
      <c r="AB16" s="1812">
        <v>1</v>
      </c>
      <c r="AC16" s="2671">
        <v>1</v>
      </c>
    </row>
    <row r="17" spans="1:29" ht="114">
      <c r="A17" s="429"/>
      <c r="B17" s="632" t="s">
        <v>2096</v>
      </c>
      <c r="C17" s="2672" t="str">
        <f>估价对象房地状况!C6</f>
        <v>估价对象周边有371、462等公交线路并有8号线等，公共交通通达情况；项目自身有停车位、停车便捷程度较好，综合评价交通便捷度较好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185"/>
      <c r="Q17" s="1811" t="str">
        <f>B17</f>
        <v>交通便捷度</v>
      </c>
      <c r="R17" s="775" t="s">
        <v>17</v>
      </c>
      <c r="S17" s="776">
        <f>F17</f>
        <v>100</v>
      </c>
      <c r="T17" s="775" t="s">
        <v>17</v>
      </c>
      <c r="U17" s="776">
        <f>H17</f>
        <v>100</v>
      </c>
      <c r="V17" s="775" t="s">
        <v>17</v>
      </c>
      <c r="W17" s="776">
        <f>J17</f>
        <v>100</v>
      </c>
      <c r="X17" s="1814"/>
      <c r="Y17" s="3178"/>
      <c r="Z17" s="1815" t="str">
        <f>Q17</f>
        <v>交通便捷度</v>
      </c>
      <c r="AA17" s="1812">
        <f t="shared" si="3"/>
        <v>1</v>
      </c>
      <c r="AB17" s="1812">
        <f t="shared" si="4"/>
        <v>1</v>
      </c>
      <c r="AC17" s="2671">
        <f t="shared" si="5"/>
        <v>1</v>
      </c>
    </row>
    <row r="18" spans="1:29" ht="15">
      <c r="A18" s="429"/>
      <c r="B18" s="633"/>
      <c r="C18" s="2673"/>
      <c r="D18" s="451"/>
      <c r="E18" s="2606"/>
      <c r="F18" s="451"/>
      <c r="G18" s="2607"/>
      <c r="H18" s="449"/>
      <c r="I18" s="2607"/>
      <c r="J18" s="449"/>
      <c r="K18" s="616"/>
      <c r="L18" s="1140"/>
      <c r="M18" s="1131"/>
      <c r="N18" s="1131"/>
      <c r="O18" s="1131"/>
      <c r="P18" s="3185"/>
      <c r="Q18" s="1811"/>
      <c r="R18" s="775"/>
      <c r="S18" s="776"/>
      <c r="T18" s="775"/>
      <c r="U18" s="776"/>
      <c r="V18" s="775"/>
      <c r="W18" s="776"/>
      <c r="X18" s="1814"/>
      <c r="Y18" s="3178"/>
      <c r="Z18" s="1815"/>
      <c r="AA18" s="1812">
        <v>1</v>
      </c>
      <c r="AB18" s="1812">
        <v>1</v>
      </c>
      <c r="AC18" s="2671">
        <v>1</v>
      </c>
    </row>
    <row r="19" spans="1:29" ht="71.25">
      <c r="A19" s="429"/>
      <c r="B19" s="632" t="s">
        <v>2686</v>
      </c>
      <c r="C19" s="2672" t="str">
        <f>估价对象房地状况!C7</f>
        <v>估价对象所在区域公共配套设施较齐备；综合评价公用设施及基础设施水平较好</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185"/>
      <c r="Q19" s="1811" t="str">
        <f>B19</f>
        <v>公共配套设施</v>
      </c>
      <c r="R19" s="775" t="s">
        <v>17</v>
      </c>
      <c r="S19" s="776">
        <f>F19</f>
        <v>100</v>
      </c>
      <c r="T19" s="775" t="s">
        <v>17</v>
      </c>
      <c r="U19" s="776">
        <f>H19</f>
        <v>100</v>
      </c>
      <c r="V19" s="775" t="s">
        <v>17</v>
      </c>
      <c r="W19" s="776">
        <f>J19</f>
        <v>100</v>
      </c>
      <c r="X19" s="1814"/>
      <c r="Y19" s="3178"/>
      <c r="Z19" s="1815" t="str">
        <f>Q19</f>
        <v>公共配套设施</v>
      </c>
      <c r="AA19" s="1812">
        <f t="shared" si="3"/>
        <v>1</v>
      </c>
      <c r="AB19" s="1812">
        <f t="shared" si="4"/>
        <v>1</v>
      </c>
      <c r="AC19" s="2671">
        <f t="shared" si="5"/>
        <v>1</v>
      </c>
    </row>
    <row r="20" spans="1:29" ht="15">
      <c r="A20" s="429"/>
      <c r="B20" s="633"/>
      <c r="C20" s="2608"/>
      <c r="D20" s="449"/>
      <c r="E20" s="2601"/>
      <c r="F20" s="449"/>
      <c r="G20" s="2602"/>
      <c r="H20" s="449"/>
      <c r="I20" s="2602"/>
      <c r="J20" s="449"/>
      <c r="K20" s="616"/>
      <c r="L20" s="1140"/>
      <c r="M20" s="1131"/>
      <c r="N20" s="1131"/>
      <c r="O20" s="1131"/>
      <c r="P20" s="3185"/>
      <c r="Q20" s="1811"/>
      <c r="R20" s="775"/>
      <c r="S20" s="776"/>
      <c r="T20" s="775"/>
      <c r="U20" s="776"/>
      <c r="V20" s="775"/>
      <c r="W20" s="776"/>
      <c r="X20" s="1814"/>
      <c r="Y20" s="3178"/>
      <c r="Z20" s="1815"/>
      <c r="AA20" s="1812">
        <v>1</v>
      </c>
      <c r="AB20" s="1812">
        <v>1</v>
      </c>
      <c r="AC20" s="2671">
        <v>1</v>
      </c>
    </row>
    <row r="21" spans="1:29" ht="28.5">
      <c r="A21" s="429"/>
      <c r="B21" s="634" t="s">
        <v>2687</v>
      </c>
      <c r="C21" s="2672" t="str">
        <f>估价对象房地状况!C8</f>
        <v>基础设施水平七通一平；</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185"/>
      <c r="Q21" s="1811" t="str">
        <f>B21</f>
        <v>基础设施水平</v>
      </c>
      <c r="R21" s="775" t="s">
        <v>17</v>
      </c>
      <c r="S21" s="776">
        <f>F21</f>
        <v>100</v>
      </c>
      <c r="T21" s="775" t="s">
        <v>17</v>
      </c>
      <c r="U21" s="776">
        <f>H21</f>
        <v>100</v>
      </c>
      <c r="V21" s="775" t="s">
        <v>17</v>
      </c>
      <c r="W21" s="776">
        <f>J21</f>
        <v>100</v>
      </c>
      <c r="X21" s="1814"/>
      <c r="Y21" s="3178"/>
      <c r="Z21" s="1815" t="str">
        <f>Q21</f>
        <v>基础设施水平</v>
      </c>
      <c r="AA21" s="1812">
        <f t="shared" ref="AA21" si="8">D21/F21</f>
        <v>1</v>
      </c>
      <c r="AB21" s="1812">
        <f t="shared" ref="AB21" si="9">D21/H21</f>
        <v>1</v>
      </c>
      <c r="AC21" s="2671">
        <f t="shared" ref="AC21" si="10">D21/J21</f>
        <v>1</v>
      </c>
    </row>
    <row r="22" spans="1:29" ht="15">
      <c r="A22" s="429"/>
      <c r="B22" s="634"/>
      <c r="C22" s="2673"/>
      <c r="D22" s="449"/>
      <c r="E22" s="448"/>
      <c r="F22" s="449"/>
      <c r="G22" s="2608"/>
      <c r="H22" s="449"/>
      <c r="I22" s="2608"/>
      <c r="J22" s="449"/>
      <c r="K22" s="1383"/>
      <c r="L22" s="1140"/>
      <c r="M22" s="1131"/>
      <c r="N22" s="1131"/>
      <c r="O22" s="1131"/>
      <c r="P22" s="3185"/>
      <c r="Q22" s="1811"/>
      <c r="R22" s="775"/>
      <c r="S22" s="776"/>
      <c r="T22" s="775"/>
      <c r="U22" s="776"/>
      <c r="V22" s="775"/>
      <c r="W22" s="776"/>
      <c r="X22" s="1814"/>
      <c r="Y22" s="3178"/>
      <c r="Z22" s="1815"/>
      <c r="AA22" s="1812">
        <v>1</v>
      </c>
      <c r="AB22" s="1812">
        <v>1</v>
      </c>
      <c r="AC22" s="2671">
        <v>1</v>
      </c>
    </row>
    <row r="23" spans="1:29" ht="71.25">
      <c r="A23" s="429"/>
      <c r="B23" s="632" t="s">
        <v>2688</v>
      </c>
      <c r="C23" s="2672" t="str">
        <f>估价对象房地状况!C9</f>
        <v>区域自然环境：南店公园等；人文环境：北京石油管理干部学院；综合评价环境状况较好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185"/>
      <c r="Q23" s="1811" t="str">
        <f>B23</f>
        <v>环境质量</v>
      </c>
      <c r="R23" s="775" t="s">
        <v>17</v>
      </c>
      <c r="S23" s="776">
        <f>F23</f>
        <v>100</v>
      </c>
      <c r="T23" s="775" t="s">
        <v>17</v>
      </c>
      <c r="U23" s="776">
        <f>H23</f>
        <v>100</v>
      </c>
      <c r="V23" s="775" t="s">
        <v>17</v>
      </c>
      <c r="W23" s="776">
        <f>J23</f>
        <v>100</v>
      </c>
      <c r="X23" s="1814"/>
      <c r="Y23" s="3178"/>
      <c r="Z23" s="1815" t="str">
        <f>Q23</f>
        <v>环境质量</v>
      </c>
      <c r="AA23" s="1812">
        <f t="shared" si="3"/>
        <v>1</v>
      </c>
      <c r="AB23" s="1812">
        <f t="shared" si="4"/>
        <v>1</v>
      </c>
      <c r="AC23" s="2671">
        <f t="shared" si="5"/>
        <v>1</v>
      </c>
    </row>
    <row r="24" spans="1:29" ht="15">
      <c r="A24" s="429"/>
      <c r="B24" s="634"/>
      <c r="C24" s="2608"/>
      <c r="D24" s="449"/>
      <c r="E24" s="2601"/>
      <c r="F24" s="449"/>
      <c r="G24" s="2602"/>
      <c r="H24" s="449"/>
      <c r="I24" s="2602"/>
      <c r="J24" s="449"/>
      <c r="K24" s="616"/>
      <c r="L24" s="1140"/>
      <c r="M24" s="1131"/>
      <c r="N24" s="1131"/>
      <c r="O24" s="1131"/>
      <c r="P24" s="3185"/>
      <c r="Q24" s="1811"/>
      <c r="R24" s="775"/>
      <c r="S24" s="776"/>
      <c r="T24" s="775"/>
      <c r="U24" s="776"/>
      <c r="V24" s="775"/>
      <c r="W24" s="776"/>
      <c r="X24" s="1814"/>
      <c r="Y24" s="3178"/>
      <c r="Z24" s="1815"/>
      <c r="AA24" s="1812">
        <v>1</v>
      </c>
      <c r="AB24" s="1812">
        <v>1</v>
      </c>
      <c r="AC24" s="2671">
        <v>1</v>
      </c>
    </row>
    <row r="25" spans="1:29" ht="27">
      <c r="A25" s="405"/>
      <c r="B25" s="632" t="s">
        <v>2689</v>
      </c>
      <c r="C25" s="2612"/>
      <c r="D25" s="436">
        <v>100</v>
      </c>
      <c r="E25" s="435"/>
      <c r="F25" s="436">
        <f>SUMIF(87:87,E26,88:88)-SUMIF(87:87,C26,88:88)+100</f>
        <v>100</v>
      </c>
      <c r="G25" s="2612"/>
      <c r="H25" s="436">
        <f>SUMIF(87:87,G26,88:88)-SUMIF(87:87,C26,88:88)+100</f>
        <v>100</v>
      </c>
      <c r="I25" s="435"/>
      <c r="J25" s="436">
        <f>SUMIF(87:87,I26,88:88)-SUMIF(87:87,C26,88:88)+100</f>
        <v>100</v>
      </c>
      <c r="K25" s="615"/>
      <c r="L25" s="1140"/>
      <c r="M25" s="1131"/>
      <c r="N25" s="1131"/>
      <c r="O25" s="1131"/>
      <c r="P25" s="3185"/>
      <c r="Q25" s="1811" t="str">
        <f>B25</f>
        <v>毗邻道路的类型与等级</v>
      </c>
      <c r="R25" s="775" t="s">
        <v>17</v>
      </c>
      <c r="S25" s="776">
        <f>F25</f>
        <v>100</v>
      </c>
      <c r="T25" s="775" t="s">
        <v>17</v>
      </c>
      <c r="U25" s="776">
        <f>H25</f>
        <v>100</v>
      </c>
      <c r="V25" s="775" t="s">
        <v>17</v>
      </c>
      <c r="W25" s="776">
        <f>J25</f>
        <v>100</v>
      </c>
      <c r="X25" s="1814"/>
      <c r="Y25" s="3178"/>
      <c r="Z25" s="1815" t="str">
        <f>Q25</f>
        <v>毗邻道路的类型与等级</v>
      </c>
      <c r="AA25" s="1812">
        <f t="shared" si="3"/>
        <v>1</v>
      </c>
      <c r="AB25" s="1812">
        <f t="shared" si="4"/>
        <v>1</v>
      </c>
      <c r="AC25" s="2671">
        <f t="shared" si="5"/>
        <v>1</v>
      </c>
    </row>
    <row r="26" spans="1:29" ht="15">
      <c r="A26" s="405"/>
      <c r="B26" s="633"/>
      <c r="C26" s="635"/>
      <c r="D26" s="436"/>
      <c r="E26" s="617"/>
      <c r="F26" s="436"/>
      <c r="G26" s="635"/>
      <c r="H26" s="436"/>
      <c r="I26" s="617"/>
      <c r="J26" s="436"/>
      <c r="K26" s="616"/>
      <c r="L26" s="1140"/>
      <c r="M26" s="1131"/>
      <c r="N26" s="1131"/>
      <c r="O26" s="1131"/>
      <c r="P26" s="3185"/>
      <c r="Q26" s="1811"/>
      <c r="R26" s="775"/>
      <c r="S26" s="776"/>
      <c r="T26" s="775"/>
      <c r="U26" s="776"/>
      <c r="V26" s="775"/>
      <c r="W26" s="776"/>
      <c r="X26" s="1814"/>
      <c r="Y26" s="3178"/>
      <c r="Z26" s="1815"/>
      <c r="AA26" s="1812">
        <v>1</v>
      </c>
      <c r="AB26" s="1812">
        <v>1</v>
      </c>
      <c r="AC26" s="2671">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185"/>
      <c r="Q27" s="1811" t="str">
        <f t="shared" ref="Q27:Q47" si="11">B27</f>
        <v>楼层</v>
      </c>
      <c r="R27" s="775" t="s">
        <v>17</v>
      </c>
      <c r="S27" s="776">
        <f>F27</f>
        <v>100</v>
      </c>
      <c r="T27" s="775" t="s">
        <v>17</v>
      </c>
      <c r="U27" s="776">
        <f>H27</f>
        <v>100</v>
      </c>
      <c r="V27" s="775" t="s">
        <v>17</v>
      </c>
      <c r="W27" s="776">
        <f>J27</f>
        <v>100</v>
      </c>
      <c r="X27" s="1814"/>
      <c r="Y27" s="3178"/>
      <c r="Z27" s="1815" t="str">
        <f>Q27</f>
        <v>楼层</v>
      </c>
      <c r="AA27" s="1812">
        <f t="shared" si="3"/>
        <v>1</v>
      </c>
      <c r="AB27" s="1812">
        <f t="shared" si="4"/>
        <v>1</v>
      </c>
      <c r="AC27" s="2671">
        <f t="shared" si="5"/>
        <v>1</v>
      </c>
    </row>
    <row r="28" spans="1:29" s="117" customFormat="1" ht="15">
      <c r="A28" s="432"/>
      <c r="B28" s="632" t="s">
        <v>2690</v>
      </c>
      <c r="C28" s="2674"/>
      <c r="D28" s="463">
        <v>100</v>
      </c>
      <c r="E28" s="2662"/>
      <c r="F28" s="463">
        <f>SUMIF(91:91,E28,92:92)-SUMIF(91:91,C28,92:92)+100</f>
        <v>100</v>
      </c>
      <c r="G28" s="2674"/>
      <c r="H28" s="463">
        <f>SUMIF(91:91,G28,92:92)-SUMIF(91:91,C28,92:92)+100</f>
        <v>100</v>
      </c>
      <c r="I28" s="2662"/>
      <c r="J28" s="463">
        <f>SUMIF(91:91,I28,92:92)-SUMIF(91:91,C28,92:92)+100</f>
        <v>100</v>
      </c>
      <c r="K28" s="613"/>
      <c r="L28" s="1132"/>
      <c r="M28" s="1133"/>
      <c r="N28" s="1133"/>
      <c r="O28" s="1133"/>
      <c r="P28" s="3185"/>
      <c r="Q28" s="1796" t="str">
        <f t="shared" si="11"/>
        <v>朝向</v>
      </c>
      <c r="R28" s="771" t="s">
        <v>17</v>
      </c>
      <c r="S28" s="772">
        <f>F28</f>
        <v>100</v>
      </c>
      <c r="T28" s="771" t="s">
        <v>17</v>
      </c>
      <c r="U28" s="772">
        <f>H28</f>
        <v>100</v>
      </c>
      <c r="V28" s="771" t="s">
        <v>17</v>
      </c>
      <c r="W28" s="772">
        <f>J28</f>
        <v>100</v>
      </c>
      <c r="X28" s="773"/>
      <c r="Y28" s="3178"/>
      <c r="Z28" s="55" t="str">
        <f>Q28</f>
        <v>朝向</v>
      </c>
      <c r="AA28" s="1812">
        <f>D28/F28</f>
        <v>1</v>
      </c>
      <c r="AB28" s="1812">
        <f>D28/H28</f>
        <v>1</v>
      </c>
      <c r="AC28" s="2671">
        <f>D28/J28</f>
        <v>1</v>
      </c>
    </row>
    <row r="29" spans="1:29" ht="15">
      <c r="A29" s="429"/>
      <c r="B29" s="2675">
        <v>111</v>
      </c>
      <c r="C29" s="2612"/>
      <c r="D29" s="436">
        <v>100</v>
      </c>
      <c r="E29" s="433"/>
      <c r="F29" s="436">
        <f>SUMIF(93:93,E29,94:94)-SUMIF(93:93,C29,94:94)+100</f>
        <v>100</v>
      </c>
      <c r="G29" s="2669"/>
      <c r="H29" s="436">
        <f>SUMIF(93:93,G29,94:94)-SUMIF(93:93,C29,94:94)+100</f>
        <v>100</v>
      </c>
      <c r="I29" s="433"/>
      <c r="J29" s="436">
        <f>SUMIF(93:93,I29,94:94)-SUMIF(93:93,C29,94:94)+100</f>
        <v>100</v>
      </c>
      <c r="K29" s="614"/>
      <c r="L29" s="1140"/>
      <c r="M29" s="1131"/>
      <c r="N29" s="1131"/>
      <c r="O29" s="1131"/>
      <c r="P29" s="3185"/>
      <c r="Q29" s="1811">
        <f t="shared" si="11"/>
        <v>111</v>
      </c>
      <c r="R29" s="775" t="s">
        <v>17</v>
      </c>
      <c r="S29" s="776">
        <f t="shared" ref="S29:S47" si="12">F29</f>
        <v>100</v>
      </c>
      <c r="T29" s="775" t="s">
        <v>17</v>
      </c>
      <c r="U29" s="776">
        <f t="shared" ref="U29:U47" si="13">H29</f>
        <v>100</v>
      </c>
      <c r="V29" s="775" t="s">
        <v>17</v>
      </c>
      <c r="W29" s="776">
        <f t="shared" ref="W29:W47" si="14">J29</f>
        <v>100</v>
      </c>
      <c r="X29" s="1814"/>
      <c r="Y29" s="3178"/>
      <c r="Z29" s="1815">
        <f t="shared" ref="Z29:Z47" si="15">Q29</f>
        <v>111</v>
      </c>
      <c r="AA29" s="1812">
        <f t="shared" si="3"/>
        <v>1</v>
      </c>
      <c r="AB29" s="1812">
        <f t="shared" si="4"/>
        <v>1</v>
      </c>
      <c r="AC29" s="2671">
        <f t="shared" si="5"/>
        <v>1</v>
      </c>
    </row>
    <row r="30" spans="1:29" ht="15">
      <c r="A30" s="429"/>
      <c r="B30" s="2675">
        <v>111</v>
      </c>
      <c r="C30" s="2612"/>
      <c r="D30" s="436">
        <v>100</v>
      </c>
      <c r="E30" s="433"/>
      <c r="F30" s="436">
        <f>SUMIF(95:95,E30,96:96)-SUMIF(95:95,C30,96:96)+100</f>
        <v>100</v>
      </c>
      <c r="G30" s="2669"/>
      <c r="H30" s="436">
        <f>SUMIF(95:95,G30,96:96)-SUMIF(95:95,C30,96:96)+100</f>
        <v>100</v>
      </c>
      <c r="I30" s="433"/>
      <c r="J30" s="436">
        <f>SUMIF(95:95,I30,96:96)-SUMIF(95:95,C30,96:96)+100</f>
        <v>100</v>
      </c>
      <c r="K30" s="614"/>
      <c r="L30" s="1140"/>
      <c r="M30" s="1131"/>
      <c r="N30" s="1131"/>
      <c r="O30" s="1131"/>
      <c r="P30" s="3185"/>
      <c r="Q30" s="1811">
        <f t="shared" si="11"/>
        <v>111</v>
      </c>
      <c r="R30" s="775" t="s">
        <v>17</v>
      </c>
      <c r="S30" s="776">
        <f t="shared" si="12"/>
        <v>100</v>
      </c>
      <c r="T30" s="775" t="s">
        <v>17</v>
      </c>
      <c r="U30" s="776">
        <f t="shared" si="13"/>
        <v>100</v>
      </c>
      <c r="V30" s="775" t="s">
        <v>17</v>
      </c>
      <c r="W30" s="776">
        <f t="shared" si="14"/>
        <v>100</v>
      </c>
      <c r="X30" s="1814"/>
      <c r="Y30" s="3178"/>
      <c r="Z30" s="1815">
        <f t="shared" si="15"/>
        <v>111</v>
      </c>
      <c r="AA30" s="1812">
        <f t="shared" si="3"/>
        <v>1</v>
      </c>
      <c r="AB30" s="1812">
        <f t="shared" si="4"/>
        <v>1</v>
      </c>
      <c r="AC30" s="2671">
        <f t="shared" si="5"/>
        <v>1</v>
      </c>
    </row>
    <row r="31" spans="1:29" ht="15">
      <c r="A31" s="429"/>
      <c r="B31" s="2675">
        <v>111</v>
      </c>
      <c r="C31" s="2612"/>
      <c r="D31" s="436">
        <v>100</v>
      </c>
      <c r="E31" s="433"/>
      <c r="F31" s="436">
        <f>SUMIF(97:97,E31,98:98)-SUMIF(97:97,C31,98:98)+100</f>
        <v>100</v>
      </c>
      <c r="G31" s="2669"/>
      <c r="H31" s="436">
        <f>SUMIF(97:97,G31,98:98)-SUMIF(97:97,C31,98:98)+100</f>
        <v>100</v>
      </c>
      <c r="I31" s="433"/>
      <c r="J31" s="436">
        <f>SUMIF(97:97,I31,98:98)-SUMIF(97:97,C31,98:98)+100</f>
        <v>100</v>
      </c>
      <c r="K31" s="614"/>
      <c r="L31" s="1140"/>
      <c r="M31" s="1131"/>
      <c r="N31" s="1131"/>
      <c r="O31" s="1131"/>
      <c r="P31" s="3185"/>
      <c r="Q31" s="1811">
        <f t="shared" si="11"/>
        <v>111</v>
      </c>
      <c r="R31" s="775" t="s">
        <v>17</v>
      </c>
      <c r="S31" s="776">
        <f t="shared" si="12"/>
        <v>100</v>
      </c>
      <c r="T31" s="775" t="s">
        <v>17</v>
      </c>
      <c r="U31" s="776">
        <f t="shared" si="13"/>
        <v>100</v>
      </c>
      <c r="V31" s="775" t="s">
        <v>17</v>
      </c>
      <c r="W31" s="776">
        <f t="shared" si="14"/>
        <v>100</v>
      </c>
      <c r="X31" s="1814"/>
      <c r="Y31" s="3178"/>
      <c r="Z31" s="1815">
        <f t="shared" si="15"/>
        <v>111</v>
      </c>
      <c r="AA31" s="1812">
        <f t="shared" si="3"/>
        <v>1</v>
      </c>
      <c r="AB31" s="1812">
        <f t="shared" si="4"/>
        <v>1</v>
      </c>
      <c r="AC31" s="2671">
        <f t="shared" si="5"/>
        <v>1</v>
      </c>
    </row>
    <row r="32" spans="1:29" ht="15.75" thickBot="1">
      <c r="A32" s="437"/>
      <c r="B32" s="636">
        <v>111</v>
      </c>
      <c r="C32" s="2613"/>
      <c r="D32" s="439">
        <v>100</v>
      </c>
      <c r="E32" s="629"/>
      <c r="F32" s="439">
        <f>SUMIF(99:99,E32,100:100)-SUMIF(99:99,C32,100:100)+100</f>
        <v>100</v>
      </c>
      <c r="G32" s="2669"/>
      <c r="H32" s="439">
        <f>SUMIF(99:99,G32,100:100)-SUMIF(99:99,C32,100:100)+100</f>
        <v>100</v>
      </c>
      <c r="I32" s="433"/>
      <c r="J32" s="439">
        <f>SUMIF(99:99,I32,100:100)-SUMIF(99:99,C32,100:100)+100</f>
        <v>100</v>
      </c>
      <c r="K32" s="614"/>
      <c r="L32" s="1140"/>
      <c r="M32" s="1131"/>
      <c r="N32" s="1131"/>
      <c r="O32" s="1131"/>
      <c r="P32" s="3185"/>
      <c r="Q32" s="1811">
        <f t="shared" si="11"/>
        <v>111</v>
      </c>
      <c r="R32" s="775" t="s">
        <v>17</v>
      </c>
      <c r="S32" s="776">
        <f t="shared" si="12"/>
        <v>100</v>
      </c>
      <c r="T32" s="775" t="s">
        <v>17</v>
      </c>
      <c r="U32" s="776">
        <f t="shared" si="13"/>
        <v>100</v>
      </c>
      <c r="V32" s="775" t="s">
        <v>17</v>
      </c>
      <c r="W32" s="776">
        <f t="shared" si="14"/>
        <v>100</v>
      </c>
      <c r="X32" s="1814"/>
      <c r="Y32" s="3178"/>
      <c r="Z32" s="1815">
        <f t="shared" si="15"/>
        <v>111</v>
      </c>
      <c r="AA32" s="1812">
        <f t="shared" si="3"/>
        <v>1</v>
      </c>
      <c r="AB32" s="1812">
        <f t="shared" si="4"/>
        <v>1</v>
      </c>
      <c r="AC32" s="2671">
        <f t="shared" si="5"/>
        <v>1</v>
      </c>
    </row>
    <row r="33" spans="1:29" ht="15">
      <c r="A33" s="441" t="s">
        <v>2561</v>
      </c>
      <c r="B33" s="71" t="s">
        <v>2691</v>
      </c>
      <c r="C33" s="2676"/>
      <c r="D33" s="468">
        <v>100</v>
      </c>
      <c r="E33" s="2676"/>
      <c r="F33" s="462">
        <f>SUMIF(101:101,E33,102:102)-SUMIF(101:101,C33,102:102)+100</f>
        <v>100</v>
      </c>
      <c r="G33" s="2676"/>
      <c r="H33" s="436">
        <f>SUMIF(101:101,G33,102:102)-SUMIF(101:101,C33,102:102)+100</f>
        <v>100</v>
      </c>
      <c r="I33" s="2676"/>
      <c r="J33" s="468">
        <f>SUMIF(101:101,I33,102:102)-SUMIF(101:101,C33,102:102)+100</f>
        <v>100</v>
      </c>
      <c r="K33" s="613"/>
      <c r="L33" s="1140"/>
      <c r="M33" s="1131"/>
      <c r="N33" s="1131"/>
      <c r="O33" s="1131"/>
      <c r="P33" s="3179" t="s">
        <v>2563</v>
      </c>
      <c r="Q33" s="1811" t="str">
        <f t="shared" si="11"/>
        <v>建筑类型</v>
      </c>
      <c r="R33" s="775" t="s">
        <v>17</v>
      </c>
      <c r="S33" s="776">
        <f t="shared" si="12"/>
        <v>100</v>
      </c>
      <c r="T33" s="775" t="s">
        <v>17</v>
      </c>
      <c r="U33" s="776">
        <f t="shared" si="13"/>
        <v>100</v>
      </c>
      <c r="V33" s="775" t="s">
        <v>17</v>
      </c>
      <c r="W33" s="776">
        <f t="shared" si="14"/>
        <v>100</v>
      </c>
      <c r="X33" s="1814"/>
      <c r="Y33" s="3182" t="s">
        <v>2563</v>
      </c>
      <c r="Z33" s="1815" t="str">
        <f t="shared" si="15"/>
        <v>建筑类型</v>
      </c>
      <c r="AA33" s="1812">
        <f t="shared" si="3"/>
        <v>1</v>
      </c>
      <c r="AB33" s="1812">
        <f t="shared" si="4"/>
        <v>1</v>
      </c>
      <c r="AC33" s="2671">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180"/>
      <c r="Q34" s="777" t="str">
        <f t="shared" si="11"/>
        <v>项目建筑规模</v>
      </c>
      <c r="R34" s="778" t="s">
        <v>17</v>
      </c>
      <c r="S34" s="779" t="e">
        <f t="shared" si="12"/>
        <v>#N/A</v>
      </c>
      <c r="T34" s="778" t="s">
        <v>17</v>
      </c>
      <c r="U34" s="779" t="e">
        <f t="shared" si="13"/>
        <v>#N/A</v>
      </c>
      <c r="V34" s="778" t="s">
        <v>17</v>
      </c>
      <c r="W34" s="779" t="e">
        <f t="shared" si="14"/>
        <v>#N/A</v>
      </c>
      <c r="X34" s="780"/>
      <c r="Y34" s="3182"/>
      <c r="Z34" s="781" t="str">
        <f t="shared" si="15"/>
        <v>项目建筑规模</v>
      </c>
      <c r="AA34" s="1812" t="e">
        <f t="shared" si="3"/>
        <v>#N/A</v>
      </c>
      <c r="AB34" s="1812" t="e">
        <f t="shared" si="4"/>
        <v>#N/A</v>
      </c>
      <c r="AC34" s="2671"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180"/>
      <c r="Q35" s="1811" t="str">
        <f t="shared" si="11"/>
        <v>建筑结构</v>
      </c>
      <c r="R35" s="775" t="s">
        <v>17</v>
      </c>
      <c r="S35" s="776">
        <f t="shared" si="12"/>
        <v>100</v>
      </c>
      <c r="T35" s="775" t="s">
        <v>17</v>
      </c>
      <c r="U35" s="776">
        <f t="shared" si="13"/>
        <v>100</v>
      </c>
      <c r="V35" s="775" t="s">
        <v>17</v>
      </c>
      <c r="W35" s="776">
        <f t="shared" si="14"/>
        <v>100</v>
      </c>
      <c r="X35" s="1814"/>
      <c r="Y35" s="3182"/>
      <c r="Z35" s="1815" t="str">
        <f t="shared" si="15"/>
        <v>建筑结构</v>
      </c>
      <c r="AA35" s="1812">
        <f t="shared" si="3"/>
        <v>1</v>
      </c>
      <c r="AB35" s="1812">
        <f t="shared" si="4"/>
        <v>1</v>
      </c>
      <c r="AC35" s="2671">
        <f t="shared" si="5"/>
        <v>1</v>
      </c>
    </row>
    <row r="36" spans="1:29" ht="15">
      <c r="A36" s="473"/>
      <c r="B36" s="423" t="s">
        <v>2659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180"/>
      <c r="Q36" s="1811" t="str">
        <f t="shared" si="11"/>
        <v>公共部分装修</v>
      </c>
      <c r="R36" s="775" t="s">
        <v>17</v>
      </c>
      <c r="S36" s="776">
        <f t="shared" si="12"/>
        <v>100</v>
      </c>
      <c r="T36" s="775" t="s">
        <v>17</v>
      </c>
      <c r="U36" s="776">
        <f t="shared" si="13"/>
        <v>100</v>
      </c>
      <c r="V36" s="775" t="s">
        <v>17</v>
      </c>
      <c r="W36" s="776">
        <f t="shared" si="14"/>
        <v>100</v>
      </c>
      <c r="X36" s="1814"/>
      <c r="Y36" s="3182"/>
      <c r="Z36" s="1815" t="str">
        <f t="shared" si="15"/>
        <v>公共部分装修</v>
      </c>
      <c r="AA36" s="1812">
        <f t="shared" si="3"/>
        <v>1</v>
      </c>
      <c r="AB36" s="1812">
        <f t="shared" si="4"/>
        <v>1</v>
      </c>
      <c r="AC36" s="2671">
        <f t="shared" si="5"/>
        <v>1</v>
      </c>
    </row>
    <row r="37" spans="1:29" ht="15">
      <c r="A37" s="473"/>
      <c r="B37" s="423" t="s">
        <v>2660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180"/>
      <c r="Q37" s="1811" t="str">
        <f t="shared" si="11"/>
        <v>成新度</v>
      </c>
      <c r="R37" s="775" t="s">
        <v>17</v>
      </c>
      <c r="S37" s="776" t="e">
        <f t="shared" si="12"/>
        <v>#N/A</v>
      </c>
      <c r="T37" s="775" t="s">
        <v>17</v>
      </c>
      <c r="U37" s="776" t="e">
        <f t="shared" si="13"/>
        <v>#N/A</v>
      </c>
      <c r="V37" s="775" t="s">
        <v>17</v>
      </c>
      <c r="W37" s="776" t="e">
        <f t="shared" si="14"/>
        <v>#N/A</v>
      </c>
      <c r="X37" s="1814"/>
      <c r="Y37" s="3182"/>
      <c r="Z37" s="1815" t="str">
        <f t="shared" si="15"/>
        <v>成新度</v>
      </c>
      <c r="AA37" s="1812" t="e">
        <f t="shared" si="3"/>
        <v>#N/A</v>
      </c>
      <c r="AB37" s="1812" t="e">
        <f t="shared" si="4"/>
        <v>#N/A</v>
      </c>
      <c r="AC37" s="2671" t="e">
        <f t="shared" si="5"/>
        <v>#N/A</v>
      </c>
    </row>
    <row r="38" spans="1:29" s="117" customFormat="1" ht="15">
      <c r="A38" s="474"/>
      <c r="B38" s="423" t="s">
        <v>2692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180"/>
      <c r="Q38" s="1796" t="str">
        <f t="shared" si="11"/>
        <v>写字楼等级</v>
      </c>
      <c r="R38" s="771" t="s">
        <v>17</v>
      </c>
      <c r="S38" s="772">
        <f t="shared" si="12"/>
        <v>100</v>
      </c>
      <c r="T38" s="771" t="s">
        <v>17</v>
      </c>
      <c r="U38" s="772">
        <f t="shared" si="13"/>
        <v>100</v>
      </c>
      <c r="V38" s="771" t="s">
        <v>17</v>
      </c>
      <c r="W38" s="772">
        <f t="shared" si="14"/>
        <v>100</v>
      </c>
      <c r="X38" s="773"/>
      <c r="Y38" s="3182"/>
      <c r="Z38" s="55" t="str">
        <f t="shared" si="15"/>
        <v>写字楼等级</v>
      </c>
      <c r="AA38" s="774">
        <f t="shared" si="3"/>
        <v>1</v>
      </c>
      <c r="AB38" s="774">
        <f t="shared" si="4"/>
        <v>1</v>
      </c>
      <c r="AC38" s="2668">
        <f t="shared" si="5"/>
        <v>1</v>
      </c>
    </row>
    <row r="39" spans="1:29" ht="15">
      <c r="A39" s="473"/>
      <c r="B39" s="423" t="s">
        <v>2693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180" t="s">
        <v>2563</v>
      </c>
      <c r="Q39" s="1811" t="str">
        <f t="shared" si="11"/>
        <v>物业管理</v>
      </c>
      <c r="R39" s="775" t="s">
        <v>17</v>
      </c>
      <c r="S39" s="776">
        <f t="shared" si="12"/>
        <v>100</v>
      </c>
      <c r="T39" s="775" t="s">
        <v>17</v>
      </c>
      <c r="U39" s="776">
        <f t="shared" si="13"/>
        <v>100</v>
      </c>
      <c r="V39" s="775" t="s">
        <v>17</v>
      </c>
      <c r="W39" s="776">
        <f t="shared" si="14"/>
        <v>100</v>
      </c>
      <c r="X39" s="1814"/>
      <c r="Y39" s="3182" t="s">
        <v>2563</v>
      </c>
      <c r="Z39" s="1815" t="str">
        <f t="shared" si="15"/>
        <v>物业管理</v>
      </c>
      <c r="AA39" s="1812">
        <f t="shared" si="3"/>
        <v>1</v>
      </c>
      <c r="AB39" s="1812">
        <f t="shared" si="4"/>
        <v>1</v>
      </c>
      <c r="AC39" s="2671">
        <f t="shared" si="5"/>
        <v>1</v>
      </c>
    </row>
    <row r="40" spans="1:29" ht="15">
      <c r="A40" s="473"/>
      <c r="B40" s="423" t="s">
        <v>2661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180"/>
      <c r="Q40" s="1811" t="str">
        <f t="shared" si="11"/>
        <v>市政基础设施</v>
      </c>
      <c r="R40" s="775" t="s">
        <v>17</v>
      </c>
      <c r="S40" s="776">
        <f t="shared" si="12"/>
        <v>100</v>
      </c>
      <c r="T40" s="775" t="s">
        <v>17</v>
      </c>
      <c r="U40" s="776">
        <f t="shared" si="13"/>
        <v>100</v>
      </c>
      <c r="V40" s="775" t="s">
        <v>17</v>
      </c>
      <c r="W40" s="776">
        <f t="shared" si="14"/>
        <v>100</v>
      </c>
      <c r="X40" s="1814"/>
      <c r="Y40" s="3182"/>
      <c r="Z40" s="1815" t="str">
        <f t="shared" si="15"/>
        <v>市政基础设施</v>
      </c>
      <c r="AA40" s="1812">
        <f t="shared" si="3"/>
        <v>1</v>
      </c>
      <c r="AB40" s="1812">
        <f t="shared" si="4"/>
        <v>1</v>
      </c>
      <c r="AC40" s="2671">
        <f t="shared" si="5"/>
        <v>1</v>
      </c>
    </row>
    <row r="41" spans="1:29" ht="15">
      <c r="A41" s="473"/>
      <c r="B41" s="423" t="s">
        <v>2663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180"/>
      <c r="Q41" s="1811" t="str">
        <f t="shared" si="11"/>
        <v>层高</v>
      </c>
      <c r="R41" s="775" t="s">
        <v>17</v>
      </c>
      <c r="S41" s="776">
        <f t="shared" si="12"/>
        <v>100</v>
      </c>
      <c r="T41" s="775" t="s">
        <v>17</v>
      </c>
      <c r="U41" s="776">
        <f t="shared" si="13"/>
        <v>100</v>
      </c>
      <c r="V41" s="775" t="s">
        <v>17</v>
      </c>
      <c r="W41" s="776">
        <f t="shared" si="14"/>
        <v>100</v>
      </c>
      <c r="X41" s="1814"/>
      <c r="Y41" s="3182"/>
      <c r="Z41" s="1815" t="str">
        <f t="shared" si="15"/>
        <v>层高</v>
      </c>
      <c r="AA41" s="1812">
        <f t="shared" si="3"/>
        <v>1</v>
      </c>
      <c r="AB41" s="1812">
        <f t="shared" si="4"/>
        <v>1</v>
      </c>
      <c r="AC41" s="2671">
        <f t="shared" si="5"/>
        <v>1</v>
      </c>
    </row>
    <row r="42" spans="1:29" s="472" customFormat="1" ht="15">
      <c r="A42" s="469"/>
      <c r="B42" s="1813"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180"/>
      <c r="Q42" s="777" t="str">
        <f t="shared" si="11"/>
        <v>单套建筑面积</v>
      </c>
      <c r="R42" s="778" t="s">
        <v>17</v>
      </c>
      <c r="S42" s="779">
        <f t="shared" si="12"/>
        <v>100</v>
      </c>
      <c r="T42" s="778" t="s">
        <v>17</v>
      </c>
      <c r="U42" s="779">
        <f t="shared" si="13"/>
        <v>100</v>
      </c>
      <c r="V42" s="778" t="s">
        <v>17</v>
      </c>
      <c r="W42" s="779">
        <f t="shared" si="14"/>
        <v>100</v>
      </c>
      <c r="X42" s="780"/>
      <c r="Y42" s="3182"/>
      <c r="Z42" s="781" t="str">
        <f t="shared" si="15"/>
        <v>单套建筑面积</v>
      </c>
      <c r="AA42" s="1812">
        <f t="shared" si="3"/>
        <v>1</v>
      </c>
      <c r="AB42" s="1812">
        <f t="shared" si="4"/>
        <v>1</v>
      </c>
      <c r="AC42" s="2671">
        <f t="shared" si="5"/>
        <v>1</v>
      </c>
    </row>
    <row r="43" spans="1:29" ht="15">
      <c r="A43" s="473"/>
      <c r="B43" s="423" t="s">
        <v>2666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180"/>
      <c r="Q43" s="1811" t="str">
        <f t="shared" si="11"/>
        <v>内部装修</v>
      </c>
      <c r="R43" s="775" t="s">
        <v>17</v>
      </c>
      <c r="S43" s="776">
        <f t="shared" si="12"/>
        <v>100</v>
      </c>
      <c r="T43" s="775" t="s">
        <v>17</v>
      </c>
      <c r="U43" s="776">
        <f t="shared" si="13"/>
        <v>100</v>
      </c>
      <c r="V43" s="775" t="s">
        <v>17</v>
      </c>
      <c r="W43" s="776">
        <f t="shared" si="14"/>
        <v>100</v>
      </c>
      <c r="X43" s="1814"/>
      <c r="Y43" s="3182"/>
      <c r="Z43" s="1815" t="str">
        <f t="shared" si="15"/>
        <v>内部装修</v>
      </c>
      <c r="AA43" s="1812">
        <f t="shared" si="3"/>
        <v>1</v>
      </c>
      <c r="AB43" s="1812">
        <f t="shared" si="4"/>
        <v>1</v>
      </c>
      <c r="AC43" s="2671">
        <f t="shared" si="5"/>
        <v>1</v>
      </c>
    </row>
    <row r="44" spans="1:29" ht="15">
      <c r="A44" s="473"/>
      <c r="B44" s="423" t="s">
        <v>2574</v>
      </c>
      <c r="C44" s="461"/>
      <c r="D44" s="436">
        <v>100</v>
      </c>
      <c r="E44" s="2610"/>
      <c r="F44" s="462">
        <f>SUMIF(125:125,E44,126:126)-SUMIF(125:125,C44,126:126)+100</f>
        <v>100</v>
      </c>
      <c r="G44" s="2610"/>
      <c r="H44" s="436">
        <f>SUMIF(125:125,G44,126:126)-SUMIF(125:125,C44,126:126)+100</f>
        <v>100</v>
      </c>
      <c r="I44" s="2610"/>
      <c r="J44" s="436">
        <f>SUMIF(125:125,I44,126:126)-SUMIF(125:125,C44,126:126)+100</f>
        <v>100</v>
      </c>
      <c r="K44" s="613"/>
      <c r="L44" s="1140"/>
      <c r="M44" s="1131"/>
      <c r="N44" s="1131"/>
      <c r="O44" s="1131"/>
      <c r="P44" s="3180"/>
      <c r="Q44" s="1811" t="str">
        <f t="shared" si="11"/>
        <v>内部装修维护情况</v>
      </c>
      <c r="R44" s="775" t="s">
        <v>17</v>
      </c>
      <c r="S44" s="776">
        <f t="shared" si="12"/>
        <v>100</v>
      </c>
      <c r="T44" s="775" t="s">
        <v>17</v>
      </c>
      <c r="U44" s="776">
        <f t="shared" si="13"/>
        <v>100</v>
      </c>
      <c r="V44" s="775" t="s">
        <v>17</v>
      </c>
      <c r="W44" s="776">
        <f t="shared" si="14"/>
        <v>100</v>
      </c>
      <c r="X44" s="1814"/>
      <c r="Y44" s="3182"/>
      <c r="Z44" s="1815" t="str">
        <f t="shared" si="15"/>
        <v>内部装修维护情况</v>
      </c>
      <c r="AA44" s="1812">
        <f t="shared" si="3"/>
        <v>1</v>
      </c>
      <c r="AB44" s="1812">
        <f t="shared" si="4"/>
        <v>1</v>
      </c>
      <c r="AC44" s="2671">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180"/>
      <c r="Q45" s="1796">
        <f t="shared" si="11"/>
        <v>111</v>
      </c>
      <c r="R45" s="771" t="s">
        <v>17</v>
      </c>
      <c r="S45" s="772">
        <f t="shared" si="12"/>
        <v>100</v>
      </c>
      <c r="T45" s="771" t="s">
        <v>17</v>
      </c>
      <c r="U45" s="772">
        <f t="shared" si="13"/>
        <v>100</v>
      </c>
      <c r="V45" s="771" t="s">
        <v>17</v>
      </c>
      <c r="W45" s="772">
        <f t="shared" si="14"/>
        <v>100</v>
      </c>
      <c r="X45" s="773"/>
      <c r="Y45" s="3182"/>
      <c r="Z45" s="55">
        <f t="shared" si="15"/>
        <v>111</v>
      </c>
      <c r="AA45" s="774">
        <f t="shared" si="3"/>
        <v>1</v>
      </c>
      <c r="AB45" s="774">
        <f t="shared" si="4"/>
        <v>1</v>
      </c>
      <c r="AC45" s="2668">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180"/>
      <c r="Q46" s="1811">
        <f t="shared" si="11"/>
        <v>111</v>
      </c>
      <c r="R46" s="775" t="s">
        <v>17</v>
      </c>
      <c r="S46" s="776">
        <f t="shared" si="12"/>
        <v>100</v>
      </c>
      <c r="T46" s="775" t="s">
        <v>17</v>
      </c>
      <c r="U46" s="776">
        <f t="shared" si="13"/>
        <v>100</v>
      </c>
      <c r="V46" s="775" t="s">
        <v>17</v>
      </c>
      <c r="W46" s="776">
        <f t="shared" si="14"/>
        <v>100</v>
      </c>
      <c r="X46" s="1814"/>
      <c r="Y46" s="3182"/>
      <c r="Z46" s="1815">
        <f t="shared" si="15"/>
        <v>111</v>
      </c>
      <c r="AA46" s="1812">
        <f t="shared" si="3"/>
        <v>1</v>
      </c>
      <c r="AB46" s="1812">
        <f t="shared" si="4"/>
        <v>1</v>
      </c>
      <c r="AC46" s="2671">
        <f t="shared" si="5"/>
        <v>1</v>
      </c>
    </row>
    <row r="47" spans="1:29" ht="15.75" thickBot="1">
      <c r="A47" s="479"/>
      <c r="B47" s="259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181"/>
      <c r="Q47" s="1811">
        <f t="shared" si="11"/>
        <v>111</v>
      </c>
      <c r="R47" s="775" t="s">
        <v>17</v>
      </c>
      <c r="S47" s="776">
        <f t="shared" si="12"/>
        <v>100</v>
      </c>
      <c r="T47" s="775" t="s">
        <v>17</v>
      </c>
      <c r="U47" s="776">
        <f t="shared" si="13"/>
        <v>100</v>
      </c>
      <c r="V47" s="775" t="s">
        <v>17</v>
      </c>
      <c r="W47" s="776">
        <f t="shared" si="14"/>
        <v>100</v>
      </c>
      <c r="X47" s="1814"/>
      <c r="Y47" s="3183"/>
      <c r="Z47" s="1815">
        <f t="shared" si="15"/>
        <v>111</v>
      </c>
      <c r="AA47" s="1812">
        <f t="shared" si="3"/>
        <v>1</v>
      </c>
      <c r="AB47" s="1812">
        <f t="shared" si="4"/>
        <v>1</v>
      </c>
      <c r="AC47" s="2671">
        <f t="shared" si="5"/>
        <v>1</v>
      </c>
    </row>
    <row r="48" spans="1:29" ht="15">
      <c r="A48" s="480" t="s">
        <v>2575</v>
      </c>
      <c r="B48" s="481"/>
      <c r="C48" s="1407" t="s">
        <v>1</v>
      </c>
      <c r="D48" s="1408"/>
      <c r="E48" s="1409"/>
      <c r="F48" s="1410"/>
      <c r="G48" s="1411"/>
      <c r="H48" s="1412"/>
      <c r="I48" s="1409"/>
      <c r="J48" s="486"/>
      <c r="K48" s="784"/>
      <c r="L48" s="1143"/>
      <c r="M48" s="1131"/>
      <c r="N48" s="1131"/>
      <c r="O48" s="1131"/>
      <c r="P48" s="3186" t="str">
        <f>A48</f>
        <v>成交单价（元/平方米）</v>
      </c>
      <c r="Q48" s="3175"/>
      <c r="R48" s="3176">
        <f>E48</f>
        <v>0</v>
      </c>
      <c r="S48" s="3176"/>
      <c r="T48" s="3176">
        <f>G48</f>
        <v>0</v>
      </c>
      <c r="U48" s="3176"/>
      <c r="V48" s="3176">
        <f>I48</f>
        <v>0</v>
      </c>
      <c r="W48" s="3176"/>
      <c r="X48" s="447"/>
      <c r="Y48" s="782"/>
      <c r="Z48" s="447"/>
      <c r="AA48" s="447"/>
      <c r="AB48" s="447"/>
      <c r="AC48" s="631"/>
    </row>
    <row r="49" spans="1:29" ht="15.75" thickBot="1">
      <c r="A49" s="487" t="s">
        <v>2667</v>
      </c>
      <c r="B49" s="488"/>
      <c r="C49" s="1413" t="e">
        <f>R50</f>
        <v>#DIV/0!</v>
      </c>
      <c r="D49" s="1414"/>
      <c r="E49" s="1415" t="e">
        <f>R49</f>
        <v>#DIV/0!</v>
      </c>
      <c r="F49" s="1415"/>
      <c r="G49" s="1413" t="e">
        <f>T49</f>
        <v>#DIV/0!</v>
      </c>
      <c r="H49" s="1414"/>
      <c r="I49" s="1415" t="e">
        <f>V49</f>
        <v>#DIV/0!</v>
      </c>
      <c r="J49" s="490"/>
      <c r="K49" s="785"/>
      <c r="L49" s="1143"/>
      <c r="M49" s="1131"/>
      <c r="N49" s="1131"/>
      <c r="O49" s="1131"/>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7"/>
      <c r="Y49" s="447"/>
      <c r="Z49" s="447"/>
      <c r="AA49" s="447"/>
      <c r="AB49" s="447"/>
      <c r="AC49" s="631"/>
    </row>
    <row r="50" spans="1:29" ht="15.75" thickBot="1">
      <c r="A50" s="493" t="s">
        <v>2668</v>
      </c>
      <c r="B50" s="494"/>
      <c r="C50" s="1417" t="e">
        <f>R50</f>
        <v>#DIV/0!</v>
      </c>
      <c r="D50" s="1417"/>
      <c r="E50" s="1417"/>
      <c r="F50" s="1417"/>
      <c r="G50" s="1417"/>
      <c r="H50" s="1417"/>
      <c r="I50" s="1417"/>
      <c r="J50" s="495"/>
      <c r="K50" s="786"/>
      <c r="L50" s="1143"/>
      <c r="M50" s="1131"/>
      <c r="N50" s="1131"/>
      <c r="O50" s="1131"/>
      <c r="P50" s="3218" t="str">
        <f>A50</f>
        <v>估价对象XX用房的比较价值（楼面单价，元/平方米）</v>
      </c>
      <c r="Q50" s="3219"/>
      <c r="R50" s="3220" t="e">
        <f>IF(F1="售价",ROUND(AVERAGE(R49:V49),0),ROUND(AVERAGE(R49:V49),1))</f>
        <v>#DIV/0!</v>
      </c>
      <c r="S50" s="3220"/>
      <c r="T50" s="3220"/>
      <c r="U50" s="3220"/>
      <c r="V50" s="3220"/>
      <c r="W50" s="322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2669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2671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77"/>
    </row>
    <row r="56" spans="1:29" s="503"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4" t="s">
        <v>2672</v>
      </c>
      <c r="B58" s="760"/>
      <c r="C58" s="765"/>
      <c r="D58" s="765"/>
      <c r="E58" s="765"/>
      <c r="F58" s="766"/>
      <c r="G58" s="766"/>
      <c r="H58" s="765"/>
      <c r="I58" s="765"/>
      <c r="J58" s="765"/>
      <c r="K58" s="767"/>
      <c r="L58" s="1161"/>
      <c r="M58" s="1159"/>
      <c r="N58" s="1159"/>
      <c r="O58" s="1159"/>
      <c r="P58" s="2678"/>
      <c r="Q58" s="505"/>
    </row>
    <row r="59" spans="1:29" s="509" customFormat="1" ht="15">
      <c r="A59" s="506" t="s">
        <v>2546</v>
      </c>
      <c r="B59" s="507"/>
      <c r="C59" s="1575" t="str">
        <f>YEAR(C7)&amp;"-"&amp;MONTH(C7)</f>
        <v>2017-10</v>
      </c>
      <c r="D59" s="1576">
        <f>EDATE(C59,-1)</f>
        <v>42979</v>
      </c>
      <c r="E59" s="1576">
        <f>EDATE(D59,-1)</f>
        <v>42948</v>
      </c>
      <c r="F59" s="1576">
        <f t="shared" ref="F59:O59" si="16">EDATE(E59,-1)</f>
        <v>42917</v>
      </c>
      <c r="G59" s="1576">
        <f t="shared" si="16"/>
        <v>42887</v>
      </c>
      <c r="H59" s="1576">
        <f t="shared" si="16"/>
        <v>42856</v>
      </c>
      <c r="I59" s="1576">
        <f t="shared" si="16"/>
        <v>42826</v>
      </c>
      <c r="J59" s="1576">
        <f t="shared" si="16"/>
        <v>42795</v>
      </c>
      <c r="K59" s="1576">
        <f t="shared" si="16"/>
        <v>42767</v>
      </c>
      <c r="L59" s="1576">
        <f t="shared" si="16"/>
        <v>42736</v>
      </c>
      <c r="M59" s="1576">
        <f t="shared" si="16"/>
        <v>42705</v>
      </c>
      <c r="N59" s="1576">
        <f t="shared" si="16"/>
        <v>42675</v>
      </c>
      <c r="O59" s="1576">
        <f t="shared" si="16"/>
        <v>42644</v>
      </c>
      <c r="P59" s="1572"/>
    </row>
    <row r="60" spans="1:29" s="117" customFormat="1" ht="15">
      <c r="A60" s="510"/>
      <c r="B60" s="511"/>
      <c r="C60" s="1574">
        <v>100</v>
      </c>
      <c r="D60" s="513"/>
      <c r="E60" s="513"/>
      <c r="F60" s="513"/>
      <c r="G60" s="513"/>
      <c r="H60" s="513"/>
      <c r="I60" s="513"/>
      <c r="J60" s="513"/>
      <c r="K60" s="513"/>
      <c r="L60" s="513"/>
      <c r="M60" s="514"/>
      <c r="N60" s="513"/>
      <c r="O60" s="514"/>
      <c r="P60" s="2679"/>
    </row>
    <row r="61" spans="1:29" s="117" customFormat="1" ht="15.75" thickBot="1">
      <c r="A61" s="516" t="s">
        <v>2583</v>
      </c>
      <c r="B61" s="517"/>
      <c r="C61" s="518"/>
      <c r="D61" s="519"/>
      <c r="E61" s="519"/>
      <c r="F61" s="519"/>
      <c r="G61" s="519"/>
      <c r="H61" s="519"/>
      <c r="I61" s="519"/>
      <c r="J61" s="519"/>
      <c r="K61" s="519"/>
      <c r="L61" s="519"/>
      <c r="M61" s="520"/>
      <c r="N61" s="519"/>
      <c r="O61" s="520"/>
      <c r="P61" s="2679"/>
      <c r="Q61" s="505"/>
    </row>
    <row r="62" spans="1:29" s="117" customFormat="1" ht="15">
      <c r="A62" s="522" t="s">
        <v>2548</v>
      </c>
      <c r="B62" s="511"/>
      <c r="C62" s="523" t="s">
        <v>2650</v>
      </c>
      <c r="D62" s="524"/>
      <c r="E62" s="524"/>
      <c r="F62" s="524"/>
      <c r="G62" s="524"/>
      <c r="H62" s="524"/>
      <c r="I62" s="524"/>
      <c r="J62" s="524"/>
      <c r="K62" s="524"/>
      <c r="L62" s="525"/>
      <c r="M62" s="526"/>
      <c r="N62" s="1151"/>
      <c r="O62" s="1151"/>
      <c r="P62" s="2680"/>
      <c r="Q62" s="505"/>
    </row>
    <row r="63" spans="1:29" s="117" customFormat="1" ht="15.75" thickBot="1">
      <c r="A63" s="522"/>
      <c r="B63" s="511"/>
      <c r="C63" s="512">
        <v>100</v>
      </c>
      <c r="D63" s="513"/>
      <c r="E63" s="513"/>
      <c r="F63" s="513"/>
      <c r="G63" s="513"/>
      <c r="H63" s="513"/>
      <c r="I63" s="513"/>
      <c r="J63" s="513"/>
      <c r="K63" s="513"/>
      <c r="L63" s="513"/>
      <c r="M63" s="515"/>
      <c r="N63" s="1151"/>
      <c r="O63" s="1151"/>
      <c r="P63" s="2679"/>
      <c r="Q63" s="505"/>
    </row>
    <row r="64" spans="1:29">
      <c r="A64" s="528" t="s">
        <v>2586</v>
      </c>
      <c r="B64" s="529" t="s">
        <v>2552</v>
      </c>
      <c r="C64" s="530">
        <f>C9</f>
        <v>0</v>
      </c>
      <c r="D64" s="531"/>
      <c r="E64" s="531"/>
      <c r="F64" s="531"/>
      <c r="G64" s="531"/>
      <c r="H64" s="531"/>
      <c r="I64" s="531"/>
      <c r="J64" s="531"/>
      <c r="K64" s="532"/>
      <c r="L64" s="533"/>
      <c r="M64" s="534"/>
      <c r="N64" s="1152"/>
      <c r="O64" s="1152"/>
      <c r="P64" s="2681"/>
      <c r="Q64" s="505"/>
    </row>
    <row r="65" spans="1:17" ht="15.75" thickBot="1">
      <c r="A65" s="535"/>
      <c r="B65" s="536"/>
      <c r="C65" s="537">
        <v>100</v>
      </c>
      <c r="D65" s="537"/>
      <c r="E65" s="537"/>
      <c r="F65" s="537"/>
      <c r="G65" s="537"/>
      <c r="H65" s="537"/>
      <c r="I65" s="537"/>
      <c r="J65" s="537"/>
      <c r="K65" s="537"/>
      <c r="L65" s="537"/>
      <c r="M65" s="538"/>
      <c r="N65" s="1153"/>
      <c r="O65" s="1153"/>
      <c r="P65" s="2681"/>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2"/>
      <c r="O66" s="1152"/>
      <c r="P66" s="268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1"/>
      <c r="Q67" s="505"/>
    </row>
    <row r="68" spans="1:17" ht="15.75" thickTop="1">
      <c r="A68" s="535"/>
      <c r="B68" s="547" t="s">
        <v>2556</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1"/>
      <c r="Q68" s="505"/>
    </row>
    <row r="69" spans="1:17" ht="15">
      <c r="A69" s="535"/>
      <c r="B69" s="549"/>
      <c r="C69" s="550"/>
      <c r="D69" s="550"/>
      <c r="E69" s="550"/>
      <c r="F69" s="550"/>
      <c r="G69" s="550"/>
      <c r="H69" s="550"/>
      <c r="I69" s="550"/>
      <c r="J69" s="550"/>
      <c r="K69" s="551"/>
      <c r="L69" s="552"/>
      <c r="M69" s="553"/>
      <c r="N69" s="1152"/>
      <c r="O69" s="1152"/>
      <c r="P69" s="2681"/>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1"/>
      <c r="Q70" s="505"/>
    </row>
    <row r="71" spans="1:17" s="472" customFormat="1" ht="15.75" thickTop="1">
      <c r="A71" s="554"/>
      <c r="B71" s="539">
        <f>B12</f>
        <v>111</v>
      </c>
      <c r="C71" s="555"/>
      <c r="D71" s="555"/>
      <c r="E71" s="555"/>
      <c r="F71" s="555"/>
      <c r="G71" s="555"/>
      <c r="H71" s="556"/>
      <c r="I71" s="556"/>
      <c r="J71" s="556"/>
      <c r="K71" s="556"/>
      <c r="L71" s="557"/>
      <c r="M71" s="558"/>
      <c r="N71" s="1154"/>
      <c r="O71" s="1154"/>
      <c r="P71" s="2682"/>
      <c r="Q71" s="560"/>
    </row>
    <row r="72" spans="1:17" s="472" customFormat="1" ht="15.75" thickBot="1">
      <c r="A72" s="554"/>
      <c r="B72" s="544"/>
      <c r="C72" s="561"/>
      <c r="D72" s="537"/>
      <c r="E72" s="537"/>
      <c r="F72" s="537"/>
      <c r="G72" s="537"/>
      <c r="H72" s="537"/>
      <c r="I72" s="537"/>
      <c r="J72" s="537"/>
      <c r="K72" s="537"/>
      <c r="L72" s="537"/>
      <c r="M72" s="538"/>
      <c r="N72" s="1153"/>
      <c r="O72" s="1153"/>
      <c r="P72" s="2682"/>
      <c r="Q72" s="560"/>
    </row>
    <row r="73" spans="1:17" s="472" customFormat="1" ht="15.75" thickTop="1">
      <c r="A73" s="554"/>
      <c r="B73" s="539">
        <f>B13</f>
        <v>111</v>
      </c>
      <c r="C73" s="555"/>
      <c r="D73" s="555"/>
      <c r="E73" s="555"/>
      <c r="F73" s="555"/>
      <c r="G73" s="555"/>
      <c r="H73" s="556"/>
      <c r="I73" s="556"/>
      <c r="J73" s="556"/>
      <c r="K73" s="556"/>
      <c r="L73" s="557"/>
      <c r="M73" s="558"/>
      <c r="N73" s="1154"/>
      <c r="O73" s="1154"/>
      <c r="P73" s="2683"/>
      <c r="Q73" s="562"/>
    </row>
    <row r="74" spans="1:17" s="472" customFormat="1" ht="15.75" thickBot="1">
      <c r="A74" s="554"/>
      <c r="B74" s="544"/>
      <c r="C74" s="561"/>
      <c r="D74" s="561"/>
      <c r="E74" s="561"/>
      <c r="F74" s="561"/>
      <c r="G74" s="561"/>
      <c r="H74" s="563"/>
      <c r="I74" s="563"/>
      <c r="J74" s="563"/>
      <c r="K74" s="563"/>
      <c r="L74" s="563"/>
      <c r="M74" s="564"/>
      <c r="N74" s="1154"/>
      <c r="O74" s="1154"/>
      <c r="P74" s="2682"/>
      <c r="Q74" s="560"/>
    </row>
    <row r="75" spans="1:17" s="472" customFormat="1" ht="15.75" thickTop="1">
      <c r="A75" s="554"/>
      <c r="B75" s="547">
        <f>B14</f>
        <v>111</v>
      </c>
      <c r="C75" s="524"/>
      <c r="D75" s="524"/>
      <c r="E75" s="524"/>
      <c r="F75" s="524"/>
      <c r="G75" s="524"/>
      <c r="H75" s="565"/>
      <c r="I75" s="565"/>
      <c r="J75" s="565"/>
      <c r="K75" s="565"/>
      <c r="L75" s="566"/>
      <c r="M75" s="567"/>
      <c r="N75" s="1154"/>
      <c r="O75" s="1154"/>
      <c r="P75" s="2684"/>
      <c r="Q75" s="560"/>
    </row>
    <row r="76" spans="1:17" s="472" customFormat="1" ht="15.75" thickBot="1">
      <c r="A76" s="569"/>
      <c r="B76" s="570"/>
      <c r="C76" s="571"/>
      <c r="D76" s="571"/>
      <c r="E76" s="571"/>
      <c r="F76" s="571"/>
      <c r="G76" s="571"/>
      <c r="H76" s="572"/>
      <c r="I76" s="572"/>
      <c r="J76" s="572"/>
      <c r="K76" s="572"/>
      <c r="L76" s="572"/>
      <c r="M76" s="573"/>
      <c r="N76" s="1154"/>
      <c r="O76" s="1154"/>
      <c r="P76" s="2682"/>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2"/>
      <c r="O77" s="1152"/>
      <c r="P77" s="268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1"/>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2"/>
      <c r="O79" s="1152"/>
      <c r="P79" s="268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1"/>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2"/>
      <c r="O81" s="1152"/>
      <c r="P81" s="268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1"/>
      <c r="Q82" s="505"/>
    </row>
    <row r="83" spans="1:17" ht="15.75" thickTop="1">
      <c r="A83" s="535"/>
      <c r="B83" s="547" t="s">
        <v>2687</v>
      </c>
      <c r="C83" s="661" t="s">
        <v>2673</v>
      </c>
      <c r="D83" s="661" t="s">
        <v>2674</v>
      </c>
      <c r="E83" s="661" t="s">
        <v>2675</v>
      </c>
      <c r="F83" s="661" t="s">
        <v>2676</v>
      </c>
      <c r="G83" s="661" t="s">
        <v>2677</v>
      </c>
      <c r="H83" s="540"/>
      <c r="I83" s="540"/>
      <c r="J83" s="540"/>
      <c r="K83" s="540"/>
      <c r="L83" s="540"/>
      <c r="M83" s="1382"/>
      <c r="N83" s="1153"/>
      <c r="O83" s="1153"/>
      <c r="P83" s="2681"/>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1"/>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2"/>
      <c r="O85" s="1152"/>
      <c r="P85" s="268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1"/>
      <c r="Q86" s="505"/>
    </row>
    <row r="87" spans="1:17" s="117" customFormat="1" ht="27.75" thickTop="1">
      <c r="A87" s="580"/>
      <c r="B87" s="539" t="s">
        <v>2697</v>
      </c>
      <c r="C87" s="555"/>
      <c r="D87" s="555"/>
      <c r="E87" s="555"/>
      <c r="F87" s="555"/>
      <c r="G87" s="555"/>
      <c r="H87" s="555"/>
      <c r="I87" s="555"/>
      <c r="J87" s="555"/>
      <c r="K87" s="555"/>
      <c r="L87" s="581"/>
      <c r="M87" s="582"/>
      <c r="N87" s="1151"/>
      <c r="O87" s="1151"/>
      <c r="P87" s="2681"/>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1"/>
      <c r="Q88" s="505"/>
    </row>
    <row r="89" spans="1:17" s="117" customFormat="1" ht="15.75" thickTop="1">
      <c r="A89" s="580"/>
      <c r="B89" s="539" t="str">
        <f>B27</f>
        <v>楼层</v>
      </c>
      <c r="C89" s="555"/>
      <c r="D89" s="555"/>
      <c r="E89" s="555"/>
      <c r="F89" s="2632"/>
      <c r="G89" s="555"/>
      <c r="H89" s="555"/>
      <c r="I89" s="555"/>
      <c r="J89" s="555"/>
      <c r="K89" s="555"/>
      <c r="L89" s="555"/>
      <c r="M89" s="582"/>
      <c r="N89" s="1151"/>
      <c r="O89" s="1151"/>
      <c r="P89" s="2681"/>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1"/>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2"/>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2"/>
      <c r="Q92" s="560"/>
    </row>
    <row r="93" spans="1:17" ht="15.75" thickTop="1">
      <c r="A93" s="535"/>
      <c r="B93" s="539">
        <f>B29</f>
        <v>111</v>
      </c>
      <c r="C93" s="555"/>
      <c r="D93" s="555"/>
      <c r="E93" s="555"/>
      <c r="F93" s="555"/>
      <c r="G93" s="555"/>
      <c r="H93" s="555"/>
      <c r="I93" s="555"/>
      <c r="J93" s="555"/>
      <c r="K93" s="555"/>
      <c r="L93" s="581"/>
      <c r="M93" s="582"/>
      <c r="N93" s="1152"/>
      <c r="O93" s="1152"/>
      <c r="P93" s="2681"/>
      <c r="Q93" s="505"/>
    </row>
    <row r="94" spans="1:17" ht="15.75" thickBot="1">
      <c r="A94" s="535"/>
      <c r="B94" s="544"/>
      <c r="C94" s="561"/>
      <c r="D94" s="537"/>
      <c r="E94" s="537"/>
      <c r="F94" s="537"/>
      <c r="G94" s="537"/>
      <c r="H94" s="537"/>
      <c r="I94" s="537"/>
      <c r="J94" s="537"/>
      <c r="K94" s="537"/>
      <c r="L94" s="537"/>
      <c r="M94" s="538"/>
      <c r="N94" s="1153"/>
      <c r="O94" s="1153"/>
      <c r="P94" s="2681"/>
      <c r="Q94" s="505"/>
    </row>
    <row r="95" spans="1:17" ht="15.75" thickTop="1">
      <c r="A95" s="535"/>
      <c r="B95" s="539">
        <f>B30</f>
        <v>111</v>
      </c>
      <c r="C95" s="555"/>
      <c r="D95" s="555"/>
      <c r="E95" s="555"/>
      <c r="F95" s="555"/>
      <c r="G95" s="584"/>
      <c r="H95" s="584"/>
      <c r="I95" s="584"/>
      <c r="J95" s="584"/>
      <c r="K95" s="585"/>
      <c r="L95" s="586"/>
      <c r="M95" s="587"/>
      <c r="N95" s="1152"/>
      <c r="O95" s="1152"/>
      <c r="P95" s="2681"/>
      <c r="Q95" s="505"/>
    </row>
    <row r="96" spans="1:17" ht="15.75" thickBot="1">
      <c r="A96" s="535"/>
      <c r="B96" s="544"/>
      <c r="C96" s="561"/>
      <c r="D96" s="561"/>
      <c r="E96" s="561"/>
      <c r="F96" s="561"/>
      <c r="G96" s="537"/>
      <c r="H96" s="537"/>
      <c r="I96" s="537"/>
      <c r="J96" s="537"/>
      <c r="K96" s="537"/>
      <c r="L96" s="537"/>
      <c r="M96" s="538"/>
      <c r="N96" s="1153"/>
      <c r="O96" s="1153"/>
      <c r="P96" s="2681"/>
      <c r="Q96" s="505"/>
    </row>
    <row r="97" spans="1:17" ht="15.75" thickTop="1">
      <c r="A97" s="535"/>
      <c r="B97" s="539">
        <f>B31</f>
        <v>111</v>
      </c>
      <c r="C97" s="555"/>
      <c r="D97" s="555"/>
      <c r="E97" s="555"/>
      <c r="F97" s="555"/>
      <c r="G97" s="584"/>
      <c r="H97" s="584"/>
      <c r="I97" s="584"/>
      <c r="J97" s="584"/>
      <c r="K97" s="585"/>
      <c r="L97" s="586"/>
      <c r="M97" s="587"/>
      <c r="N97" s="1152"/>
      <c r="O97" s="1152"/>
      <c r="P97" s="2681"/>
      <c r="Q97" s="505"/>
    </row>
    <row r="98" spans="1:17" ht="15.75" thickBot="1">
      <c r="A98" s="535"/>
      <c r="B98" s="544"/>
      <c r="C98" s="561"/>
      <c r="D98" s="537"/>
      <c r="E98" s="537"/>
      <c r="F98" s="537"/>
      <c r="G98" s="537"/>
      <c r="H98" s="537"/>
      <c r="I98" s="537"/>
      <c r="J98" s="537"/>
      <c r="K98" s="537"/>
      <c r="L98" s="537"/>
      <c r="M98" s="538"/>
      <c r="N98" s="1153"/>
      <c r="O98" s="1153"/>
      <c r="P98" s="2681"/>
      <c r="Q98" s="505"/>
    </row>
    <row r="99" spans="1:17" ht="15.75" thickTop="1">
      <c r="A99" s="535"/>
      <c r="B99" s="547">
        <f>B32</f>
        <v>111</v>
      </c>
      <c r="C99" s="524"/>
      <c r="D99" s="524"/>
      <c r="E99" s="524"/>
      <c r="F99" s="524"/>
      <c r="G99" s="588"/>
      <c r="H99" s="588"/>
      <c r="I99" s="588"/>
      <c r="J99" s="588"/>
      <c r="K99" s="589"/>
      <c r="L99" s="590"/>
      <c r="M99" s="591"/>
      <c r="N99" s="1152"/>
      <c r="O99" s="1152"/>
      <c r="P99" s="2681"/>
      <c r="Q99" s="505"/>
    </row>
    <row r="100" spans="1:17" ht="15.75" thickBot="1">
      <c r="A100" s="2633"/>
      <c r="B100" s="570"/>
      <c r="C100" s="571"/>
      <c r="D100" s="571"/>
      <c r="E100" s="571"/>
      <c r="F100" s="571"/>
      <c r="G100" s="592"/>
      <c r="H100" s="592"/>
      <c r="I100" s="592"/>
      <c r="J100" s="592"/>
      <c r="K100" s="592"/>
      <c r="L100" s="592"/>
      <c r="M100" s="593"/>
      <c r="N100" s="1153"/>
      <c r="O100" s="1153"/>
      <c r="P100" s="2681"/>
      <c r="Q100" s="505"/>
    </row>
    <row r="101" spans="1:17">
      <c r="A101" s="528" t="s">
        <v>2561</v>
      </c>
      <c r="B101" s="529" t="s">
        <v>2610</v>
      </c>
      <c r="C101" s="531"/>
      <c r="D101" s="531"/>
      <c r="E101" s="531"/>
      <c r="F101" s="531"/>
      <c r="G101" s="531"/>
      <c r="H101" s="531"/>
      <c r="I101" s="531"/>
      <c r="J101" s="531"/>
      <c r="K101" s="532"/>
      <c r="L101" s="533"/>
      <c r="M101" s="534"/>
      <c r="N101" s="1152"/>
      <c r="O101" s="1152"/>
      <c r="P101" s="2681"/>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1"/>
      <c r="Q102" s="505"/>
    </row>
    <row r="103" spans="1:17" ht="15.75" thickTop="1">
      <c r="A103" s="535"/>
      <c r="B103" s="539" t="s">
        <v>2611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1"/>
      <c r="Q103" s="505"/>
    </row>
    <row r="104" spans="1:17" s="472" customFormat="1">
      <c r="A104" s="594"/>
      <c r="B104" s="595"/>
      <c r="C104" s="596"/>
      <c r="D104" s="596"/>
      <c r="E104" s="596"/>
      <c r="F104" s="596"/>
      <c r="G104" s="596"/>
      <c r="H104" s="596"/>
      <c r="I104" s="596"/>
      <c r="J104" s="597"/>
      <c r="K104" s="597"/>
      <c r="L104" s="598"/>
      <c r="M104" s="599"/>
      <c r="N104" s="1154"/>
      <c r="O104" s="1154"/>
      <c r="P104" s="2682"/>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2"/>
      <c r="Q105" s="560"/>
    </row>
    <row r="106" spans="1:17" ht="15" thickTop="1">
      <c r="A106" s="600"/>
      <c r="B106" s="539" t="s">
        <v>2612</v>
      </c>
      <c r="C106" s="555"/>
      <c r="D106" s="555"/>
      <c r="E106" s="584"/>
      <c r="F106" s="584"/>
      <c r="G106" s="584"/>
      <c r="H106" s="584"/>
      <c r="I106" s="584"/>
      <c r="J106" s="584"/>
      <c r="K106" s="585"/>
      <c r="L106" s="586"/>
      <c r="M106" s="587"/>
      <c r="N106" s="1152"/>
      <c r="O106" s="1152"/>
      <c r="P106" s="2681"/>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1"/>
      <c r="Q107" s="505"/>
    </row>
    <row r="108" spans="1:17" ht="15" thickTop="1">
      <c r="A108" s="600"/>
      <c r="B108" s="539" t="s">
        <v>2614</v>
      </c>
      <c r="C108" s="555"/>
      <c r="D108" s="555"/>
      <c r="E108" s="555"/>
      <c r="F108" s="584"/>
      <c r="G108" s="584"/>
      <c r="H108" s="584"/>
      <c r="I108" s="584"/>
      <c r="J108" s="584"/>
      <c r="K108" s="585"/>
      <c r="L108" s="586"/>
      <c r="M108" s="587"/>
      <c r="N108" s="1152"/>
      <c r="O108" s="1152"/>
      <c r="P108" s="2681"/>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1"/>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1"/>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1"/>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1"/>
      <c r="Q112" s="505"/>
    </row>
    <row r="113" spans="1:17" s="472" customFormat="1" ht="15" thickTop="1">
      <c r="A113" s="594"/>
      <c r="B113" s="539" t="s">
        <v>2698</v>
      </c>
      <c r="C113" s="555"/>
      <c r="D113" s="555"/>
      <c r="E113" s="555"/>
      <c r="F113" s="555"/>
      <c r="G113" s="555"/>
      <c r="H113" s="584"/>
      <c r="I113" s="584"/>
      <c r="J113" s="584"/>
      <c r="K113" s="585"/>
      <c r="L113" s="586"/>
      <c r="M113" s="587"/>
      <c r="N113" s="1154"/>
      <c r="O113" s="1154"/>
      <c r="P113" s="2682"/>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2"/>
      <c r="Q114" s="560"/>
    </row>
    <row r="115" spans="1:17" ht="15" thickTop="1">
      <c r="A115" s="600"/>
      <c r="B115" s="539" t="s">
        <v>2615</v>
      </c>
      <c r="C115" s="555"/>
      <c r="D115" s="555"/>
      <c r="E115" s="584"/>
      <c r="F115" s="584"/>
      <c r="G115" s="584"/>
      <c r="H115" s="584"/>
      <c r="I115" s="584"/>
      <c r="J115" s="584"/>
      <c r="K115" s="585"/>
      <c r="L115" s="586"/>
      <c r="M115" s="587"/>
      <c r="N115" s="1152"/>
      <c r="O115" s="1152"/>
      <c r="P115" s="2681"/>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1"/>
      <c r="Q116" s="505"/>
    </row>
    <row r="117" spans="1:17" ht="15" thickTop="1">
      <c r="A117" s="600"/>
      <c r="B117" s="539" t="s">
        <v>2616</v>
      </c>
      <c r="C117" s="555"/>
      <c r="D117" s="555"/>
      <c r="E117" s="555"/>
      <c r="F117" s="555"/>
      <c r="G117" s="555"/>
      <c r="H117" s="584"/>
      <c r="I117" s="584"/>
      <c r="J117" s="584"/>
      <c r="K117" s="585"/>
      <c r="L117" s="586"/>
      <c r="M117" s="587"/>
      <c r="N117" s="1152"/>
      <c r="O117" s="1152"/>
      <c r="P117" s="268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1"/>
      <c r="Q118" s="505"/>
    </row>
    <row r="119" spans="1:17" ht="15" thickTop="1">
      <c r="A119" s="600"/>
      <c r="B119" s="637" t="s">
        <v>2699</v>
      </c>
      <c r="C119" s="584"/>
      <c r="D119" s="584"/>
      <c r="E119" s="584"/>
      <c r="F119" s="584"/>
      <c r="G119" s="584"/>
      <c r="H119" s="584"/>
      <c r="I119" s="584"/>
      <c r="J119" s="584"/>
      <c r="K119" s="584"/>
      <c r="L119" s="2686"/>
      <c r="M119" s="2687"/>
      <c r="N119" s="1153"/>
      <c r="O119" s="1153"/>
      <c r="P119" s="2688"/>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1"/>
      <c r="Q120" s="505"/>
    </row>
    <row r="121" spans="1:17" s="472" customFormat="1" ht="15" thickTop="1">
      <c r="A121" s="594"/>
      <c r="B121" s="539" t="s">
        <v>2682</v>
      </c>
      <c r="C121" s="555"/>
      <c r="D121" s="555"/>
      <c r="E121" s="555"/>
      <c r="F121" s="584"/>
      <c r="G121" s="556"/>
      <c r="H121" s="556"/>
      <c r="I121" s="556"/>
      <c r="J121" s="556"/>
      <c r="K121" s="556"/>
      <c r="L121" s="557"/>
      <c r="M121" s="558"/>
      <c r="N121" s="1154"/>
      <c r="O121" s="1154"/>
      <c r="P121" s="2682"/>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2"/>
      <c r="Q122" s="560"/>
    </row>
    <row r="123" spans="1:17" ht="15" thickTop="1">
      <c r="A123" s="600"/>
      <c r="B123" s="539" t="s">
        <v>2618</v>
      </c>
      <c r="C123" s="555"/>
      <c r="D123" s="555"/>
      <c r="E123" s="555"/>
      <c r="F123" s="584"/>
      <c r="G123" s="584"/>
      <c r="H123" s="584"/>
      <c r="I123" s="584"/>
      <c r="J123" s="584"/>
      <c r="K123" s="585"/>
      <c r="L123" s="586"/>
      <c r="M123" s="587"/>
      <c r="N123" s="1152"/>
      <c r="O123" s="1152"/>
      <c r="P123" s="2681"/>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1"/>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2"/>
      <c r="O125" s="1152"/>
      <c r="P125" s="268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1"/>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2"/>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2"/>
      <c r="Q128" s="560"/>
    </row>
    <row r="129" spans="1:17" ht="15" thickTop="1">
      <c r="A129" s="600"/>
      <c r="B129" s="539">
        <f>B46</f>
        <v>111</v>
      </c>
      <c r="C129" s="555"/>
      <c r="D129" s="555"/>
      <c r="E129" s="555"/>
      <c r="F129" s="555"/>
      <c r="G129" s="584"/>
      <c r="H129" s="584"/>
      <c r="I129" s="584"/>
      <c r="J129" s="584"/>
      <c r="K129" s="585"/>
      <c r="L129" s="586"/>
      <c r="M129" s="587"/>
      <c r="N129" s="1152"/>
      <c r="O129" s="1152"/>
      <c r="P129" s="2681"/>
      <c r="Q129" s="505"/>
    </row>
    <row r="130" spans="1:17" ht="15.75" thickBot="1">
      <c r="A130" s="535"/>
      <c r="B130" s="544"/>
      <c r="C130" s="561"/>
      <c r="D130" s="561"/>
      <c r="E130" s="561"/>
      <c r="F130" s="561"/>
      <c r="G130" s="537"/>
      <c r="H130" s="537"/>
      <c r="I130" s="537"/>
      <c r="J130" s="537"/>
      <c r="K130" s="537"/>
      <c r="L130" s="537"/>
      <c r="M130" s="538"/>
      <c r="N130" s="1153"/>
      <c r="O130" s="1153"/>
      <c r="P130" s="2681"/>
      <c r="Q130" s="505"/>
    </row>
    <row r="131" spans="1:17" ht="15" thickTop="1">
      <c r="A131" s="600"/>
      <c r="B131" s="547">
        <f>B47</f>
        <v>111</v>
      </c>
      <c r="C131" s="524"/>
      <c r="D131" s="524"/>
      <c r="E131" s="524"/>
      <c r="F131" s="524"/>
      <c r="G131" s="588"/>
      <c r="H131" s="588"/>
      <c r="I131" s="588"/>
      <c r="J131" s="588"/>
      <c r="K131" s="524"/>
      <c r="L131" s="525"/>
      <c r="M131" s="591"/>
      <c r="N131" s="1152"/>
      <c r="O131" s="1152"/>
      <c r="P131" s="2681"/>
      <c r="Q131" s="505"/>
    </row>
    <row r="132" spans="1:17" ht="15.75" thickBot="1">
      <c r="A132" s="2633"/>
      <c r="B132" s="570"/>
      <c r="C132" s="571"/>
      <c r="D132" s="571"/>
      <c r="E132" s="571"/>
      <c r="F132" s="571"/>
      <c r="G132" s="592"/>
      <c r="H132" s="592"/>
      <c r="I132" s="592"/>
      <c r="J132" s="592"/>
      <c r="K132" s="592"/>
      <c r="L132" s="592"/>
      <c r="M132" s="593"/>
      <c r="N132" s="1153"/>
      <c r="O132" s="1153"/>
      <c r="P132" s="268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666" t="s">
        <v>2700</v>
      </c>
      <c r="C1" s="1621" t="s">
        <v>2528</v>
      </c>
      <c r="D1" s="1622"/>
      <c r="E1" s="1631"/>
      <c r="F1" s="2581"/>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65110.920000000006</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0" t="s">
        <v>2644</v>
      </c>
      <c r="D4" s="3191"/>
      <c r="E4" s="3192" t="s">
        <v>2645</v>
      </c>
      <c r="F4" s="3193"/>
      <c r="G4" s="3190" t="s">
        <v>2646</v>
      </c>
      <c r="H4" s="3191"/>
      <c r="I4" s="3190" t="s">
        <v>2647</v>
      </c>
      <c r="J4" s="3191"/>
      <c r="K4" s="611" t="s">
        <v>2648</v>
      </c>
      <c r="L4" s="1130"/>
      <c r="M4" s="1131"/>
      <c r="N4" s="1131"/>
      <c r="O4" s="1131"/>
      <c r="P4" s="3194" t="s">
        <v>2649</v>
      </c>
      <c r="Q4" s="3195"/>
      <c r="R4" s="3200" t="s">
        <v>2645</v>
      </c>
      <c r="S4" s="3201"/>
      <c r="T4" s="3200" t="s">
        <v>2646</v>
      </c>
      <c r="U4" s="3201"/>
      <c r="V4" s="3206" t="s">
        <v>2647</v>
      </c>
      <c r="W4" s="3206"/>
      <c r="X4" s="1814"/>
      <c r="Y4" s="3200" t="s">
        <v>2649</v>
      </c>
      <c r="Z4" s="3201"/>
      <c r="AA4" s="3187" t="s">
        <v>2645</v>
      </c>
      <c r="AB4" s="3188" t="s">
        <v>2646</v>
      </c>
      <c r="AC4" s="3187" t="s">
        <v>2647</v>
      </c>
    </row>
    <row r="5" spans="1:29" ht="15">
      <c r="A5" s="405"/>
      <c r="B5" s="406"/>
      <c r="C5" s="3209" t="s">
        <v>2540</v>
      </c>
      <c r="D5" s="3210"/>
      <c r="E5" s="3216" t="s">
        <v>2541</v>
      </c>
      <c r="F5" s="3217"/>
      <c r="G5" s="3209" t="s">
        <v>2542</v>
      </c>
      <c r="H5" s="3210"/>
      <c r="I5" s="3209" t="s">
        <v>2543</v>
      </c>
      <c r="J5" s="3210"/>
      <c r="K5" s="611"/>
      <c r="L5" s="1130"/>
      <c r="M5" s="1131"/>
      <c r="N5" s="1131"/>
      <c r="O5" s="1131"/>
      <c r="P5" s="3196"/>
      <c r="Q5" s="3197"/>
      <c r="R5" s="3202"/>
      <c r="S5" s="3203"/>
      <c r="T5" s="3202"/>
      <c r="U5" s="3203"/>
      <c r="V5" s="3206"/>
      <c r="W5" s="3206"/>
      <c r="X5" s="1814"/>
      <c r="Y5" s="3202"/>
      <c r="Z5" s="3203"/>
      <c r="AA5" s="3188"/>
      <c r="AB5" s="3188"/>
      <c r="AC5" s="3188"/>
    </row>
    <row r="6" spans="1:29" ht="15.75" thickBot="1">
      <c r="A6" s="407"/>
      <c r="B6" s="408"/>
      <c r="C6" s="3207" t="s">
        <v>2544</v>
      </c>
      <c r="D6" s="3208"/>
      <c r="E6" s="3214" t="s">
        <v>2544</v>
      </c>
      <c r="F6" s="3215"/>
      <c r="G6" s="3207" t="s">
        <v>2544</v>
      </c>
      <c r="H6" s="3208"/>
      <c r="I6" s="3207" t="s">
        <v>2544</v>
      </c>
      <c r="J6" s="3208"/>
      <c r="K6" s="611" t="s">
        <v>2545</v>
      </c>
      <c r="L6" s="1130"/>
      <c r="M6" s="1131"/>
      <c r="N6" s="1131"/>
      <c r="O6" s="1131"/>
      <c r="P6" s="3198"/>
      <c r="Q6" s="3199"/>
      <c r="R6" s="3202"/>
      <c r="S6" s="3203"/>
      <c r="T6" s="3204"/>
      <c r="U6" s="3205"/>
      <c r="V6" s="3206"/>
      <c r="W6" s="3206"/>
      <c r="X6" s="1814"/>
      <c r="Y6" s="3204"/>
      <c r="Z6" s="3205"/>
      <c r="AA6" s="3189"/>
      <c r="AB6" s="3189"/>
      <c r="AC6" s="3189"/>
    </row>
    <row r="7" spans="1:29" s="117" customFormat="1" ht="15.75" thickBot="1">
      <c r="A7" s="409" t="s">
        <v>2546</v>
      </c>
      <c r="B7" s="410"/>
      <c r="C7" s="411">
        <f>'数据-取费表'!B2</f>
        <v>43039</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11" t="s">
        <v>2547</v>
      </c>
      <c r="Q7" s="3213"/>
      <c r="R7" s="771" t="s">
        <v>17</v>
      </c>
      <c r="S7" s="772">
        <f t="shared" ref="S7:S15" si="0">F7</f>
        <v>0</v>
      </c>
      <c r="T7" s="771" t="s">
        <v>17</v>
      </c>
      <c r="U7" s="772">
        <f t="shared" ref="U7:U15" si="1">H7</f>
        <v>0</v>
      </c>
      <c r="V7" s="771" t="s">
        <v>17</v>
      </c>
      <c r="W7" s="772">
        <f t="shared" ref="W7:W15" si="2">J7</f>
        <v>0</v>
      </c>
      <c r="X7" s="773"/>
      <c r="Y7" s="3211" t="s">
        <v>2547</v>
      </c>
      <c r="Z7" s="3212"/>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11" t="s">
        <v>2550</v>
      </c>
      <c r="Q8" s="3212"/>
      <c r="R8" s="771" t="s">
        <v>17</v>
      </c>
      <c r="S8" s="772">
        <f t="shared" si="0"/>
        <v>0</v>
      </c>
      <c r="T8" s="771" t="s">
        <v>17</v>
      </c>
      <c r="U8" s="772">
        <f t="shared" si="1"/>
        <v>0</v>
      </c>
      <c r="V8" s="771" t="s">
        <v>17</v>
      </c>
      <c r="W8" s="772">
        <f t="shared" si="2"/>
        <v>0</v>
      </c>
      <c r="X8" s="773"/>
      <c r="Y8" s="3211" t="s">
        <v>2550</v>
      </c>
      <c r="Z8" s="3212"/>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175" t="s">
        <v>2553</v>
      </c>
      <c r="Q9" s="1796" t="str">
        <f t="shared" ref="Q9:Q15" si="6">B9</f>
        <v>用途</v>
      </c>
      <c r="R9" s="771" t="s">
        <v>17</v>
      </c>
      <c r="S9" s="772">
        <f t="shared" si="0"/>
        <v>100</v>
      </c>
      <c r="T9" s="771" t="s">
        <v>17</v>
      </c>
      <c r="U9" s="772">
        <f t="shared" si="1"/>
        <v>100</v>
      </c>
      <c r="V9" s="771" t="s">
        <v>17</v>
      </c>
      <c r="W9" s="772">
        <f t="shared" si="2"/>
        <v>100</v>
      </c>
      <c r="X9" s="773"/>
      <c r="Y9" s="3000"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175"/>
      <c r="Q10" s="1796" t="str">
        <f t="shared" si="6"/>
        <v>土地使用年限（年）</v>
      </c>
      <c r="R10" s="771" t="s">
        <v>17</v>
      </c>
      <c r="S10" s="772">
        <f t="shared" si="0"/>
        <v>100</v>
      </c>
      <c r="T10" s="771" t="s">
        <v>17</v>
      </c>
      <c r="U10" s="772">
        <f t="shared" si="1"/>
        <v>100</v>
      </c>
      <c r="V10" s="771" t="s">
        <v>17</v>
      </c>
      <c r="W10" s="772">
        <f t="shared" si="2"/>
        <v>100</v>
      </c>
      <c r="X10" s="773"/>
      <c r="Y10" s="3000"/>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175"/>
      <c r="Q11" s="1796" t="str">
        <f t="shared" si="6"/>
        <v>容积率</v>
      </c>
      <c r="R11" s="771" t="s">
        <v>17</v>
      </c>
      <c r="S11" s="772" t="e">
        <f t="shared" si="0"/>
        <v>#N/A</v>
      </c>
      <c r="T11" s="771" t="s">
        <v>17</v>
      </c>
      <c r="U11" s="772" t="e">
        <f t="shared" si="1"/>
        <v>#N/A</v>
      </c>
      <c r="V11" s="771" t="s">
        <v>17</v>
      </c>
      <c r="W11" s="772" t="e">
        <f t="shared" si="2"/>
        <v>#N/A</v>
      </c>
      <c r="X11" s="773"/>
      <c r="Y11" s="3000"/>
      <c r="Z11" s="55" t="str">
        <f t="shared" si="7"/>
        <v>容积率</v>
      </c>
      <c r="AA11" s="774" t="e">
        <f t="shared" si="3"/>
        <v>#N/A</v>
      </c>
      <c r="AB11" s="774" t="e">
        <f t="shared" si="4"/>
        <v>#N/A</v>
      </c>
      <c r="AC11" s="774" t="e">
        <f t="shared" si="5"/>
        <v>#N/A</v>
      </c>
    </row>
    <row r="12" spans="1:29" s="117" customFormat="1" ht="15">
      <c r="A12" s="432"/>
      <c r="B12" s="2597">
        <v>111</v>
      </c>
      <c r="C12" s="433"/>
      <c r="D12" s="434">
        <v>100</v>
      </c>
      <c r="E12" s="435"/>
      <c r="F12" s="136">
        <f>SUMIF(64:64,E12,65:65)-SUMIF(64:64,C12,65:65)+100</f>
        <v>100</v>
      </c>
      <c r="G12" s="2689"/>
      <c r="H12" s="136">
        <f>SUMIF(64:64,G12,65:65)-SUMIF(64:64,C12,65:65)+100</f>
        <v>100</v>
      </c>
      <c r="I12" s="470"/>
      <c r="J12" s="136">
        <f>SUMIF(64:64,I12,65:65)-SUMIF(64:64,C12,65:65)+100</f>
        <v>100</v>
      </c>
      <c r="K12" s="614"/>
      <c r="L12" s="1132"/>
      <c r="M12" s="1133"/>
      <c r="N12" s="1133"/>
      <c r="O12" s="1134"/>
      <c r="P12" s="3175"/>
      <c r="Q12" s="1796">
        <f t="shared" si="6"/>
        <v>111</v>
      </c>
      <c r="R12" s="771" t="s">
        <v>17</v>
      </c>
      <c r="S12" s="772">
        <f t="shared" si="0"/>
        <v>100</v>
      </c>
      <c r="T12" s="771" t="s">
        <v>17</v>
      </c>
      <c r="U12" s="772">
        <f t="shared" si="1"/>
        <v>100</v>
      </c>
      <c r="V12" s="771" t="s">
        <v>17</v>
      </c>
      <c r="W12" s="772">
        <f t="shared" si="2"/>
        <v>100</v>
      </c>
      <c r="X12" s="773"/>
      <c r="Y12" s="3000"/>
      <c r="Z12" s="55">
        <f t="shared" si="7"/>
        <v>111</v>
      </c>
      <c r="AA12" s="774">
        <f>D12/F12</f>
        <v>1</v>
      </c>
      <c r="AB12" s="774">
        <f>D12/H12</f>
        <v>1</v>
      </c>
      <c r="AC12" s="774">
        <f>D12/J12</f>
        <v>1</v>
      </c>
    </row>
    <row r="13" spans="1:29" ht="15">
      <c r="A13" s="429"/>
      <c r="B13" s="2597">
        <v>111</v>
      </c>
      <c r="C13" s="435"/>
      <c r="D13" s="436">
        <v>100</v>
      </c>
      <c r="E13" s="435"/>
      <c r="F13" s="136">
        <f>SUMIF(66:66,E13,67:67)-SUMIF(66:66,C13,67:67)+100</f>
        <v>100</v>
      </c>
      <c r="G13" s="2689"/>
      <c r="H13" s="436">
        <f>SUMIF(66:66,G13,67:67)-SUMIF(66:66,C13,67:67)+100</f>
        <v>100</v>
      </c>
      <c r="I13" s="470"/>
      <c r="J13" s="436">
        <f>SUMIF(66:66,I13,67:67)-SUMIF(66:66,C13,67:67)+100</f>
        <v>100</v>
      </c>
      <c r="K13" s="614"/>
      <c r="L13" s="1140"/>
      <c r="M13" s="1131"/>
      <c r="N13" s="1131"/>
      <c r="O13" s="1139"/>
      <c r="P13" s="3175"/>
      <c r="Q13" s="1796">
        <f t="shared" si="6"/>
        <v>111</v>
      </c>
      <c r="R13" s="771" t="s">
        <v>17</v>
      </c>
      <c r="S13" s="772">
        <f t="shared" si="0"/>
        <v>100</v>
      </c>
      <c r="T13" s="771" t="s">
        <v>17</v>
      </c>
      <c r="U13" s="772">
        <f t="shared" si="1"/>
        <v>100</v>
      </c>
      <c r="V13" s="771" t="s">
        <v>17</v>
      </c>
      <c r="W13" s="772">
        <f t="shared" si="2"/>
        <v>100</v>
      </c>
      <c r="X13" s="773"/>
      <c r="Y13" s="3000"/>
      <c r="Z13" s="55">
        <f t="shared" si="7"/>
        <v>111</v>
      </c>
      <c r="AA13" s="774">
        <f t="shared" si="3"/>
        <v>1</v>
      </c>
      <c r="AB13" s="774">
        <f t="shared" si="4"/>
        <v>1</v>
      </c>
      <c r="AC13" s="774">
        <f t="shared" si="5"/>
        <v>1</v>
      </c>
    </row>
    <row r="14" spans="1:29" ht="15.75" thickBot="1">
      <c r="A14" s="437"/>
      <c r="B14" s="2599">
        <v>111</v>
      </c>
      <c r="C14" s="438"/>
      <c r="D14" s="439">
        <v>100</v>
      </c>
      <c r="E14" s="438"/>
      <c r="F14" s="439">
        <f>SUMIF(68:68,E14,69:69)-SUMIF(68:68,C14,69:69)+100</f>
        <v>100</v>
      </c>
      <c r="G14" s="2689"/>
      <c r="H14" s="439">
        <f>SUMIF(68:68,G14,69:69)-SUMIF(68:68,C14,69:69)+100</f>
        <v>100</v>
      </c>
      <c r="I14" s="470"/>
      <c r="J14" s="439">
        <f>SUMIF(68:68,I14,69:69)-SUMIF(68:68,C14,69:69)+100</f>
        <v>100</v>
      </c>
      <c r="K14" s="614"/>
      <c r="L14" s="1140"/>
      <c r="M14" s="1131"/>
      <c r="N14" s="1131"/>
      <c r="O14" s="1139"/>
      <c r="P14" s="3175"/>
      <c r="Q14" s="1796">
        <f t="shared" si="6"/>
        <v>111</v>
      </c>
      <c r="R14" s="771" t="s">
        <v>17</v>
      </c>
      <c r="S14" s="772">
        <f t="shared" si="0"/>
        <v>100</v>
      </c>
      <c r="T14" s="771" t="s">
        <v>17</v>
      </c>
      <c r="U14" s="772">
        <f t="shared" si="1"/>
        <v>100</v>
      </c>
      <c r="V14" s="771" t="s">
        <v>17</v>
      </c>
      <c r="W14" s="772">
        <f t="shared" si="2"/>
        <v>100</v>
      </c>
      <c r="X14" s="773"/>
      <c r="Y14" s="3000"/>
      <c r="Z14" s="55">
        <f t="shared" si="7"/>
        <v>111</v>
      </c>
      <c r="AA14" s="774">
        <f t="shared" si="3"/>
        <v>1</v>
      </c>
      <c r="AB14" s="774">
        <f t="shared" si="4"/>
        <v>1</v>
      </c>
      <c r="AC14" s="774">
        <f t="shared" si="5"/>
        <v>1</v>
      </c>
    </row>
    <row r="15" spans="1:29" ht="57">
      <c r="A15" s="441" t="s">
        <v>2557</v>
      </c>
      <c r="B15" s="69" t="s">
        <v>2701</v>
      </c>
      <c r="C15" s="269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177" t="s">
        <v>2558</v>
      </c>
      <c r="Q15" s="1811" t="str">
        <f t="shared" si="6"/>
        <v>产业集聚程度</v>
      </c>
      <c r="R15" s="775" t="s">
        <v>17</v>
      </c>
      <c r="S15" s="776">
        <f t="shared" si="0"/>
        <v>100</v>
      </c>
      <c r="T15" s="775" t="s">
        <v>17</v>
      </c>
      <c r="U15" s="776">
        <f t="shared" si="1"/>
        <v>100</v>
      </c>
      <c r="V15" s="775" t="s">
        <v>17</v>
      </c>
      <c r="W15" s="776">
        <f t="shared" si="2"/>
        <v>100</v>
      </c>
      <c r="X15" s="1814"/>
      <c r="Y15" s="3177" t="s">
        <v>2558</v>
      </c>
      <c r="Z15" s="1815" t="str">
        <f t="shared" si="7"/>
        <v>产业集聚程度</v>
      </c>
      <c r="AA15" s="1812">
        <f t="shared" si="3"/>
        <v>1</v>
      </c>
      <c r="AB15" s="1812">
        <f t="shared" si="4"/>
        <v>1</v>
      </c>
      <c r="AC15" s="1812">
        <f t="shared" si="5"/>
        <v>1</v>
      </c>
    </row>
    <row r="16" spans="1:29" ht="15">
      <c r="A16" s="429"/>
      <c r="B16" s="447"/>
      <c r="C16" s="448"/>
      <c r="D16" s="449"/>
      <c r="E16" s="448"/>
      <c r="F16" s="450"/>
      <c r="G16" s="448"/>
      <c r="H16" s="451"/>
      <c r="I16" s="448"/>
      <c r="J16" s="449"/>
      <c r="K16" s="616"/>
      <c r="L16" s="1140"/>
      <c r="M16" s="1131"/>
      <c r="N16" s="1131"/>
      <c r="O16" s="1139"/>
      <c r="P16" s="3178"/>
      <c r="Q16" s="1811"/>
      <c r="R16" s="775"/>
      <c r="S16" s="776"/>
      <c r="T16" s="775"/>
      <c r="U16" s="776"/>
      <c r="V16" s="775"/>
      <c r="W16" s="776"/>
      <c r="X16" s="1814"/>
      <c r="Y16" s="3178"/>
      <c r="Z16" s="1815"/>
      <c r="AA16" s="1812">
        <v>1</v>
      </c>
      <c r="AB16" s="1812">
        <v>1</v>
      </c>
      <c r="AC16" s="1812">
        <v>1</v>
      </c>
    </row>
    <row r="17" spans="1:29" ht="85.5">
      <c r="A17" s="429"/>
      <c r="B17" s="452" t="s">
        <v>2096</v>
      </c>
      <c r="C17" s="260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178"/>
      <c r="Q17" s="1811" t="str">
        <f>B17</f>
        <v>交通便捷度</v>
      </c>
      <c r="R17" s="775" t="s">
        <v>17</v>
      </c>
      <c r="S17" s="776">
        <f>F17</f>
        <v>100</v>
      </c>
      <c r="T17" s="775" t="s">
        <v>17</v>
      </c>
      <c r="U17" s="776">
        <f>H17</f>
        <v>100</v>
      </c>
      <c r="V17" s="775" t="s">
        <v>17</v>
      </c>
      <c r="W17" s="776">
        <f>J17</f>
        <v>100</v>
      </c>
      <c r="X17" s="1814"/>
      <c r="Y17" s="3178"/>
      <c r="Z17" s="1815" t="str">
        <f>Q17</f>
        <v>交通便捷度</v>
      </c>
      <c r="AA17" s="1812">
        <f t="shared" si="3"/>
        <v>1</v>
      </c>
      <c r="AB17" s="1812">
        <f t="shared" si="4"/>
        <v>1</v>
      </c>
      <c r="AC17" s="1812">
        <f t="shared" si="5"/>
        <v>1</v>
      </c>
    </row>
    <row r="18" spans="1:29" ht="15">
      <c r="A18" s="429"/>
      <c r="B18" s="457"/>
      <c r="C18" s="2605"/>
      <c r="D18" s="451"/>
      <c r="E18" s="2607"/>
      <c r="F18" s="454"/>
      <c r="G18" s="2606"/>
      <c r="H18" s="449"/>
      <c r="I18" s="2607"/>
      <c r="J18" s="449"/>
      <c r="K18" s="616"/>
      <c r="L18" s="1140"/>
      <c r="M18" s="1131"/>
      <c r="N18" s="1131"/>
      <c r="O18" s="1139"/>
      <c r="P18" s="3178"/>
      <c r="Q18" s="1811"/>
      <c r="R18" s="775"/>
      <c r="S18" s="776"/>
      <c r="T18" s="775"/>
      <c r="U18" s="776"/>
      <c r="V18" s="775"/>
      <c r="W18" s="776"/>
      <c r="X18" s="1814"/>
      <c r="Y18" s="3178"/>
      <c r="Z18" s="1815"/>
      <c r="AA18" s="1812">
        <v>1</v>
      </c>
      <c r="AB18" s="1812">
        <v>1</v>
      </c>
      <c r="AC18" s="1812">
        <v>1</v>
      </c>
    </row>
    <row r="19" spans="1:29" ht="42.75">
      <c r="A19" s="429"/>
      <c r="B19" s="452" t="s">
        <v>2686</v>
      </c>
      <c r="C19" s="260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178"/>
      <c r="Q19" s="1811" t="str">
        <f>B19</f>
        <v>公共配套设施</v>
      </c>
      <c r="R19" s="775" t="s">
        <v>17</v>
      </c>
      <c r="S19" s="776">
        <f>F19</f>
        <v>100</v>
      </c>
      <c r="T19" s="775" t="s">
        <v>17</v>
      </c>
      <c r="U19" s="776">
        <f>H19</f>
        <v>100</v>
      </c>
      <c r="V19" s="775" t="s">
        <v>17</v>
      </c>
      <c r="W19" s="776">
        <f>J19</f>
        <v>100</v>
      </c>
      <c r="X19" s="1814"/>
      <c r="Y19" s="3178"/>
      <c r="Z19" s="1815" t="str">
        <f>Q19</f>
        <v>公共配套设施</v>
      </c>
      <c r="AA19" s="1812">
        <f t="shared" si="3"/>
        <v>1</v>
      </c>
      <c r="AB19" s="1812">
        <f t="shared" si="4"/>
        <v>1</v>
      </c>
      <c r="AC19" s="1812">
        <f t="shared" si="5"/>
        <v>1</v>
      </c>
    </row>
    <row r="20" spans="1:29" ht="15">
      <c r="A20" s="429"/>
      <c r="B20" s="457"/>
      <c r="C20" s="448"/>
      <c r="D20" s="449"/>
      <c r="E20" s="2602"/>
      <c r="F20" s="450"/>
      <c r="G20" s="2601"/>
      <c r="H20" s="449"/>
      <c r="I20" s="2602"/>
      <c r="J20" s="449"/>
      <c r="K20" s="616"/>
      <c r="L20" s="1140"/>
      <c r="M20" s="1131"/>
      <c r="N20" s="1131"/>
      <c r="O20" s="1139"/>
      <c r="P20" s="3178"/>
      <c r="Q20" s="1811"/>
      <c r="R20" s="775"/>
      <c r="S20" s="776"/>
      <c r="T20" s="775"/>
      <c r="U20" s="776"/>
      <c r="V20" s="775"/>
      <c r="W20" s="776"/>
      <c r="X20" s="1814"/>
      <c r="Y20" s="3178"/>
      <c r="Z20" s="1815"/>
      <c r="AA20" s="1812">
        <v>1</v>
      </c>
      <c r="AB20" s="1812">
        <v>1</v>
      </c>
      <c r="AC20" s="1812">
        <v>1</v>
      </c>
    </row>
    <row r="21" spans="1:29" ht="28.5">
      <c r="A21" s="429"/>
      <c r="B21" s="1384" t="s">
        <v>2687</v>
      </c>
      <c r="C21" s="260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178"/>
      <c r="Q21" s="1811" t="str">
        <f>B21</f>
        <v>基础设施水平</v>
      </c>
      <c r="R21" s="775" t="s">
        <v>17</v>
      </c>
      <c r="S21" s="776">
        <f>F21</f>
        <v>100</v>
      </c>
      <c r="T21" s="775" t="s">
        <v>17</v>
      </c>
      <c r="U21" s="776">
        <f>H21</f>
        <v>100</v>
      </c>
      <c r="V21" s="775" t="s">
        <v>17</v>
      </c>
      <c r="W21" s="776">
        <f>J21</f>
        <v>100</v>
      </c>
      <c r="X21" s="1814"/>
      <c r="Y21" s="3178"/>
      <c r="Z21" s="1815" t="str">
        <f>Q21</f>
        <v>基础设施水平</v>
      </c>
      <c r="AA21" s="1812">
        <f t="shared" ref="AA21" si="8">D21/F21</f>
        <v>1</v>
      </c>
      <c r="AB21" s="1812">
        <f t="shared" ref="AB21" si="9">D21/H21</f>
        <v>1</v>
      </c>
      <c r="AC21" s="1812">
        <f t="shared" ref="AC21" si="10">D21/J21</f>
        <v>1</v>
      </c>
    </row>
    <row r="22" spans="1:29" ht="15">
      <c r="A22" s="429"/>
      <c r="B22" s="1384"/>
      <c r="C22" s="2605"/>
      <c r="D22" s="449"/>
      <c r="E22" s="448"/>
      <c r="F22" s="450"/>
      <c r="G22" s="448"/>
      <c r="H22" s="449"/>
      <c r="I22" s="448"/>
      <c r="J22" s="449"/>
      <c r="K22" s="1383"/>
      <c r="L22" s="1140"/>
      <c r="M22" s="1131"/>
      <c r="N22" s="1131"/>
      <c r="O22" s="1139"/>
      <c r="P22" s="3178"/>
      <c r="Q22" s="1811"/>
      <c r="R22" s="775"/>
      <c r="S22" s="776"/>
      <c r="T22" s="775"/>
      <c r="U22" s="776"/>
      <c r="V22" s="775"/>
      <c r="W22" s="776"/>
      <c r="X22" s="1814"/>
      <c r="Y22" s="3178"/>
      <c r="Z22" s="1815"/>
      <c r="AA22" s="1812">
        <v>1</v>
      </c>
      <c r="AB22" s="1812">
        <v>1</v>
      </c>
      <c r="AC22" s="1812">
        <v>1</v>
      </c>
    </row>
    <row r="23" spans="1:29" ht="71.25">
      <c r="A23" s="429"/>
      <c r="B23" s="452" t="s">
        <v>2688</v>
      </c>
      <c r="C23" s="260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178"/>
      <c r="Q23" s="1811" t="str">
        <f>B23</f>
        <v>环境质量</v>
      </c>
      <c r="R23" s="775" t="s">
        <v>17</v>
      </c>
      <c r="S23" s="776">
        <f>F23</f>
        <v>100</v>
      </c>
      <c r="T23" s="775" t="s">
        <v>17</v>
      </c>
      <c r="U23" s="776">
        <f>H23</f>
        <v>100</v>
      </c>
      <c r="V23" s="775" t="s">
        <v>17</v>
      </c>
      <c r="W23" s="776">
        <f>J23</f>
        <v>100</v>
      </c>
      <c r="X23" s="1814"/>
      <c r="Y23" s="3178"/>
      <c r="Z23" s="1815" t="str">
        <f>Q23</f>
        <v>环境质量</v>
      </c>
      <c r="AA23" s="1812">
        <f t="shared" si="3"/>
        <v>1</v>
      </c>
      <c r="AB23" s="1812">
        <f t="shared" si="4"/>
        <v>1</v>
      </c>
      <c r="AC23" s="1812">
        <f t="shared" si="5"/>
        <v>1</v>
      </c>
    </row>
    <row r="24" spans="1:29" ht="15">
      <c r="A24" s="429"/>
      <c r="B24" s="1384"/>
      <c r="C24" s="448"/>
      <c r="D24" s="449"/>
      <c r="E24" s="2602"/>
      <c r="F24" s="450"/>
      <c r="G24" s="2601"/>
      <c r="H24" s="449"/>
      <c r="I24" s="2602"/>
      <c r="J24" s="449"/>
      <c r="K24" s="616"/>
      <c r="L24" s="1140"/>
      <c r="M24" s="1131"/>
      <c r="N24" s="1131"/>
      <c r="O24" s="1139"/>
      <c r="P24" s="3178"/>
      <c r="Q24" s="1811"/>
      <c r="R24" s="775"/>
      <c r="S24" s="776"/>
      <c r="T24" s="775"/>
      <c r="U24" s="776"/>
      <c r="V24" s="775"/>
      <c r="W24" s="776"/>
      <c r="X24" s="1814"/>
      <c r="Y24" s="3178"/>
      <c r="Z24" s="1815"/>
      <c r="AA24" s="1812">
        <v>1</v>
      </c>
      <c r="AB24" s="1812">
        <v>1</v>
      </c>
      <c r="AC24" s="1812">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178"/>
      <c r="Q25" s="1811">
        <f>B25</f>
        <v>111</v>
      </c>
      <c r="R25" s="775" t="s">
        <v>17</v>
      </c>
      <c r="S25" s="776">
        <f>F25</f>
        <v>100</v>
      </c>
      <c r="T25" s="775" t="s">
        <v>17</v>
      </c>
      <c r="U25" s="776">
        <f>H25</f>
        <v>100</v>
      </c>
      <c r="V25" s="775" t="s">
        <v>17</v>
      </c>
      <c r="W25" s="776">
        <f>J25</f>
        <v>100</v>
      </c>
      <c r="X25" s="1814"/>
      <c r="Y25" s="3178"/>
      <c r="Z25" s="1815">
        <f>Q25</f>
        <v>111</v>
      </c>
      <c r="AA25" s="1812">
        <f t="shared" si="3"/>
        <v>1</v>
      </c>
      <c r="AB25" s="1812">
        <f t="shared" si="4"/>
        <v>1</v>
      </c>
      <c r="AC25" s="1812">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178"/>
      <c r="Q26" s="1811">
        <f t="shared" ref="Q26:Q40" si="11">B26</f>
        <v>111</v>
      </c>
      <c r="R26" s="775" t="s">
        <v>17</v>
      </c>
      <c r="S26" s="776">
        <f>F26</f>
        <v>100</v>
      </c>
      <c r="T26" s="775" t="s">
        <v>17</v>
      </c>
      <c r="U26" s="776">
        <f>H26</f>
        <v>100</v>
      </c>
      <c r="V26" s="775" t="s">
        <v>17</v>
      </c>
      <c r="W26" s="776">
        <f>J26</f>
        <v>100</v>
      </c>
      <c r="X26" s="1814"/>
      <c r="Y26" s="3178"/>
      <c r="Z26" s="1815">
        <f>Q26</f>
        <v>111</v>
      </c>
      <c r="AA26" s="1812">
        <f t="shared" si="3"/>
        <v>1</v>
      </c>
      <c r="AB26" s="1812">
        <f t="shared" si="4"/>
        <v>1</v>
      </c>
      <c r="AC26" s="1812">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178"/>
      <c r="Q27" s="1796">
        <f t="shared" si="11"/>
        <v>111</v>
      </c>
      <c r="R27" s="771" t="s">
        <v>17</v>
      </c>
      <c r="S27" s="772">
        <f>F27</f>
        <v>100</v>
      </c>
      <c r="T27" s="771" t="s">
        <v>17</v>
      </c>
      <c r="U27" s="772">
        <f>H27</f>
        <v>100</v>
      </c>
      <c r="V27" s="771" t="s">
        <v>17</v>
      </c>
      <c r="W27" s="772">
        <f>J27</f>
        <v>100</v>
      </c>
      <c r="X27" s="773"/>
      <c r="Y27" s="3178"/>
      <c r="Z27" s="55">
        <f>Q27</f>
        <v>111</v>
      </c>
      <c r="AA27" s="1812">
        <f>D27/F27</f>
        <v>1</v>
      </c>
      <c r="AB27" s="1812">
        <f>D27/H27</f>
        <v>1</v>
      </c>
      <c r="AC27" s="1812">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178"/>
      <c r="Q28" s="1811">
        <f t="shared" si="11"/>
        <v>111</v>
      </c>
      <c r="R28" s="775" t="s">
        <v>17</v>
      </c>
      <c r="S28" s="776">
        <f t="shared" ref="S28:S40" si="12">F28</f>
        <v>100</v>
      </c>
      <c r="T28" s="775" t="s">
        <v>17</v>
      </c>
      <c r="U28" s="776">
        <f t="shared" ref="U28:U40" si="13">H28</f>
        <v>100</v>
      </c>
      <c r="V28" s="775" t="s">
        <v>17</v>
      </c>
      <c r="W28" s="776">
        <f t="shared" ref="W28:W40" si="14">J28</f>
        <v>100</v>
      </c>
      <c r="X28" s="1814"/>
      <c r="Y28" s="3178"/>
      <c r="Z28" s="1815">
        <f t="shared" ref="Z28:Z40" si="15">Q28</f>
        <v>111</v>
      </c>
      <c r="AA28" s="1812">
        <f t="shared" si="3"/>
        <v>1</v>
      </c>
      <c r="AB28" s="1812">
        <f t="shared" si="4"/>
        <v>1</v>
      </c>
      <c r="AC28" s="1812">
        <f t="shared" si="5"/>
        <v>1</v>
      </c>
    </row>
    <row r="29" spans="1:29" ht="15">
      <c r="A29" s="467" t="s">
        <v>2561</v>
      </c>
      <c r="B29" s="71" t="s">
        <v>2691</v>
      </c>
      <c r="C29" s="2676"/>
      <c r="D29" s="468">
        <v>100</v>
      </c>
      <c r="E29" s="2676"/>
      <c r="F29" s="462">
        <f>SUMIF(88:88,E29,89:89)-SUMIF(88:88,C29,89:89)+100</f>
        <v>100</v>
      </c>
      <c r="G29" s="2676"/>
      <c r="H29" s="436">
        <f>SUMIF(88:88,G29,89:89)-SUMIF(88:88,C29,89:89)+100</f>
        <v>100</v>
      </c>
      <c r="I29" s="2676"/>
      <c r="J29" s="468">
        <f>SUMIF(88:88,I29,89:89)-SUMIF(88:88,C29,89:89)+100</f>
        <v>100</v>
      </c>
      <c r="K29" s="613"/>
      <c r="L29" s="1140"/>
      <c r="M29" s="1131"/>
      <c r="N29" s="1131"/>
      <c r="O29" s="1139"/>
      <c r="P29" s="3233" t="s">
        <v>2563</v>
      </c>
      <c r="Q29" s="1811" t="str">
        <f t="shared" si="11"/>
        <v>建筑类型</v>
      </c>
      <c r="R29" s="775" t="s">
        <v>17</v>
      </c>
      <c r="S29" s="776">
        <f t="shared" si="12"/>
        <v>100</v>
      </c>
      <c r="T29" s="775" t="s">
        <v>17</v>
      </c>
      <c r="U29" s="776">
        <f t="shared" si="13"/>
        <v>100</v>
      </c>
      <c r="V29" s="775" t="s">
        <v>17</v>
      </c>
      <c r="W29" s="776">
        <f t="shared" si="14"/>
        <v>100</v>
      </c>
      <c r="X29" s="1814"/>
      <c r="Y29" s="3182" t="s">
        <v>2563</v>
      </c>
      <c r="Z29" s="1815" t="str">
        <f t="shared" si="15"/>
        <v>建筑类型</v>
      </c>
      <c r="AA29" s="1812">
        <f t="shared" si="3"/>
        <v>1</v>
      </c>
      <c r="AB29" s="1812">
        <f t="shared" si="4"/>
        <v>1</v>
      </c>
      <c r="AC29" s="1812">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182"/>
      <c r="Q30" s="777" t="str">
        <f t="shared" si="11"/>
        <v>项目建筑规模</v>
      </c>
      <c r="R30" s="778" t="s">
        <v>17</v>
      </c>
      <c r="S30" s="779" t="e">
        <f t="shared" si="12"/>
        <v>#N/A</v>
      </c>
      <c r="T30" s="778" t="s">
        <v>17</v>
      </c>
      <c r="U30" s="779" t="e">
        <f t="shared" si="13"/>
        <v>#N/A</v>
      </c>
      <c r="V30" s="778" t="s">
        <v>17</v>
      </c>
      <c r="W30" s="779" t="e">
        <f t="shared" si="14"/>
        <v>#N/A</v>
      </c>
      <c r="X30" s="780"/>
      <c r="Y30" s="3182"/>
      <c r="Z30" s="781" t="str">
        <f t="shared" si="15"/>
        <v>项目建筑规模</v>
      </c>
      <c r="AA30" s="1812" t="e">
        <f t="shared" si="3"/>
        <v>#N/A</v>
      </c>
      <c r="AB30" s="1812" t="e">
        <f t="shared" si="4"/>
        <v>#N/A</v>
      </c>
      <c r="AC30" s="1812"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182"/>
      <c r="Q31" s="1811" t="str">
        <f t="shared" si="11"/>
        <v>建筑结构</v>
      </c>
      <c r="R31" s="775" t="s">
        <v>17</v>
      </c>
      <c r="S31" s="776">
        <f t="shared" si="12"/>
        <v>100</v>
      </c>
      <c r="T31" s="775" t="s">
        <v>17</v>
      </c>
      <c r="U31" s="776">
        <f t="shared" si="13"/>
        <v>100</v>
      </c>
      <c r="V31" s="775" t="s">
        <v>17</v>
      </c>
      <c r="W31" s="776">
        <f t="shared" si="14"/>
        <v>100</v>
      </c>
      <c r="X31" s="1814"/>
      <c r="Y31" s="3182"/>
      <c r="Z31" s="1815" t="str">
        <f t="shared" si="15"/>
        <v>建筑结构</v>
      </c>
      <c r="AA31" s="1812">
        <f t="shared" si="3"/>
        <v>1</v>
      </c>
      <c r="AB31" s="1812">
        <f t="shared" si="4"/>
        <v>1</v>
      </c>
      <c r="AC31" s="1812">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182"/>
      <c r="Q32" s="1811" t="str">
        <f t="shared" si="11"/>
        <v>公共部分装修</v>
      </c>
      <c r="R32" s="775" t="s">
        <v>17</v>
      </c>
      <c r="S32" s="776">
        <f t="shared" si="12"/>
        <v>100</v>
      </c>
      <c r="T32" s="775" t="s">
        <v>17</v>
      </c>
      <c r="U32" s="776">
        <f t="shared" si="13"/>
        <v>100</v>
      </c>
      <c r="V32" s="775" t="s">
        <v>17</v>
      </c>
      <c r="W32" s="776">
        <f t="shared" si="14"/>
        <v>100</v>
      </c>
      <c r="X32" s="1814"/>
      <c r="Y32" s="3182"/>
      <c r="Z32" s="1815" t="str">
        <f t="shared" si="15"/>
        <v>公共部分装修</v>
      </c>
      <c r="AA32" s="1812">
        <f t="shared" si="3"/>
        <v>1</v>
      </c>
      <c r="AB32" s="1812">
        <f t="shared" si="4"/>
        <v>1</v>
      </c>
      <c r="AC32" s="1812">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182"/>
      <c r="Q33" s="1811" t="str">
        <f t="shared" si="11"/>
        <v>成新度</v>
      </c>
      <c r="R33" s="775" t="s">
        <v>17</v>
      </c>
      <c r="S33" s="776" t="e">
        <f t="shared" si="12"/>
        <v>#N/A</v>
      </c>
      <c r="T33" s="775" t="s">
        <v>17</v>
      </c>
      <c r="U33" s="776" t="e">
        <f t="shared" si="13"/>
        <v>#N/A</v>
      </c>
      <c r="V33" s="775" t="s">
        <v>17</v>
      </c>
      <c r="W33" s="776" t="e">
        <f t="shared" si="14"/>
        <v>#N/A</v>
      </c>
      <c r="X33" s="1814"/>
      <c r="Y33" s="3182"/>
      <c r="Z33" s="1815" t="str">
        <f t="shared" si="15"/>
        <v>成新度</v>
      </c>
      <c r="AA33" s="1812" t="e">
        <f t="shared" si="3"/>
        <v>#N/A</v>
      </c>
      <c r="AB33" s="1812" t="e">
        <f t="shared" si="4"/>
        <v>#N/A</v>
      </c>
      <c r="AC33" s="1812"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182"/>
      <c r="Q34" s="1796" t="str">
        <f t="shared" si="11"/>
        <v>物业管理</v>
      </c>
      <c r="R34" s="771" t="s">
        <v>17</v>
      </c>
      <c r="S34" s="772">
        <f t="shared" si="12"/>
        <v>100</v>
      </c>
      <c r="T34" s="771" t="s">
        <v>17</v>
      </c>
      <c r="U34" s="772">
        <f t="shared" si="13"/>
        <v>100</v>
      </c>
      <c r="V34" s="771" t="s">
        <v>17</v>
      </c>
      <c r="W34" s="772">
        <f t="shared" si="14"/>
        <v>100</v>
      </c>
      <c r="X34" s="773"/>
      <c r="Y34" s="3182"/>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182" t="s">
        <v>2563</v>
      </c>
      <c r="Q35" s="1811" t="str">
        <f t="shared" si="11"/>
        <v>市政基础设施</v>
      </c>
      <c r="R35" s="775" t="s">
        <v>17</v>
      </c>
      <c r="S35" s="776">
        <f t="shared" si="12"/>
        <v>100</v>
      </c>
      <c r="T35" s="775" t="s">
        <v>17</v>
      </c>
      <c r="U35" s="776">
        <f t="shared" si="13"/>
        <v>100</v>
      </c>
      <c r="V35" s="775" t="s">
        <v>17</v>
      </c>
      <c r="W35" s="776">
        <f t="shared" si="14"/>
        <v>100</v>
      </c>
      <c r="X35" s="1814"/>
      <c r="Y35" s="3182" t="s">
        <v>2563</v>
      </c>
      <c r="Z35" s="1815" t="str">
        <f t="shared" si="15"/>
        <v>市政基础设施</v>
      </c>
      <c r="AA35" s="1812">
        <f t="shared" si="3"/>
        <v>1</v>
      </c>
      <c r="AB35" s="1812">
        <f t="shared" si="4"/>
        <v>1</v>
      </c>
      <c r="AC35" s="1812">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182"/>
      <c r="Q36" s="1811" t="str">
        <f t="shared" si="11"/>
        <v>内部装修</v>
      </c>
      <c r="R36" s="775" t="s">
        <v>17</v>
      </c>
      <c r="S36" s="776">
        <f t="shared" si="12"/>
        <v>100</v>
      </c>
      <c r="T36" s="775" t="s">
        <v>17</v>
      </c>
      <c r="U36" s="776">
        <f t="shared" si="13"/>
        <v>100</v>
      </c>
      <c r="V36" s="775" t="s">
        <v>17</v>
      </c>
      <c r="W36" s="776">
        <f t="shared" si="14"/>
        <v>100</v>
      </c>
      <c r="X36" s="1814"/>
      <c r="Y36" s="3182"/>
      <c r="Z36" s="1815" t="str">
        <f t="shared" si="15"/>
        <v>内部装修</v>
      </c>
      <c r="AA36" s="1812">
        <f t="shared" si="3"/>
        <v>1</v>
      </c>
      <c r="AB36" s="1812">
        <f t="shared" si="4"/>
        <v>1</v>
      </c>
      <c r="AC36" s="1812">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182"/>
      <c r="Q37" s="1811" t="str">
        <f t="shared" si="11"/>
        <v>内部装修状况</v>
      </c>
      <c r="R37" s="775" t="s">
        <v>17</v>
      </c>
      <c r="S37" s="776">
        <f t="shared" si="12"/>
        <v>100</v>
      </c>
      <c r="T37" s="775" t="s">
        <v>17</v>
      </c>
      <c r="U37" s="776">
        <f t="shared" si="13"/>
        <v>100</v>
      </c>
      <c r="V37" s="775" t="s">
        <v>17</v>
      </c>
      <c r="W37" s="776">
        <f t="shared" si="14"/>
        <v>100</v>
      </c>
      <c r="X37" s="1814"/>
      <c r="Y37" s="3182"/>
      <c r="Z37" s="1815" t="str">
        <f t="shared" si="15"/>
        <v>内部装修状况</v>
      </c>
      <c r="AA37" s="1812">
        <f t="shared" si="3"/>
        <v>1</v>
      </c>
      <c r="AB37" s="1812">
        <f t="shared" si="4"/>
        <v>1</v>
      </c>
      <c r="AC37" s="1812">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182"/>
      <c r="Q38" s="777">
        <f t="shared" si="11"/>
        <v>111</v>
      </c>
      <c r="R38" s="778" t="s">
        <v>17</v>
      </c>
      <c r="S38" s="779">
        <f t="shared" si="12"/>
        <v>100</v>
      </c>
      <c r="T38" s="778" t="s">
        <v>17</v>
      </c>
      <c r="U38" s="779">
        <f t="shared" si="13"/>
        <v>100</v>
      </c>
      <c r="V38" s="778" t="s">
        <v>17</v>
      </c>
      <c r="W38" s="779">
        <f t="shared" si="14"/>
        <v>100</v>
      </c>
      <c r="X38" s="780"/>
      <c r="Y38" s="3182"/>
      <c r="Z38" s="781">
        <f t="shared" si="15"/>
        <v>111</v>
      </c>
      <c r="AA38" s="1812">
        <f t="shared" si="3"/>
        <v>1</v>
      </c>
      <c r="AB38" s="1812">
        <f t="shared" si="4"/>
        <v>1</v>
      </c>
      <c r="AC38" s="1812">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182"/>
      <c r="Q39" s="1811">
        <f t="shared" si="11"/>
        <v>111</v>
      </c>
      <c r="R39" s="775" t="s">
        <v>17</v>
      </c>
      <c r="S39" s="776">
        <f t="shared" si="12"/>
        <v>100</v>
      </c>
      <c r="T39" s="775" t="s">
        <v>17</v>
      </c>
      <c r="U39" s="776">
        <f t="shared" si="13"/>
        <v>100</v>
      </c>
      <c r="V39" s="775" t="s">
        <v>17</v>
      </c>
      <c r="W39" s="776">
        <f t="shared" si="14"/>
        <v>100</v>
      </c>
      <c r="X39" s="1814"/>
      <c r="Y39" s="3182"/>
      <c r="Z39" s="1815">
        <f t="shared" si="15"/>
        <v>111</v>
      </c>
      <c r="AA39" s="1812">
        <f t="shared" si="3"/>
        <v>1</v>
      </c>
      <c r="AB39" s="1812">
        <f t="shared" si="4"/>
        <v>1</v>
      </c>
      <c r="AC39" s="1812">
        <f t="shared" si="5"/>
        <v>1</v>
      </c>
    </row>
    <row r="40" spans="1:29" ht="15.75" thickBot="1">
      <c r="A40" s="479"/>
      <c r="B40" s="259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183"/>
      <c r="Q40" s="1811">
        <f t="shared" si="11"/>
        <v>111</v>
      </c>
      <c r="R40" s="775" t="s">
        <v>17</v>
      </c>
      <c r="S40" s="776">
        <f t="shared" si="12"/>
        <v>100</v>
      </c>
      <c r="T40" s="775" t="s">
        <v>17</v>
      </c>
      <c r="U40" s="776">
        <f t="shared" si="13"/>
        <v>100</v>
      </c>
      <c r="V40" s="775" t="s">
        <v>17</v>
      </c>
      <c r="W40" s="776">
        <f t="shared" si="14"/>
        <v>100</v>
      </c>
      <c r="X40" s="1814"/>
      <c r="Y40" s="3183"/>
      <c r="Z40" s="1815">
        <f t="shared" si="15"/>
        <v>111</v>
      </c>
      <c r="AA40" s="1812">
        <f t="shared" si="3"/>
        <v>1</v>
      </c>
      <c r="AB40" s="1812">
        <f t="shared" si="4"/>
        <v>1</v>
      </c>
      <c r="AC40" s="1812">
        <f t="shared" si="5"/>
        <v>1</v>
      </c>
    </row>
    <row r="41" spans="1:29" ht="15">
      <c r="A41" s="480" t="s">
        <v>2575</v>
      </c>
      <c r="B41" s="481"/>
      <c r="C41" s="1407" t="s">
        <v>1</v>
      </c>
      <c r="D41" s="1408"/>
      <c r="E41" s="1409"/>
      <c r="F41" s="1410"/>
      <c r="G41" s="1411"/>
      <c r="H41" s="1412"/>
      <c r="I41" s="1409"/>
      <c r="J41" s="1412"/>
      <c r="K41" s="784"/>
      <c r="L41" s="1143"/>
      <c r="M41" s="1144"/>
      <c r="N41" s="1131"/>
      <c r="O41" s="1144"/>
      <c r="P41" s="3175" t="str">
        <f>A41</f>
        <v>成交单价（元/平方米）</v>
      </c>
      <c r="Q41" s="3175"/>
      <c r="R41" s="3176">
        <f>E41</f>
        <v>0</v>
      </c>
      <c r="S41" s="3176"/>
      <c r="T41" s="3176">
        <f>G41</f>
        <v>0</v>
      </c>
      <c r="U41" s="3176"/>
      <c r="V41" s="3176">
        <f>I41</f>
        <v>0</v>
      </c>
      <c r="W41" s="3176"/>
      <c r="X41" s="760"/>
      <c r="Y41" s="782"/>
      <c r="Z41" s="760"/>
      <c r="AA41" s="760"/>
      <c r="AB41" s="760"/>
      <c r="AC41" s="760"/>
    </row>
    <row r="42" spans="1:29" ht="15.75" thickBot="1">
      <c r="A42" s="487" t="s">
        <v>2667</v>
      </c>
      <c r="B42" s="488"/>
      <c r="C42" s="1413" t="e">
        <f>R43</f>
        <v>#DIV/0!</v>
      </c>
      <c r="D42" s="1414"/>
      <c r="E42" s="1415" t="e">
        <f>R42</f>
        <v>#DIV/0!</v>
      </c>
      <c r="F42" s="1415"/>
      <c r="G42" s="1413" t="e">
        <f>T42</f>
        <v>#DIV/0!</v>
      </c>
      <c r="H42" s="1414"/>
      <c r="I42" s="1415" t="e">
        <f>V42</f>
        <v>#DIV/0!</v>
      </c>
      <c r="J42" s="1414"/>
      <c r="K42" s="785"/>
      <c r="L42" s="1143"/>
      <c r="M42" s="1144"/>
      <c r="N42" s="1131"/>
      <c r="O42" s="1144"/>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60"/>
      <c r="Y42" s="760"/>
      <c r="Z42" s="760"/>
      <c r="AA42" s="760"/>
      <c r="AB42" s="760"/>
      <c r="AC42" s="760"/>
    </row>
    <row r="43" spans="1:29" ht="15.75" thickBot="1">
      <c r="A43" s="493" t="s">
        <v>2668</v>
      </c>
      <c r="B43" s="494"/>
      <c r="C43" s="1417" t="e">
        <f>R43</f>
        <v>#DIV/0!</v>
      </c>
      <c r="D43" s="1417"/>
      <c r="E43" s="1417"/>
      <c r="F43" s="1417"/>
      <c r="G43" s="1417"/>
      <c r="H43" s="1417"/>
      <c r="I43" s="1417"/>
      <c r="J43" s="1417"/>
      <c r="K43" s="786"/>
      <c r="L43" s="1143"/>
      <c r="M43" s="1144"/>
      <c r="N43" s="1144"/>
      <c r="O43" s="1144"/>
      <c r="P43" s="3172" t="str">
        <f>A43</f>
        <v>估价对象XX用房的比较价值（楼面单价，元/平方米）</v>
      </c>
      <c r="Q43" s="3173"/>
      <c r="R43" s="3174" t="e">
        <f>IF(F1="售价",ROUND(AVERAGE(R42:V42),0),ROUND(AVERAGE(R42:V42),1))</f>
        <v>#DIV/0!</v>
      </c>
      <c r="S43" s="3174"/>
      <c r="T43" s="3174"/>
      <c r="U43" s="3174"/>
      <c r="V43" s="3174"/>
      <c r="W43" s="3174"/>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2672</v>
      </c>
      <c r="B51" s="760"/>
      <c r="C51" s="765"/>
      <c r="D51" s="765"/>
      <c r="E51" s="765"/>
      <c r="F51" s="766"/>
      <c r="G51" s="766"/>
      <c r="H51" s="765"/>
      <c r="I51" s="765"/>
      <c r="J51" s="765"/>
      <c r="K51" s="1160"/>
      <c r="L51" s="1161"/>
      <c r="M51" s="1159"/>
      <c r="N51" s="1159"/>
      <c r="O51" s="1159"/>
      <c r="P51" s="504"/>
      <c r="Q51" s="505"/>
    </row>
    <row r="52" spans="1:17" s="509" customFormat="1" ht="15">
      <c r="A52" s="506" t="s">
        <v>2546</v>
      </c>
      <c r="B52" s="507"/>
      <c r="C52" s="1575" t="str">
        <f>YEAR(C7)&amp;"-"&amp;MONTH(C7)</f>
        <v>2017-10</v>
      </c>
      <c r="D52" s="1576">
        <f>EDATE(C52,-1)</f>
        <v>42979</v>
      </c>
      <c r="E52" s="1576">
        <f t="shared" ref="E52:O52" si="16">EDATE(D52,-1)</f>
        <v>42948</v>
      </c>
      <c r="F52" s="1576">
        <f t="shared" si="16"/>
        <v>42917</v>
      </c>
      <c r="G52" s="1576">
        <f t="shared" si="16"/>
        <v>42887</v>
      </c>
      <c r="H52" s="1576">
        <f t="shared" si="16"/>
        <v>42856</v>
      </c>
      <c r="I52" s="1576">
        <f t="shared" si="16"/>
        <v>42826</v>
      </c>
      <c r="J52" s="1576">
        <f t="shared" si="16"/>
        <v>42795</v>
      </c>
      <c r="K52" s="1576">
        <f t="shared" si="16"/>
        <v>42767</v>
      </c>
      <c r="L52" s="1576">
        <f t="shared" si="16"/>
        <v>42736</v>
      </c>
      <c r="M52" s="1576">
        <f t="shared" si="16"/>
        <v>42705</v>
      </c>
      <c r="N52" s="1576">
        <f t="shared" si="16"/>
        <v>42675</v>
      </c>
      <c r="O52" s="1576">
        <f t="shared" si="16"/>
        <v>42644</v>
      </c>
      <c r="P52" s="508"/>
    </row>
    <row r="53" spans="1:17" s="117" customFormat="1" ht="15">
      <c r="A53" s="510"/>
      <c r="B53" s="511"/>
      <c r="C53" s="1574">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2586</v>
      </c>
      <c r="B57" s="529" t="s">
        <v>2552</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2"/>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3"/>
      <c r="B87" s="570"/>
      <c r="C87" s="571"/>
      <c r="D87" s="571"/>
      <c r="E87" s="571"/>
      <c r="F87" s="571"/>
      <c r="G87" s="592"/>
      <c r="H87" s="592"/>
      <c r="I87" s="592"/>
      <c r="J87" s="592"/>
      <c r="K87" s="592"/>
      <c r="L87" s="592"/>
      <c r="M87" s="593"/>
      <c r="N87" s="1153"/>
      <c r="O87" s="1153"/>
      <c r="P87" s="45"/>
      <c r="Q87" s="505"/>
    </row>
    <row r="88" spans="1:17">
      <c r="A88" s="528" t="s">
        <v>2561</v>
      </c>
      <c r="B88" s="529" t="s">
        <v>2610</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2612</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2614</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2615</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2616</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2618</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3"/>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2705</v>
      </c>
      <c r="B1" s="1620"/>
      <c r="C1" s="1621" t="s">
        <v>2528</v>
      </c>
      <c r="D1" s="1622"/>
      <c r="E1" s="1623"/>
      <c r="F1" s="2581"/>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9" customFormat="1" ht="28.5" customHeight="1" thickTop="1">
      <c r="A2" s="1618"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5"/>
      <c r="H3" s="1125"/>
      <c r="I3" s="1125"/>
      <c r="J3" s="1125"/>
      <c r="K3" s="1127"/>
      <c r="L3" s="1128"/>
      <c r="M3" s="1129"/>
      <c r="N3" s="1129"/>
      <c r="O3" s="1129"/>
      <c r="P3" s="1419"/>
      <c r="Q3" s="769"/>
      <c r="R3" s="769"/>
      <c r="S3" s="769"/>
      <c r="T3" s="769"/>
      <c r="U3" s="769"/>
      <c r="V3" s="769"/>
      <c r="W3" s="769"/>
      <c r="X3" s="769"/>
      <c r="Y3" s="769"/>
      <c r="Z3" s="769"/>
      <c r="AA3" s="769"/>
      <c r="AB3" s="787"/>
      <c r="AC3" s="783"/>
    </row>
    <row r="4" spans="1:29" ht="15">
      <c r="A4" s="402" t="s">
        <v>2643</v>
      </c>
      <c r="B4" s="403"/>
      <c r="C4" s="3190" t="s">
        <v>2644</v>
      </c>
      <c r="D4" s="3191"/>
      <c r="E4" s="3192" t="s">
        <v>2645</v>
      </c>
      <c r="F4" s="3193"/>
      <c r="G4" s="3190" t="s">
        <v>2646</v>
      </c>
      <c r="H4" s="3191"/>
      <c r="I4" s="3190" t="s">
        <v>2647</v>
      </c>
      <c r="J4" s="3191"/>
      <c r="K4" s="611" t="s">
        <v>2648</v>
      </c>
      <c r="L4" s="1130"/>
      <c r="M4" s="1131"/>
      <c r="N4" s="1131"/>
      <c r="O4" s="1131"/>
      <c r="P4" s="3194" t="s">
        <v>2649</v>
      </c>
      <c r="Q4" s="3195"/>
      <c r="R4" s="3200" t="s">
        <v>2645</v>
      </c>
      <c r="S4" s="3201"/>
      <c r="T4" s="3200" t="s">
        <v>2646</v>
      </c>
      <c r="U4" s="3201"/>
      <c r="V4" s="3206" t="s">
        <v>2647</v>
      </c>
      <c r="W4" s="3206"/>
      <c r="X4" s="1814"/>
      <c r="Y4" s="3200" t="s">
        <v>2649</v>
      </c>
      <c r="Z4" s="3201"/>
      <c r="AA4" s="3187" t="s">
        <v>2645</v>
      </c>
      <c r="AB4" s="3188" t="s">
        <v>2646</v>
      </c>
      <c r="AC4" s="3187" t="s">
        <v>2647</v>
      </c>
    </row>
    <row r="5" spans="1:29" ht="15">
      <c r="A5" s="405"/>
      <c r="B5" s="406"/>
      <c r="C5" s="3209" t="s">
        <v>2540</v>
      </c>
      <c r="D5" s="3210"/>
      <c r="E5" s="3216" t="s">
        <v>2541</v>
      </c>
      <c r="F5" s="3217"/>
      <c r="G5" s="3209" t="s">
        <v>2542</v>
      </c>
      <c r="H5" s="3210"/>
      <c r="I5" s="3209" t="s">
        <v>2543</v>
      </c>
      <c r="J5" s="3210"/>
      <c r="K5" s="611"/>
      <c r="L5" s="1130"/>
      <c r="M5" s="1131"/>
      <c r="N5" s="1131"/>
      <c r="O5" s="1131"/>
      <c r="P5" s="3196"/>
      <c r="Q5" s="3197"/>
      <c r="R5" s="3202"/>
      <c r="S5" s="3203"/>
      <c r="T5" s="3202"/>
      <c r="U5" s="3203"/>
      <c r="V5" s="3206"/>
      <c r="W5" s="3206"/>
      <c r="X5" s="1814"/>
      <c r="Y5" s="3202"/>
      <c r="Z5" s="3203"/>
      <c r="AA5" s="3188"/>
      <c r="AB5" s="3188"/>
      <c r="AC5" s="3188"/>
    </row>
    <row r="6" spans="1:29" ht="15.75" thickBot="1">
      <c r="A6" s="407"/>
      <c r="B6" s="408"/>
      <c r="C6" s="3207" t="s">
        <v>2544</v>
      </c>
      <c r="D6" s="3208"/>
      <c r="E6" s="3214" t="s">
        <v>2544</v>
      </c>
      <c r="F6" s="3215"/>
      <c r="G6" s="3207" t="s">
        <v>2544</v>
      </c>
      <c r="H6" s="3208"/>
      <c r="I6" s="3207" t="s">
        <v>2544</v>
      </c>
      <c r="J6" s="3208"/>
      <c r="K6" s="611" t="s">
        <v>2545</v>
      </c>
      <c r="L6" s="1130"/>
      <c r="M6" s="1131"/>
      <c r="N6" s="1131"/>
      <c r="O6" s="1131"/>
      <c r="P6" s="3198"/>
      <c r="Q6" s="3199"/>
      <c r="R6" s="3202"/>
      <c r="S6" s="3203"/>
      <c r="T6" s="3204"/>
      <c r="U6" s="3205"/>
      <c r="V6" s="3206"/>
      <c r="W6" s="3206"/>
      <c r="X6" s="1814"/>
      <c r="Y6" s="3204"/>
      <c r="Z6" s="3205"/>
      <c r="AA6" s="3189"/>
      <c r="AB6" s="3189"/>
      <c r="AC6" s="3189"/>
    </row>
    <row r="7" spans="1:29" s="117" customFormat="1" ht="15.75" thickBot="1">
      <c r="A7" s="409" t="s">
        <v>2546</v>
      </c>
      <c r="B7" s="410"/>
      <c r="C7" s="411">
        <f>'数据-取费表'!B2</f>
        <v>43039</v>
      </c>
      <c r="D7" s="412">
        <v>100</v>
      </c>
      <c r="E7" s="413"/>
      <c r="F7" s="414">
        <f>SUMIF(48:48,YEAR(E7)&amp;"-"&amp;MONTH(E7),49:49)</f>
        <v>0</v>
      </c>
      <c r="G7" s="413"/>
      <c r="H7" s="412">
        <f>SUMIF(48:48,YEAR(G7)&amp;"-"&amp;MONTH(G7),49:49)</f>
        <v>0</v>
      </c>
      <c r="I7" s="413"/>
      <c r="J7" s="412">
        <f>SUMIF(48:48,YEAR(I7)&amp;"-"&amp;MONTH(I7),49:49)</f>
        <v>0</v>
      </c>
      <c r="K7" s="612"/>
      <c r="L7" s="1132"/>
      <c r="M7" s="1133"/>
      <c r="N7" s="1133"/>
      <c r="O7" s="1133"/>
      <c r="P7" s="3211" t="s">
        <v>2547</v>
      </c>
      <c r="Q7" s="3213"/>
      <c r="R7" s="771" t="s">
        <v>17</v>
      </c>
      <c r="S7" s="772">
        <f t="shared" ref="S7:S14" si="0">F7</f>
        <v>0</v>
      </c>
      <c r="T7" s="771" t="s">
        <v>17</v>
      </c>
      <c r="U7" s="772">
        <f t="shared" ref="U7:U14" si="1">H7</f>
        <v>0</v>
      </c>
      <c r="V7" s="771" t="s">
        <v>17</v>
      </c>
      <c r="W7" s="772">
        <f t="shared" ref="W7:W14" si="2">J7</f>
        <v>0</v>
      </c>
      <c r="X7" s="773"/>
      <c r="Y7" s="3211" t="s">
        <v>2547</v>
      </c>
      <c r="Z7" s="3212"/>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2"/>
      <c r="M8" s="1133"/>
      <c r="N8" s="1133"/>
      <c r="O8" s="1133"/>
      <c r="P8" s="3211" t="s">
        <v>2550</v>
      </c>
      <c r="Q8" s="3212"/>
      <c r="R8" s="771" t="s">
        <v>17</v>
      </c>
      <c r="S8" s="772">
        <f t="shared" si="0"/>
        <v>0</v>
      </c>
      <c r="T8" s="771" t="s">
        <v>17</v>
      </c>
      <c r="U8" s="772">
        <f t="shared" si="1"/>
        <v>0</v>
      </c>
      <c r="V8" s="771" t="s">
        <v>17</v>
      </c>
      <c r="W8" s="772">
        <f t="shared" si="2"/>
        <v>0</v>
      </c>
      <c r="X8" s="773"/>
      <c r="Y8" s="3211" t="s">
        <v>2550</v>
      </c>
      <c r="Z8" s="3212"/>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2"/>
      <c r="M9" s="1133"/>
      <c r="N9" s="1133"/>
      <c r="O9" s="1133"/>
      <c r="P9" s="3175" t="s">
        <v>2553</v>
      </c>
      <c r="Q9" s="1796" t="str">
        <f t="shared" ref="Q9:Q14" si="6">B9</f>
        <v>用途</v>
      </c>
      <c r="R9" s="771" t="s">
        <v>17</v>
      </c>
      <c r="S9" s="772">
        <f t="shared" si="0"/>
        <v>100</v>
      </c>
      <c r="T9" s="771" t="s">
        <v>17</v>
      </c>
      <c r="U9" s="772">
        <f t="shared" si="1"/>
        <v>100</v>
      </c>
      <c r="V9" s="771" t="s">
        <v>17</v>
      </c>
      <c r="W9" s="772">
        <f t="shared" si="2"/>
        <v>100</v>
      </c>
      <c r="X9" s="773"/>
      <c r="Y9" s="3000"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5"/>
      <c r="M10" s="1136"/>
      <c r="N10" s="1136"/>
      <c r="O10" s="1136"/>
      <c r="P10" s="3175"/>
      <c r="Q10" s="1796" t="str">
        <f t="shared" si="6"/>
        <v>土地使用年限（年）</v>
      </c>
      <c r="R10" s="771" t="s">
        <v>17</v>
      </c>
      <c r="S10" s="772">
        <f t="shared" si="0"/>
        <v>100</v>
      </c>
      <c r="T10" s="771" t="s">
        <v>17</v>
      </c>
      <c r="U10" s="772">
        <f t="shared" si="1"/>
        <v>100</v>
      </c>
      <c r="V10" s="771" t="s">
        <v>17</v>
      </c>
      <c r="W10" s="772">
        <f t="shared" si="2"/>
        <v>100</v>
      </c>
      <c r="X10" s="773"/>
      <c r="Y10" s="300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175"/>
      <c r="Q11" s="1796">
        <f t="shared" si="6"/>
        <v>111</v>
      </c>
      <c r="R11" s="771" t="s">
        <v>17</v>
      </c>
      <c r="S11" s="772">
        <f t="shared" si="0"/>
        <v>100</v>
      </c>
      <c r="T11" s="771" t="s">
        <v>17</v>
      </c>
      <c r="U11" s="772">
        <f t="shared" si="1"/>
        <v>100</v>
      </c>
      <c r="V11" s="771" t="s">
        <v>17</v>
      </c>
      <c r="W11" s="772">
        <f t="shared" si="2"/>
        <v>100</v>
      </c>
      <c r="X11" s="773"/>
      <c r="Y11" s="300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175"/>
      <c r="Q12" s="1796">
        <f t="shared" si="6"/>
        <v>111</v>
      </c>
      <c r="R12" s="771" t="s">
        <v>17</v>
      </c>
      <c r="S12" s="772">
        <f t="shared" si="0"/>
        <v>100</v>
      </c>
      <c r="T12" s="771" t="s">
        <v>17</v>
      </c>
      <c r="U12" s="772">
        <f t="shared" si="1"/>
        <v>100</v>
      </c>
      <c r="V12" s="771" t="s">
        <v>17</v>
      </c>
      <c r="W12" s="772">
        <f t="shared" si="2"/>
        <v>100</v>
      </c>
      <c r="X12" s="773"/>
      <c r="Y12" s="300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175"/>
      <c r="Q13" s="1796">
        <f t="shared" si="6"/>
        <v>111</v>
      </c>
      <c r="R13" s="771" t="s">
        <v>17</v>
      </c>
      <c r="S13" s="772">
        <f t="shared" si="0"/>
        <v>100</v>
      </c>
      <c r="T13" s="771" t="s">
        <v>17</v>
      </c>
      <c r="U13" s="772">
        <f t="shared" si="1"/>
        <v>100</v>
      </c>
      <c r="V13" s="771" t="s">
        <v>17</v>
      </c>
      <c r="W13" s="772">
        <f t="shared" si="2"/>
        <v>100</v>
      </c>
      <c r="X13" s="773"/>
      <c r="Y13" s="3000"/>
      <c r="Z13" s="55">
        <f t="shared" si="7"/>
        <v>111</v>
      </c>
      <c r="AA13" s="774">
        <f t="shared" si="3"/>
        <v>1</v>
      </c>
      <c r="AB13" s="774">
        <f t="shared" si="4"/>
        <v>1</v>
      </c>
      <c r="AC13" s="774">
        <f t="shared" si="5"/>
        <v>1</v>
      </c>
    </row>
    <row r="14" spans="1:29" ht="128.25">
      <c r="A14" s="402" t="s">
        <v>2557</v>
      </c>
      <c r="B14" s="630" t="s">
        <v>2707</v>
      </c>
      <c r="C14" s="2690" t="str">
        <f>IF(B1="工业",估价对象房地状况!G4,估价对象房地状况!C6)</f>
        <v>估价对象周边有371、462等公交线路并有8号线等，公共交通通达情况；项目自身有停车位、停车便捷程度较好，综合评价交通便捷度较好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0"/>
      <c r="M14" s="1131"/>
      <c r="N14" s="1131"/>
      <c r="O14" s="1131"/>
      <c r="P14" s="3177" t="s">
        <v>2558</v>
      </c>
      <c r="Q14" s="1811" t="str">
        <f t="shared" si="6"/>
        <v>交通便捷度</v>
      </c>
      <c r="R14" s="775" t="s">
        <v>17</v>
      </c>
      <c r="S14" s="776">
        <f t="shared" si="0"/>
        <v>100</v>
      </c>
      <c r="T14" s="775" t="s">
        <v>17</v>
      </c>
      <c r="U14" s="776">
        <f t="shared" si="1"/>
        <v>100</v>
      </c>
      <c r="V14" s="775" t="s">
        <v>17</v>
      </c>
      <c r="W14" s="776">
        <f t="shared" si="2"/>
        <v>100</v>
      </c>
      <c r="X14" s="1814"/>
      <c r="Y14" s="3177" t="s">
        <v>2558</v>
      </c>
      <c r="Z14" s="1815" t="str">
        <f t="shared" si="7"/>
        <v>交通便捷度</v>
      </c>
      <c r="AA14" s="1812">
        <f t="shared" si="3"/>
        <v>1</v>
      </c>
      <c r="AB14" s="1812">
        <f t="shared" si="4"/>
        <v>1</v>
      </c>
      <c r="AC14" s="1812">
        <f t="shared" si="5"/>
        <v>1</v>
      </c>
    </row>
    <row r="15" spans="1:29" ht="15">
      <c r="A15" s="405"/>
      <c r="B15" s="648"/>
      <c r="C15" s="448"/>
      <c r="D15" s="449"/>
      <c r="E15" s="448"/>
      <c r="F15" s="450"/>
      <c r="G15" s="448"/>
      <c r="H15" s="451"/>
      <c r="I15" s="448"/>
      <c r="J15" s="449"/>
      <c r="K15" s="616"/>
      <c r="L15" s="1140"/>
      <c r="M15" s="1131"/>
      <c r="N15" s="1131"/>
      <c r="O15" s="1131"/>
      <c r="P15" s="3178"/>
      <c r="Q15" s="1811"/>
      <c r="R15" s="775"/>
      <c r="S15" s="776"/>
      <c r="T15" s="775"/>
      <c r="U15" s="776"/>
      <c r="V15" s="775"/>
      <c r="W15" s="776"/>
      <c r="X15" s="1814"/>
      <c r="Y15" s="3178"/>
      <c r="Z15" s="1815"/>
      <c r="AA15" s="1812">
        <v>1</v>
      </c>
      <c r="AB15" s="1812">
        <v>1</v>
      </c>
      <c r="AC15" s="1812">
        <v>1</v>
      </c>
    </row>
    <row r="16" spans="1:29" ht="71.25">
      <c r="A16" s="405"/>
      <c r="B16" s="632" t="s">
        <v>2686</v>
      </c>
      <c r="C16" s="2604" t="str">
        <f>IF(B1="工业",估价对象房地状况!G5,估价对象房地状况!C7)</f>
        <v>估价对象所在区域公共配套设施较齐备；综合评价公用设施及基础设施水平较好</v>
      </c>
      <c r="D16" s="456">
        <v>100</v>
      </c>
      <c r="E16" s="458"/>
      <c r="F16" s="459">
        <f>SUMIF(65:65,E17,66:66)-SUMIF(65:65,C17,66:66)+100</f>
        <v>100</v>
      </c>
      <c r="G16" s="460"/>
      <c r="H16" s="456">
        <f>SUMIF(65:65,G17,66:66)-SUMIF(65:65,C17,66:66)+100</f>
        <v>100</v>
      </c>
      <c r="I16" s="458"/>
      <c r="J16" s="456">
        <f>SUMIF(65:65,I17,66:66)-SUMIF(65:65,C17,66:66)+100</f>
        <v>100</v>
      </c>
      <c r="K16" s="615"/>
      <c r="L16" s="1140"/>
      <c r="M16" s="1131"/>
      <c r="N16" s="1131"/>
      <c r="O16" s="1131"/>
      <c r="P16" s="3178"/>
      <c r="Q16" s="1811" t="str">
        <f>B16</f>
        <v>公共配套设施</v>
      </c>
      <c r="R16" s="775" t="s">
        <v>17</v>
      </c>
      <c r="S16" s="776">
        <f>F16</f>
        <v>100</v>
      </c>
      <c r="T16" s="775" t="s">
        <v>17</v>
      </c>
      <c r="U16" s="776">
        <f>H16</f>
        <v>100</v>
      </c>
      <c r="V16" s="775" t="s">
        <v>17</v>
      </c>
      <c r="W16" s="776">
        <f>J16</f>
        <v>100</v>
      </c>
      <c r="X16" s="1814"/>
      <c r="Y16" s="3178"/>
      <c r="Z16" s="1815" t="str">
        <f>Q16</f>
        <v>公共配套设施</v>
      </c>
      <c r="AA16" s="1812">
        <f t="shared" si="3"/>
        <v>1</v>
      </c>
      <c r="AB16" s="1812">
        <f t="shared" si="4"/>
        <v>1</v>
      </c>
      <c r="AC16" s="1812">
        <f t="shared" si="5"/>
        <v>1</v>
      </c>
    </row>
    <row r="17" spans="1:29" ht="15">
      <c r="A17" s="405"/>
      <c r="B17" s="633"/>
      <c r="C17" s="2605"/>
      <c r="D17" s="449"/>
      <c r="E17" s="448"/>
      <c r="F17" s="450"/>
      <c r="G17" s="448"/>
      <c r="H17" s="449"/>
      <c r="I17" s="448"/>
      <c r="J17" s="449"/>
      <c r="K17" s="616"/>
      <c r="L17" s="1140"/>
      <c r="M17" s="1131"/>
      <c r="N17" s="1131"/>
      <c r="O17" s="1131"/>
      <c r="P17" s="3178"/>
      <c r="Q17" s="1811"/>
      <c r="R17" s="775"/>
      <c r="S17" s="776"/>
      <c r="T17" s="775"/>
      <c r="U17" s="776"/>
      <c r="V17" s="775"/>
      <c r="W17" s="776"/>
      <c r="X17" s="1814"/>
      <c r="Y17" s="3178"/>
      <c r="Z17" s="1815"/>
      <c r="AA17" s="1812">
        <v>1</v>
      </c>
      <c r="AB17" s="1812">
        <v>1</v>
      </c>
      <c r="AC17" s="1812">
        <v>1</v>
      </c>
    </row>
    <row r="18" spans="1:29" ht="28.5">
      <c r="A18" s="405"/>
      <c r="B18" s="634" t="s">
        <v>2687</v>
      </c>
      <c r="C18" s="2604" t="str">
        <f>IF(B1="工业",估价对象房地状况!G6,估价对象房地状况!C8)</f>
        <v>基础设施水平七通一平；</v>
      </c>
      <c r="D18" s="451">
        <v>100</v>
      </c>
      <c r="E18" s="453"/>
      <c r="F18" s="459">
        <f>SUMIF(67:67,E19,68:68)-SUMIF(67:67,C19,68:68)+100</f>
        <v>100</v>
      </c>
      <c r="G18" s="455"/>
      <c r="H18" s="456">
        <f>SUMIF(67:67,G19,68:68)-SUMIF(67:67,C19,68:68)+100</f>
        <v>100</v>
      </c>
      <c r="I18" s="453"/>
      <c r="J18" s="456">
        <f>SUMIF(67:67,I19,68:68)-SUMIF(67:67,C19,68:68)+100</f>
        <v>100</v>
      </c>
      <c r="K18" s="615"/>
      <c r="L18" s="1140"/>
      <c r="M18" s="1131"/>
      <c r="N18" s="1131"/>
      <c r="O18" s="1131"/>
      <c r="P18" s="3178"/>
      <c r="Q18" s="1811" t="str">
        <f>B18</f>
        <v>基础设施水平</v>
      </c>
      <c r="R18" s="775" t="s">
        <v>17</v>
      </c>
      <c r="S18" s="776">
        <f>F18</f>
        <v>100</v>
      </c>
      <c r="T18" s="775" t="s">
        <v>17</v>
      </c>
      <c r="U18" s="776">
        <f>H18</f>
        <v>100</v>
      </c>
      <c r="V18" s="775" t="s">
        <v>17</v>
      </c>
      <c r="W18" s="776">
        <f>J18</f>
        <v>100</v>
      </c>
      <c r="X18" s="1814"/>
      <c r="Y18" s="3178"/>
      <c r="Z18" s="1815" t="str">
        <f>Q18</f>
        <v>基础设施水平</v>
      </c>
      <c r="AA18" s="1812">
        <f t="shared" ref="AA18" si="8">D18/F18</f>
        <v>1</v>
      </c>
      <c r="AB18" s="1812">
        <f t="shared" ref="AB18" si="9">D18/H18</f>
        <v>1</v>
      </c>
      <c r="AC18" s="1812">
        <f t="shared" ref="AC18" si="10">D18/J18</f>
        <v>1</v>
      </c>
    </row>
    <row r="19" spans="1:29" ht="15">
      <c r="A19" s="405"/>
      <c r="B19" s="634"/>
      <c r="C19" s="2605"/>
      <c r="D19" s="451"/>
      <c r="E19" s="2605"/>
      <c r="F19" s="454"/>
      <c r="G19" s="2605"/>
      <c r="H19" s="449"/>
      <c r="I19" s="448"/>
      <c r="J19" s="449"/>
      <c r="K19" s="1383"/>
      <c r="L19" s="1140"/>
      <c r="M19" s="1131"/>
      <c r="N19" s="1131"/>
      <c r="O19" s="1131"/>
      <c r="P19" s="3178"/>
      <c r="Q19" s="1811"/>
      <c r="R19" s="775"/>
      <c r="S19" s="776"/>
      <c r="T19" s="775"/>
      <c r="U19" s="776"/>
      <c r="V19" s="775"/>
      <c r="W19" s="776"/>
      <c r="X19" s="1814"/>
      <c r="Y19" s="3178"/>
      <c r="Z19" s="1815"/>
      <c r="AA19" s="1812">
        <v>1</v>
      </c>
      <c r="AB19" s="1812">
        <v>1</v>
      </c>
      <c r="AC19" s="1812">
        <v>1</v>
      </c>
    </row>
    <row r="20" spans="1:29" ht="85.5">
      <c r="A20" s="405"/>
      <c r="B20" s="632" t="s">
        <v>2708</v>
      </c>
      <c r="C20" s="2604" t="str">
        <f>IF(B1="工业",估价对象房地状况!G7,估价对象房地状况!C9)</f>
        <v>区域自然环境：南店公园等；人文环境：北京石油管理干部学院；综合评价环境状况较好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0"/>
      <c r="M20" s="1131"/>
      <c r="N20" s="1131"/>
      <c r="O20" s="1131"/>
      <c r="P20" s="3178"/>
      <c r="Q20" s="1811" t="str">
        <f>B20</f>
        <v>自然及人文环境</v>
      </c>
      <c r="R20" s="775" t="s">
        <v>17</v>
      </c>
      <c r="S20" s="776">
        <f>F20</f>
        <v>100</v>
      </c>
      <c r="T20" s="775" t="s">
        <v>17</v>
      </c>
      <c r="U20" s="776">
        <f>H20</f>
        <v>100</v>
      </c>
      <c r="V20" s="775" t="s">
        <v>17</v>
      </c>
      <c r="W20" s="776">
        <f>J20</f>
        <v>100</v>
      </c>
      <c r="X20" s="1814"/>
      <c r="Y20" s="3178"/>
      <c r="Z20" s="1815" t="str">
        <f>Q20</f>
        <v>自然及人文环境</v>
      </c>
      <c r="AA20" s="1812">
        <f t="shared" si="3"/>
        <v>1</v>
      </c>
      <c r="AB20" s="1812">
        <f t="shared" si="4"/>
        <v>1</v>
      </c>
      <c r="AC20" s="1812">
        <f t="shared" si="5"/>
        <v>1</v>
      </c>
    </row>
    <row r="21" spans="1:29" ht="15">
      <c r="A21" s="405"/>
      <c r="B21" s="633"/>
      <c r="C21" s="448"/>
      <c r="D21" s="449"/>
      <c r="E21" s="448"/>
      <c r="F21" s="450"/>
      <c r="G21" s="448"/>
      <c r="H21" s="449"/>
      <c r="I21" s="448"/>
      <c r="J21" s="449"/>
      <c r="K21" s="616"/>
      <c r="L21" s="1140"/>
      <c r="M21" s="1131"/>
      <c r="N21" s="1131"/>
      <c r="O21" s="1131"/>
      <c r="P21" s="3178"/>
      <c r="Q21" s="1811"/>
      <c r="R21" s="775"/>
      <c r="S21" s="776"/>
      <c r="T21" s="775"/>
      <c r="U21" s="776"/>
      <c r="V21" s="775"/>
      <c r="W21" s="776"/>
      <c r="X21" s="1814"/>
      <c r="Y21" s="3178"/>
      <c r="Z21" s="1815"/>
      <c r="AA21" s="1812">
        <v>1</v>
      </c>
      <c r="AB21" s="1812">
        <v>1</v>
      </c>
      <c r="AC21" s="1812">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178"/>
      <c r="Q22" s="1811" t="str">
        <f>B22</f>
        <v>楼层</v>
      </c>
      <c r="R22" s="775" t="s">
        <v>17</v>
      </c>
      <c r="S22" s="776">
        <f>F22</f>
        <v>100</v>
      </c>
      <c r="T22" s="775" t="s">
        <v>17</v>
      </c>
      <c r="U22" s="776">
        <f>H22</f>
        <v>100</v>
      </c>
      <c r="V22" s="775" t="s">
        <v>17</v>
      </c>
      <c r="W22" s="776">
        <f>J22</f>
        <v>100</v>
      </c>
      <c r="X22" s="1814"/>
      <c r="Y22" s="3178"/>
      <c r="Z22" s="1815" t="str">
        <f>Q22</f>
        <v>楼层</v>
      </c>
      <c r="AA22" s="1812">
        <f t="shared" si="3"/>
        <v>1</v>
      </c>
      <c r="AB22" s="1812">
        <f t="shared" si="4"/>
        <v>1</v>
      </c>
      <c r="AC22" s="1812">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178"/>
      <c r="Q23" s="1811">
        <f>B23</f>
        <v>111</v>
      </c>
      <c r="R23" s="775" t="s">
        <v>17</v>
      </c>
      <c r="S23" s="776">
        <f>F23</f>
        <v>100</v>
      </c>
      <c r="T23" s="775" t="s">
        <v>17</v>
      </c>
      <c r="U23" s="776">
        <f>H23</f>
        <v>100</v>
      </c>
      <c r="V23" s="775" t="s">
        <v>17</v>
      </c>
      <c r="W23" s="776">
        <f>J23</f>
        <v>100</v>
      </c>
      <c r="X23" s="1814"/>
      <c r="Y23" s="3178"/>
      <c r="Z23" s="1815">
        <f>Q23</f>
        <v>111</v>
      </c>
      <c r="AA23" s="1812">
        <f t="shared" si="3"/>
        <v>1</v>
      </c>
      <c r="AB23" s="1812">
        <f t="shared" si="4"/>
        <v>1</v>
      </c>
      <c r="AC23" s="1812">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178"/>
      <c r="Q24" s="1811">
        <f t="shared" ref="Q24:Q36" si="11">B24</f>
        <v>111</v>
      </c>
      <c r="R24" s="775" t="s">
        <v>17</v>
      </c>
      <c r="S24" s="776">
        <f>F24</f>
        <v>100</v>
      </c>
      <c r="T24" s="775" t="s">
        <v>17</v>
      </c>
      <c r="U24" s="776">
        <f>H24</f>
        <v>100</v>
      </c>
      <c r="V24" s="775" t="s">
        <v>17</v>
      </c>
      <c r="W24" s="776">
        <f>J24</f>
        <v>100</v>
      </c>
      <c r="X24" s="1814"/>
      <c r="Y24" s="3178"/>
      <c r="Z24" s="1815">
        <f>Q24</f>
        <v>111</v>
      </c>
      <c r="AA24" s="1812">
        <f t="shared" si="3"/>
        <v>1</v>
      </c>
      <c r="AB24" s="1812">
        <f t="shared" si="4"/>
        <v>1</v>
      </c>
      <c r="AC24" s="1812">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178"/>
      <c r="Q25" s="1796">
        <f t="shared" si="11"/>
        <v>111</v>
      </c>
      <c r="R25" s="771" t="s">
        <v>17</v>
      </c>
      <c r="S25" s="772">
        <f>F25</f>
        <v>100</v>
      </c>
      <c r="T25" s="771" t="s">
        <v>17</v>
      </c>
      <c r="U25" s="772">
        <f>H25</f>
        <v>100</v>
      </c>
      <c r="V25" s="771" t="s">
        <v>17</v>
      </c>
      <c r="W25" s="772">
        <f>J25</f>
        <v>100</v>
      </c>
      <c r="X25" s="773"/>
      <c r="Y25" s="3178"/>
      <c r="Z25" s="55">
        <f>Q25</f>
        <v>111</v>
      </c>
      <c r="AA25" s="1812">
        <f>D25/F25</f>
        <v>1</v>
      </c>
      <c r="AB25" s="1812">
        <f>D25/H25</f>
        <v>1</v>
      </c>
      <c r="AC25" s="1812">
        <f>D25/J25</f>
        <v>1</v>
      </c>
    </row>
    <row r="26" spans="1:29" ht="15">
      <c r="A26" s="653" t="s">
        <v>2561</v>
      </c>
      <c r="B26" s="70" t="s">
        <v>2710</v>
      </c>
      <c r="C26" s="2691">
        <f>B1</f>
        <v>0</v>
      </c>
      <c r="D26" s="449">
        <v>100</v>
      </c>
      <c r="E26" s="448"/>
      <c r="F26" s="450">
        <f>SUMIF(79:79,E26,80:80)-SUMIF(79:79,C26,80:80)+100</f>
        <v>100</v>
      </c>
      <c r="G26" s="448"/>
      <c r="H26" s="449">
        <f>SUMIF(79:79,G26,80:80)-SUMIF(79:79,C26,80:80)+100</f>
        <v>100</v>
      </c>
      <c r="I26" s="448"/>
      <c r="J26" s="449">
        <f>SUMIF(79:79,I26,80:80)-SUMIF(79:79,C26,80:80)+100</f>
        <v>100</v>
      </c>
      <c r="K26" s="613"/>
      <c r="L26" s="1140"/>
      <c r="M26" s="1131"/>
      <c r="N26" s="1131"/>
      <c r="O26" s="1131"/>
      <c r="P26" s="3233" t="s">
        <v>2563</v>
      </c>
      <c r="Q26" s="1811" t="str">
        <f t="shared" si="11"/>
        <v>配套类型</v>
      </c>
      <c r="R26" s="775" t="s">
        <v>17</v>
      </c>
      <c r="S26" s="776">
        <f t="shared" ref="S26:S36" si="12">F26</f>
        <v>100</v>
      </c>
      <c r="T26" s="775" t="s">
        <v>17</v>
      </c>
      <c r="U26" s="776">
        <f t="shared" ref="U26:U36" si="13">H26</f>
        <v>100</v>
      </c>
      <c r="V26" s="775" t="s">
        <v>17</v>
      </c>
      <c r="W26" s="776">
        <f t="shared" ref="W26:W36" si="14">J26</f>
        <v>100</v>
      </c>
      <c r="X26" s="1814"/>
      <c r="Y26" s="3182" t="s">
        <v>2563</v>
      </c>
      <c r="Z26" s="1815" t="str">
        <f t="shared" ref="Z26:Z36" si="15">Q26</f>
        <v>配套类型</v>
      </c>
      <c r="AA26" s="1812">
        <f t="shared" si="3"/>
        <v>1</v>
      </c>
      <c r="AB26" s="1812">
        <f t="shared" si="4"/>
        <v>1</v>
      </c>
      <c r="AC26" s="1812">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182"/>
      <c r="Q27" s="777" t="str">
        <f t="shared" si="11"/>
        <v>项目停车位配比</v>
      </c>
      <c r="R27" s="778" t="s">
        <v>17</v>
      </c>
      <c r="S27" s="779">
        <f t="shared" si="12"/>
        <v>100</v>
      </c>
      <c r="T27" s="778" t="s">
        <v>17</v>
      </c>
      <c r="U27" s="779">
        <f t="shared" si="13"/>
        <v>100</v>
      </c>
      <c r="V27" s="778" t="s">
        <v>17</v>
      </c>
      <c r="W27" s="779">
        <f t="shared" si="14"/>
        <v>100</v>
      </c>
      <c r="X27" s="780"/>
      <c r="Y27" s="3182"/>
      <c r="Z27" s="781" t="str">
        <f t="shared" si="15"/>
        <v>项目停车位配比</v>
      </c>
      <c r="AA27" s="1812">
        <f t="shared" si="3"/>
        <v>1</v>
      </c>
      <c r="AB27" s="1812">
        <f t="shared" si="4"/>
        <v>1</v>
      </c>
      <c r="AC27" s="1812">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0"/>
      <c r="M28" s="1131"/>
      <c r="N28" s="1131"/>
      <c r="O28" s="1131"/>
      <c r="P28" s="3182"/>
      <c r="Q28" s="1811" t="str">
        <f t="shared" si="11"/>
        <v>公共部分装修</v>
      </c>
      <c r="R28" s="775" t="s">
        <v>17</v>
      </c>
      <c r="S28" s="776">
        <f t="shared" si="12"/>
        <v>100</v>
      </c>
      <c r="T28" s="775" t="s">
        <v>17</v>
      </c>
      <c r="U28" s="776">
        <f t="shared" si="13"/>
        <v>100</v>
      </c>
      <c r="V28" s="775" t="s">
        <v>17</v>
      </c>
      <c r="W28" s="776">
        <f t="shared" si="14"/>
        <v>100</v>
      </c>
      <c r="X28" s="1814"/>
      <c r="Y28" s="3182"/>
      <c r="Z28" s="1815" t="str">
        <f t="shared" si="15"/>
        <v>公共部分装修</v>
      </c>
      <c r="AA28" s="1812">
        <f t="shared" si="3"/>
        <v>1</v>
      </c>
      <c r="AB28" s="1812">
        <f t="shared" si="4"/>
        <v>1</v>
      </c>
      <c r="AC28" s="1812">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0"/>
      <c r="M29" s="1131"/>
      <c r="N29" s="1131"/>
      <c r="O29" s="1131"/>
      <c r="P29" s="3182"/>
      <c r="Q29" s="1811" t="str">
        <f t="shared" si="11"/>
        <v>成新率</v>
      </c>
      <c r="R29" s="775" t="s">
        <v>17</v>
      </c>
      <c r="S29" s="776" t="e">
        <f t="shared" si="12"/>
        <v>#N/A</v>
      </c>
      <c r="T29" s="775" t="s">
        <v>17</v>
      </c>
      <c r="U29" s="776" t="e">
        <f t="shared" si="13"/>
        <v>#N/A</v>
      </c>
      <c r="V29" s="775" t="s">
        <v>17</v>
      </c>
      <c r="W29" s="776" t="e">
        <f t="shared" si="14"/>
        <v>#N/A</v>
      </c>
      <c r="X29" s="1814"/>
      <c r="Y29" s="3182"/>
      <c r="Z29" s="1815" t="str">
        <f t="shared" si="15"/>
        <v>成新率</v>
      </c>
      <c r="AA29" s="1812" t="e">
        <f t="shared" si="3"/>
        <v>#N/A</v>
      </c>
      <c r="AB29" s="1812" t="e">
        <f t="shared" si="4"/>
        <v>#N/A</v>
      </c>
      <c r="AC29" s="1812"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182"/>
      <c r="Q30" s="1811" t="str">
        <f t="shared" si="11"/>
        <v>物业等级</v>
      </c>
      <c r="R30" s="775" t="s">
        <v>17</v>
      </c>
      <c r="S30" s="776">
        <f t="shared" si="12"/>
        <v>100</v>
      </c>
      <c r="T30" s="775" t="s">
        <v>17</v>
      </c>
      <c r="U30" s="776">
        <f t="shared" si="13"/>
        <v>100</v>
      </c>
      <c r="V30" s="775" t="s">
        <v>17</v>
      </c>
      <c r="W30" s="776">
        <f t="shared" si="14"/>
        <v>100</v>
      </c>
      <c r="X30" s="1814"/>
      <c r="Y30" s="3182"/>
      <c r="Z30" s="1815" t="str">
        <f t="shared" si="15"/>
        <v>物业等级</v>
      </c>
      <c r="AA30" s="1812">
        <f t="shared" si="3"/>
        <v>1</v>
      </c>
      <c r="AB30" s="1812">
        <f t="shared" si="4"/>
        <v>1</v>
      </c>
      <c r="AC30" s="1812">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2"/>
      <c r="M31" s="1133"/>
      <c r="N31" s="1133"/>
      <c r="O31" s="1133"/>
      <c r="P31" s="3182"/>
      <c r="Q31" s="1796" t="str">
        <f t="shared" si="11"/>
        <v>停车位面积</v>
      </c>
      <c r="R31" s="771" t="s">
        <v>17</v>
      </c>
      <c r="S31" s="772" t="e">
        <f t="shared" si="12"/>
        <v>#N/A</v>
      </c>
      <c r="T31" s="771" t="s">
        <v>17</v>
      </c>
      <c r="U31" s="772" t="e">
        <f t="shared" si="13"/>
        <v>#N/A</v>
      </c>
      <c r="V31" s="771" t="s">
        <v>17</v>
      </c>
      <c r="W31" s="772" t="e">
        <f t="shared" si="14"/>
        <v>#N/A</v>
      </c>
      <c r="X31" s="773"/>
      <c r="Y31" s="3182"/>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0"/>
      <c r="M32" s="1131"/>
      <c r="N32" s="1131"/>
      <c r="O32" s="1131"/>
      <c r="P32" s="3182" t="s">
        <v>2563</v>
      </c>
      <c r="Q32" s="1811" t="str">
        <f t="shared" si="11"/>
        <v>车位类型</v>
      </c>
      <c r="R32" s="775" t="s">
        <v>17</v>
      </c>
      <c r="S32" s="776">
        <f t="shared" si="12"/>
        <v>100</v>
      </c>
      <c r="T32" s="775" t="s">
        <v>17</v>
      </c>
      <c r="U32" s="776">
        <f t="shared" si="13"/>
        <v>100</v>
      </c>
      <c r="V32" s="775" t="s">
        <v>17</v>
      </c>
      <c r="W32" s="776">
        <f t="shared" si="14"/>
        <v>100</v>
      </c>
      <c r="X32" s="1814"/>
      <c r="Y32" s="3182" t="s">
        <v>2563</v>
      </c>
      <c r="Z32" s="1815" t="str">
        <f t="shared" si="15"/>
        <v>车位类型</v>
      </c>
      <c r="AA32" s="1812">
        <f t="shared" si="3"/>
        <v>1</v>
      </c>
      <c r="AB32" s="1812">
        <f t="shared" si="4"/>
        <v>1</v>
      </c>
      <c r="AC32" s="1812">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0"/>
      <c r="M33" s="1131"/>
      <c r="N33" s="1131"/>
      <c r="O33" s="1131"/>
      <c r="P33" s="3182"/>
      <c r="Q33" s="1811" t="str">
        <f t="shared" si="11"/>
        <v>是否直接入户</v>
      </c>
      <c r="R33" s="775" t="s">
        <v>17</v>
      </c>
      <c r="S33" s="776">
        <f t="shared" si="12"/>
        <v>100</v>
      </c>
      <c r="T33" s="775" t="s">
        <v>17</v>
      </c>
      <c r="U33" s="776">
        <f t="shared" si="13"/>
        <v>100</v>
      </c>
      <c r="V33" s="775" t="s">
        <v>17</v>
      </c>
      <c r="W33" s="776">
        <f t="shared" si="14"/>
        <v>100</v>
      </c>
      <c r="X33" s="1814"/>
      <c r="Y33" s="3182"/>
      <c r="Z33" s="1815" t="str">
        <f t="shared" si="15"/>
        <v>是否直接入户</v>
      </c>
      <c r="AA33" s="1812">
        <f t="shared" si="3"/>
        <v>1</v>
      </c>
      <c r="AB33" s="1812">
        <f t="shared" si="4"/>
        <v>1</v>
      </c>
      <c r="AC33" s="1812">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182"/>
      <c r="Q34" s="1811">
        <f t="shared" si="11"/>
        <v>111</v>
      </c>
      <c r="R34" s="775" t="s">
        <v>17</v>
      </c>
      <c r="S34" s="776">
        <f t="shared" si="12"/>
        <v>100</v>
      </c>
      <c r="T34" s="775" t="s">
        <v>17</v>
      </c>
      <c r="U34" s="776">
        <f t="shared" si="13"/>
        <v>100</v>
      </c>
      <c r="V34" s="775" t="s">
        <v>17</v>
      </c>
      <c r="W34" s="776">
        <f t="shared" si="14"/>
        <v>100</v>
      </c>
      <c r="X34" s="1814"/>
      <c r="Y34" s="3182"/>
      <c r="Z34" s="1815">
        <f t="shared" si="15"/>
        <v>111</v>
      </c>
      <c r="AA34" s="1812">
        <f t="shared" si="3"/>
        <v>1</v>
      </c>
      <c r="AB34" s="1812">
        <f t="shared" si="4"/>
        <v>1</v>
      </c>
      <c r="AC34" s="1812">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182"/>
      <c r="Q35" s="777">
        <f t="shared" si="11"/>
        <v>111</v>
      </c>
      <c r="R35" s="778" t="s">
        <v>17</v>
      </c>
      <c r="S35" s="779">
        <f t="shared" si="12"/>
        <v>100</v>
      </c>
      <c r="T35" s="778" t="s">
        <v>17</v>
      </c>
      <c r="U35" s="779">
        <f t="shared" si="13"/>
        <v>100</v>
      </c>
      <c r="V35" s="778" t="s">
        <v>17</v>
      </c>
      <c r="W35" s="779">
        <f t="shared" si="14"/>
        <v>100</v>
      </c>
      <c r="X35" s="780"/>
      <c r="Y35" s="3182"/>
      <c r="Z35" s="781">
        <f t="shared" si="15"/>
        <v>111</v>
      </c>
      <c r="AA35" s="1812">
        <f t="shared" si="3"/>
        <v>1</v>
      </c>
      <c r="AB35" s="1812">
        <f t="shared" si="4"/>
        <v>1</v>
      </c>
      <c r="AC35" s="1812">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182"/>
      <c r="Q36" s="1811">
        <f t="shared" si="11"/>
        <v>111</v>
      </c>
      <c r="R36" s="775" t="s">
        <v>17</v>
      </c>
      <c r="S36" s="776">
        <f t="shared" si="12"/>
        <v>100</v>
      </c>
      <c r="T36" s="775" t="s">
        <v>17</v>
      </c>
      <c r="U36" s="776">
        <f t="shared" si="13"/>
        <v>100</v>
      </c>
      <c r="V36" s="775" t="s">
        <v>17</v>
      </c>
      <c r="W36" s="776">
        <f t="shared" si="14"/>
        <v>100</v>
      </c>
      <c r="X36" s="1814"/>
      <c r="Y36" s="3182"/>
      <c r="Z36" s="1815">
        <f t="shared" si="15"/>
        <v>111</v>
      </c>
      <c r="AA36" s="1812">
        <f t="shared" si="3"/>
        <v>1</v>
      </c>
      <c r="AB36" s="1812">
        <f t="shared" si="4"/>
        <v>1</v>
      </c>
      <c r="AC36" s="1812">
        <f t="shared" si="5"/>
        <v>1</v>
      </c>
    </row>
    <row r="37" spans="1:29" ht="15">
      <c r="A37" s="480" t="s">
        <v>2718</v>
      </c>
      <c r="B37" s="2692" t="s">
        <v>2719</v>
      </c>
      <c r="C37" s="1407" t="s">
        <v>1</v>
      </c>
      <c r="D37" s="1408"/>
      <c r="E37" s="1409"/>
      <c r="F37" s="1410"/>
      <c r="G37" s="1411"/>
      <c r="H37" s="1412"/>
      <c r="I37" s="1409"/>
      <c r="J37" s="1412"/>
      <c r="K37" s="620"/>
      <c r="L37" s="1143"/>
      <c r="M37" s="1144"/>
      <c r="N37" s="1131"/>
      <c r="O37" s="1144"/>
      <c r="P37" s="3175" t="str">
        <f>A37</f>
        <v>成交单价</v>
      </c>
      <c r="Q37" s="3175"/>
      <c r="R37" s="3176">
        <f>E37</f>
        <v>0</v>
      </c>
      <c r="S37" s="3176"/>
      <c r="T37" s="3176">
        <f>G37</f>
        <v>0</v>
      </c>
      <c r="U37" s="3176"/>
      <c r="V37" s="3176">
        <f>I37</f>
        <v>0</v>
      </c>
      <c r="W37" s="3176"/>
      <c r="X37" s="760"/>
      <c r="Y37" s="782"/>
      <c r="Z37" s="760"/>
      <c r="AA37" s="760"/>
      <c r="AB37" s="760"/>
      <c r="AC37" s="760"/>
    </row>
    <row r="38" spans="1:29" ht="15.75" thickBot="1">
      <c r="A38" s="487" t="s">
        <v>2720</v>
      </c>
      <c r="B38" s="488" t="str">
        <f>B37</f>
        <v>元/车位</v>
      </c>
      <c r="C38" s="1413" t="e">
        <f>R39</f>
        <v>#DIV/0!</v>
      </c>
      <c r="D38" s="1414"/>
      <c r="E38" s="1415" t="e">
        <f>R38</f>
        <v>#DIV/0!</v>
      </c>
      <c r="F38" s="1415"/>
      <c r="G38" s="1413" t="e">
        <f>T38</f>
        <v>#DIV/0!</v>
      </c>
      <c r="H38" s="1414"/>
      <c r="I38" s="1415" t="e">
        <f>V38</f>
        <v>#DIV/0!</v>
      </c>
      <c r="J38" s="1414"/>
      <c r="K38" s="621"/>
      <c r="L38" s="1143"/>
      <c r="M38" s="1144"/>
      <c r="N38" s="1144"/>
      <c r="O38" s="1144"/>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60"/>
      <c r="Y38" s="760"/>
      <c r="Z38" s="760"/>
      <c r="AA38" s="760"/>
      <c r="AB38" s="760"/>
      <c r="AC38" s="760"/>
    </row>
    <row r="39" spans="1:29" ht="15.75" thickBot="1">
      <c r="A39" s="493" t="s">
        <v>2721</v>
      </c>
      <c r="B39" s="494"/>
      <c r="C39" s="1417" t="e">
        <f>R39</f>
        <v>#DIV/0!</v>
      </c>
      <c r="D39" s="1417"/>
      <c r="E39" s="1417"/>
      <c r="F39" s="1417"/>
      <c r="G39" s="1417"/>
      <c r="H39" s="1417"/>
      <c r="I39" s="1417"/>
      <c r="J39" s="1417"/>
      <c r="K39" s="622"/>
      <c r="L39" s="1143"/>
      <c r="M39" s="1144"/>
      <c r="N39" s="1144"/>
      <c r="O39" s="1144"/>
      <c r="P39" s="3172" t="str">
        <f>A39</f>
        <v>估价对象XX用房的比较价值（楼面单价，元/平方米）</v>
      </c>
      <c r="Q39" s="3173"/>
      <c r="R39" s="3174" t="e">
        <f>IF(F1="售价",ROUND(AVERAGE(R38:V38),0),ROUND(AVERAGE(R38:V38),1))</f>
        <v>#DIV/0!</v>
      </c>
      <c r="S39" s="3174"/>
      <c r="T39" s="3174"/>
      <c r="U39" s="3174"/>
      <c r="V39" s="3174"/>
      <c r="W39" s="3174"/>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3" customFormat="1" ht="13.5" customHeight="1">
      <c r="A44" s="1145"/>
      <c r="B44" s="1145"/>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9" customFormat="1" ht="15">
      <c r="A48" s="506" t="s">
        <v>2726</v>
      </c>
      <c r="B48" s="507"/>
      <c r="C48" s="1575" t="str">
        <f>YEAR(C7)&amp;"-"&amp;MONTH(C7)</f>
        <v>2017-10</v>
      </c>
      <c r="D48" s="1576">
        <f>EDATE(C48,-1)</f>
        <v>42979</v>
      </c>
      <c r="E48" s="1576">
        <f t="shared" ref="E48:O48" si="16">EDATE(D48,-1)</f>
        <v>42948</v>
      </c>
      <c r="F48" s="1576">
        <f t="shared" si="16"/>
        <v>42917</v>
      </c>
      <c r="G48" s="1576">
        <f t="shared" si="16"/>
        <v>42887</v>
      </c>
      <c r="H48" s="1576">
        <f t="shared" si="16"/>
        <v>42856</v>
      </c>
      <c r="I48" s="1576">
        <f t="shared" si="16"/>
        <v>42826</v>
      </c>
      <c r="J48" s="1576">
        <f t="shared" si="16"/>
        <v>42795</v>
      </c>
      <c r="K48" s="1576">
        <f t="shared" si="16"/>
        <v>42767</v>
      </c>
      <c r="L48" s="1576">
        <f t="shared" si="16"/>
        <v>42736</v>
      </c>
      <c r="M48" s="1576">
        <f t="shared" si="16"/>
        <v>42705</v>
      </c>
      <c r="N48" s="1576">
        <f t="shared" si="16"/>
        <v>42675</v>
      </c>
      <c r="O48" s="1576">
        <f t="shared" si="16"/>
        <v>42644</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2583</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2548</v>
      </c>
      <c r="B51" s="511"/>
      <c r="C51" s="523" t="s">
        <v>2650</v>
      </c>
      <c r="D51" s="524"/>
      <c r="E51" s="524"/>
      <c r="F51" s="524"/>
      <c r="G51" s="524"/>
      <c r="H51" s="524"/>
      <c r="I51" s="524"/>
      <c r="J51" s="524"/>
      <c r="K51" s="524"/>
      <c r="L51" s="525"/>
      <c r="M51" s="526"/>
      <c r="N51" s="1151"/>
      <c r="O51" s="1151"/>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1"/>
      <c r="O52" s="1151"/>
      <c r="P52" s="1428"/>
      <c r="Q52" s="1423"/>
      <c r="R52" s="1427"/>
      <c r="S52" s="1427"/>
      <c r="T52" s="1427"/>
      <c r="U52" s="1427"/>
      <c r="V52" s="1427"/>
      <c r="W52" s="1427"/>
      <c r="X52" s="1427"/>
      <c r="Y52" s="1427"/>
      <c r="Z52" s="1427"/>
      <c r="AA52" s="1427"/>
      <c r="AB52" s="1427"/>
      <c r="AC52" s="1427"/>
    </row>
    <row r="53" spans="1:29">
      <c r="A53" s="528" t="s">
        <v>2586</v>
      </c>
      <c r="B53" s="529" t="s">
        <v>2552</v>
      </c>
      <c r="C53" s="530">
        <f>C9</f>
        <v>0</v>
      </c>
      <c r="D53" s="531"/>
      <c r="E53" s="531"/>
      <c r="F53" s="531"/>
      <c r="G53" s="531"/>
      <c r="H53" s="531"/>
      <c r="I53" s="531"/>
      <c r="J53" s="531"/>
      <c r="K53" s="532"/>
      <c r="L53" s="533"/>
      <c r="M53" s="534"/>
      <c r="N53" s="1152"/>
      <c r="O53" s="1152"/>
      <c r="P53" s="1429"/>
      <c r="Q53" s="1423"/>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9"/>
      <c r="Q54" s="1423"/>
      <c r="R54" s="1144"/>
      <c r="S54" s="1144"/>
      <c r="T54" s="1144"/>
      <c r="U54" s="1144"/>
      <c r="V54" s="1144"/>
      <c r="W54" s="1144"/>
      <c r="X54" s="1144"/>
      <c r="Y54" s="1144"/>
      <c r="Z54" s="1144"/>
      <c r="AA54" s="1144"/>
      <c r="AB54" s="1144"/>
      <c r="AC54" s="1144"/>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2"/>
      <c r="O55" s="1152"/>
      <c r="P55" s="1429"/>
      <c r="Q55" s="1423"/>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3"/>
      <c r="O56" s="1153"/>
      <c r="P56" s="1429"/>
      <c r="Q56" s="1423"/>
      <c r="R56" s="1144"/>
      <c r="S56" s="1144"/>
      <c r="T56" s="1144"/>
      <c r="U56" s="1144"/>
      <c r="V56" s="1144"/>
      <c r="W56" s="1144"/>
      <c r="X56" s="1144"/>
      <c r="Y56" s="1144"/>
      <c r="Z56" s="1144"/>
      <c r="AA56" s="1144"/>
      <c r="AB56" s="1144"/>
      <c r="AC56" s="1144"/>
    </row>
    <row r="57" spans="1:29" ht="15.75" thickTop="1">
      <c r="A57" s="535"/>
      <c r="B57" s="661">
        <f>B11</f>
        <v>111</v>
      </c>
      <c r="C57" s="550"/>
      <c r="D57" s="550"/>
      <c r="E57" s="550"/>
      <c r="F57" s="550"/>
      <c r="G57" s="550"/>
      <c r="H57" s="550"/>
      <c r="I57" s="550"/>
      <c r="J57" s="550"/>
      <c r="K57" s="551"/>
      <c r="L57" s="552"/>
      <c r="M57" s="553"/>
      <c r="N57" s="1152"/>
      <c r="O57" s="1152"/>
      <c r="P57" s="1429"/>
      <c r="Q57" s="1423"/>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9"/>
      <c r="Q58" s="1423"/>
      <c r="R58" s="1144"/>
      <c r="S58" s="1144"/>
      <c r="T58" s="1144"/>
      <c r="U58" s="1144"/>
      <c r="V58" s="1144"/>
      <c r="W58" s="1144"/>
      <c r="X58" s="1144"/>
      <c r="Y58" s="1144"/>
      <c r="Z58" s="1144"/>
      <c r="AA58" s="1144"/>
      <c r="AB58" s="1144"/>
      <c r="AC58" s="1144"/>
    </row>
    <row r="59" spans="1:29" s="472" customFormat="1" ht="15.75" thickTop="1">
      <c r="A59" s="554"/>
      <c r="B59" s="539">
        <f>B12</f>
        <v>111</v>
      </c>
      <c r="C59" s="550"/>
      <c r="D59" s="550"/>
      <c r="E59" s="550"/>
      <c r="F59" s="550"/>
      <c r="G59" s="555"/>
      <c r="H59" s="556"/>
      <c r="I59" s="556"/>
      <c r="J59" s="556"/>
      <c r="K59" s="556"/>
      <c r="L59" s="557"/>
      <c r="M59" s="558"/>
      <c r="N59" s="1154"/>
      <c r="O59" s="1154"/>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3"/>
      <c r="O60" s="1153"/>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4"/>
      <c r="O61" s="1154"/>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4"/>
      <c r="O62" s="1154"/>
      <c r="P62" s="1430"/>
      <c r="Q62" s="1431"/>
      <c r="R62" s="1432"/>
      <c r="S62" s="1432"/>
      <c r="T62" s="1432"/>
      <c r="U62" s="1432"/>
      <c r="V62" s="1432"/>
      <c r="W62" s="1432"/>
      <c r="X62" s="1432"/>
      <c r="Y62" s="1432"/>
      <c r="Z62" s="1432"/>
      <c r="AA62" s="1432"/>
      <c r="AB62" s="1432"/>
      <c r="AC62" s="1432"/>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2"/>
      <c r="O63" s="1152"/>
      <c r="P63" s="1435"/>
      <c r="Q63" s="1423"/>
      <c r="R63" s="1144"/>
      <c r="S63" s="1144"/>
      <c r="T63" s="1144"/>
      <c r="U63" s="1144"/>
      <c r="V63" s="1144"/>
      <c r="W63" s="1144"/>
      <c r="X63" s="1144"/>
      <c r="Y63" s="1144"/>
      <c r="Z63" s="1144"/>
      <c r="AA63" s="1144"/>
      <c r="AB63" s="1144"/>
      <c r="AC63" s="1144"/>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3"/>
      <c r="O64" s="1153"/>
      <c r="P64" s="1429"/>
      <c r="Q64" s="1423"/>
      <c r="R64" s="1144"/>
      <c r="S64" s="1144"/>
      <c r="T64" s="1144"/>
      <c r="U64" s="1144"/>
      <c r="V64" s="1144"/>
      <c r="W64" s="1144"/>
      <c r="X64" s="1144"/>
      <c r="Y64" s="1144"/>
      <c r="Z64" s="1144"/>
      <c r="AA64" s="1144"/>
      <c r="AB64" s="1144"/>
      <c r="AC64" s="1144"/>
    </row>
    <row r="65" spans="1:29" ht="15.75" thickTop="1">
      <c r="A65" s="535"/>
      <c r="B65" s="539" t="s">
        <v>2601</v>
      </c>
      <c r="C65" s="579" t="s">
        <v>2595</v>
      </c>
      <c r="D65" s="579" t="s">
        <v>2596</v>
      </c>
      <c r="E65" s="579" t="s">
        <v>2597</v>
      </c>
      <c r="F65" s="579" t="s">
        <v>2598</v>
      </c>
      <c r="G65" s="579" t="s">
        <v>2599</v>
      </c>
      <c r="H65" s="540"/>
      <c r="I65" s="540"/>
      <c r="J65" s="540"/>
      <c r="K65" s="541"/>
      <c r="L65" s="542"/>
      <c r="M65" s="543"/>
      <c r="N65" s="1152"/>
      <c r="O65" s="1152"/>
      <c r="P65" s="1429"/>
      <c r="Q65" s="1423"/>
      <c r="R65" s="1144"/>
      <c r="S65" s="1144"/>
      <c r="T65" s="1144"/>
      <c r="U65" s="1144"/>
      <c r="V65" s="1144"/>
      <c r="W65" s="1144"/>
      <c r="X65" s="1144"/>
      <c r="Y65" s="1144"/>
      <c r="Z65" s="1144"/>
      <c r="AA65" s="1144"/>
      <c r="AB65" s="1144"/>
      <c r="AC65" s="1144"/>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3"/>
      <c r="O66" s="1153"/>
      <c r="P66" s="1429"/>
      <c r="Q66" s="1423"/>
      <c r="R66" s="1144"/>
      <c r="S66" s="1144"/>
      <c r="T66" s="1144"/>
      <c r="U66" s="1144"/>
      <c r="V66" s="1144"/>
      <c r="W66" s="1144"/>
      <c r="X66" s="1144"/>
      <c r="Y66" s="1144"/>
      <c r="Z66" s="1144"/>
      <c r="AA66" s="1144"/>
      <c r="AB66" s="1144"/>
      <c r="AC66" s="1144"/>
    </row>
    <row r="67" spans="1:29" ht="15.75" thickTop="1">
      <c r="A67" s="535"/>
      <c r="B67" s="547" t="s">
        <v>2687</v>
      </c>
      <c r="C67" s="661" t="s">
        <v>2673</v>
      </c>
      <c r="D67" s="661" t="s">
        <v>2674</v>
      </c>
      <c r="E67" s="661" t="s">
        <v>2675</v>
      </c>
      <c r="F67" s="661" t="s">
        <v>2676</v>
      </c>
      <c r="G67" s="661" t="s">
        <v>2677</v>
      </c>
      <c r="H67" s="540"/>
      <c r="I67" s="540"/>
      <c r="J67" s="540"/>
      <c r="K67" s="540"/>
      <c r="L67" s="540"/>
      <c r="M67" s="1382"/>
      <c r="N67" s="1153"/>
      <c r="O67" s="1153"/>
      <c r="P67" s="1429"/>
      <c r="Q67" s="1423"/>
      <c r="R67" s="1144"/>
      <c r="S67" s="1144"/>
      <c r="T67" s="1144"/>
      <c r="U67" s="1144"/>
      <c r="V67" s="1144"/>
      <c r="W67" s="1144"/>
      <c r="X67" s="1144"/>
      <c r="Y67" s="1144"/>
      <c r="Z67" s="1144"/>
      <c r="AA67" s="1144"/>
      <c r="AB67" s="1144"/>
      <c r="AC67" s="1144"/>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3"/>
      <c r="O68" s="1153"/>
      <c r="P68" s="1429"/>
      <c r="Q68" s="1423"/>
      <c r="R68" s="1144"/>
      <c r="S68" s="1144"/>
      <c r="T68" s="1144"/>
      <c r="U68" s="1144"/>
      <c r="V68" s="1144"/>
      <c r="W68" s="1144"/>
      <c r="X68" s="1144"/>
      <c r="Y68" s="1144"/>
      <c r="Z68" s="1144"/>
      <c r="AA68" s="1144"/>
      <c r="AB68" s="1144"/>
      <c r="AC68" s="1144"/>
    </row>
    <row r="69" spans="1:29" ht="15.75" thickTop="1">
      <c r="A69" s="535"/>
      <c r="B69" s="539" t="s">
        <v>2607</v>
      </c>
      <c r="C69" s="579" t="s">
        <v>2595</v>
      </c>
      <c r="D69" s="579" t="s">
        <v>2596</v>
      </c>
      <c r="E69" s="579" t="s">
        <v>2597</v>
      </c>
      <c r="F69" s="579" t="s">
        <v>2598</v>
      </c>
      <c r="G69" s="579" t="s">
        <v>2599</v>
      </c>
      <c r="H69" s="540"/>
      <c r="I69" s="540"/>
      <c r="J69" s="540"/>
      <c r="K69" s="541"/>
      <c r="L69" s="542"/>
      <c r="M69" s="543"/>
      <c r="N69" s="1152"/>
      <c r="O69" s="1152"/>
      <c r="P69" s="1429"/>
      <c r="Q69" s="1423"/>
      <c r="R69" s="1144"/>
      <c r="S69" s="1144"/>
      <c r="T69" s="1144"/>
      <c r="U69" s="1144"/>
      <c r="V69" s="1144"/>
      <c r="W69" s="1144"/>
      <c r="X69" s="1144"/>
      <c r="Y69" s="1144"/>
      <c r="Z69" s="1144"/>
      <c r="AA69" s="1144"/>
      <c r="AB69" s="1144"/>
      <c r="AC69" s="1144"/>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3"/>
      <c r="O70" s="1153"/>
      <c r="P70" s="1429"/>
      <c r="Q70" s="1423"/>
      <c r="R70" s="1144"/>
      <c r="S70" s="1144"/>
      <c r="T70" s="1144"/>
      <c r="U70" s="1144"/>
      <c r="V70" s="1144"/>
      <c r="W70" s="1144"/>
      <c r="X70" s="1144"/>
      <c r="Y70" s="1144"/>
      <c r="Z70" s="1144"/>
      <c r="AA70" s="1144"/>
      <c r="AB70" s="1144"/>
      <c r="AC70" s="1144"/>
    </row>
    <row r="71" spans="1:29" ht="15.75" thickTop="1">
      <c r="A71" s="535"/>
      <c r="B71" s="539" t="s">
        <v>2727</v>
      </c>
      <c r="C71" s="555"/>
      <c r="D71" s="555"/>
      <c r="E71" s="555"/>
      <c r="F71" s="555"/>
      <c r="G71" s="555"/>
      <c r="H71" s="584"/>
      <c r="I71" s="584"/>
      <c r="J71" s="584"/>
      <c r="K71" s="585"/>
      <c r="L71" s="586"/>
      <c r="M71" s="587"/>
      <c r="N71" s="1152"/>
      <c r="O71" s="1152"/>
      <c r="P71" s="1429"/>
      <c r="Q71" s="1423"/>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9"/>
      <c r="Q72" s="1423"/>
      <c r="R72" s="1144"/>
      <c r="S72" s="1144"/>
      <c r="T72" s="1144"/>
      <c r="U72" s="1144"/>
      <c r="V72" s="1144"/>
      <c r="W72" s="1144"/>
      <c r="X72" s="1144"/>
      <c r="Y72" s="1144"/>
      <c r="Z72" s="1144"/>
      <c r="AA72" s="1144"/>
      <c r="AB72" s="1144"/>
      <c r="AC72" s="1144"/>
    </row>
    <row r="73" spans="1:29" s="117" customFormat="1" ht="15.75" thickTop="1">
      <c r="A73" s="580"/>
      <c r="B73" s="539">
        <f>B23</f>
        <v>111</v>
      </c>
      <c r="C73" s="550"/>
      <c r="D73" s="550"/>
      <c r="E73" s="550"/>
      <c r="F73" s="550"/>
      <c r="G73" s="555"/>
      <c r="H73" s="555"/>
      <c r="I73" s="555"/>
      <c r="J73" s="555"/>
      <c r="K73" s="555"/>
      <c r="L73" s="581"/>
      <c r="M73" s="582"/>
      <c r="N73" s="1151"/>
      <c r="O73" s="1151"/>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3"/>
      <c r="O74" s="1153"/>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1"/>
      <c r="O75" s="1151"/>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3"/>
      <c r="O76" s="1153"/>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4"/>
      <c r="O77" s="1154"/>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4"/>
      <c r="O78" s="1154"/>
      <c r="P78" s="1430"/>
      <c r="Q78" s="1431"/>
      <c r="R78" s="1432"/>
      <c r="S78" s="1432"/>
      <c r="T78" s="1432"/>
      <c r="U78" s="1432"/>
      <c r="V78" s="1432"/>
      <c r="W78" s="1432"/>
      <c r="X78" s="1432"/>
      <c r="Y78" s="1432"/>
      <c r="Z78" s="1432"/>
      <c r="AA78" s="1432"/>
      <c r="AB78" s="1432"/>
      <c r="AC78" s="1432"/>
    </row>
    <row r="79" spans="1:29" ht="27.75" thickTop="1">
      <c r="A79" s="528" t="s">
        <v>2561</v>
      </c>
      <c r="B79" s="529" t="s">
        <v>2728</v>
      </c>
      <c r="C79" s="530">
        <f>C26</f>
        <v>0</v>
      </c>
      <c r="D79" s="531"/>
      <c r="E79" s="531"/>
      <c r="F79" s="531"/>
      <c r="G79" s="531"/>
      <c r="H79" s="531"/>
      <c r="I79" s="531"/>
      <c r="J79" s="531"/>
      <c r="K79" s="532"/>
      <c r="L79" s="533"/>
      <c r="M79" s="534"/>
      <c r="N79" s="1152"/>
      <c r="O79" s="1152"/>
      <c r="P79" s="1429"/>
      <c r="Q79" s="1423"/>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5"/>
      <c r="B81" s="539" t="s">
        <v>2729</v>
      </c>
      <c r="C81" s="662"/>
      <c r="D81" s="662"/>
      <c r="E81" s="662"/>
      <c r="F81" s="662"/>
      <c r="G81" s="662"/>
      <c r="H81" s="662"/>
      <c r="I81" s="662"/>
      <c r="J81" s="662"/>
      <c r="K81" s="663"/>
      <c r="L81" s="664"/>
      <c r="M81" s="665"/>
      <c r="N81" s="1151"/>
      <c r="O81" s="1151"/>
      <c r="P81" s="1429"/>
      <c r="Q81" s="1423"/>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30"/>
      <c r="Q82" s="1431"/>
      <c r="R82" s="1432"/>
      <c r="S82" s="1432"/>
      <c r="T82" s="1432"/>
      <c r="U82" s="1432"/>
      <c r="V82" s="1432"/>
      <c r="W82" s="1432"/>
      <c r="X82" s="1432"/>
      <c r="Y82" s="1432"/>
      <c r="Z82" s="1432"/>
      <c r="AA82" s="1432"/>
      <c r="AB82" s="1432"/>
      <c r="AC82" s="1432"/>
    </row>
    <row r="83" spans="1:29" ht="15" thickTop="1">
      <c r="A83" s="600"/>
      <c r="B83" s="539" t="s">
        <v>2614</v>
      </c>
      <c r="C83" s="555"/>
      <c r="D83" s="555"/>
      <c r="E83" s="584"/>
      <c r="F83" s="584"/>
      <c r="G83" s="584"/>
      <c r="H83" s="584"/>
      <c r="I83" s="584"/>
      <c r="J83" s="584"/>
      <c r="K83" s="585"/>
      <c r="L83" s="586"/>
      <c r="M83" s="587"/>
      <c r="N83" s="1152"/>
      <c r="O83" s="1152"/>
      <c r="P83" s="1429"/>
      <c r="Q83" s="1423"/>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3"/>
      <c r="O84" s="1153"/>
      <c r="P84" s="1429"/>
      <c r="Q84" s="1423"/>
      <c r="R84" s="1144"/>
      <c r="S84" s="1144"/>
      <c r="T84" s="1144"/>
      <c r="U84" s="1144"/>
      <c r="V84" s="1144"/>
      <c r="W84" s="1144"/>
      <c r="X84" s="1144"/>
      <c r="Y84" s="1144"/>
      <c r="Z84" s="1144"/>
      <c r="AA84" s="1144"/>
      <c r="AB84" s="1144"/>
      <c r="AC84" s="1144"/>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9"/>
      <c r="Q85" s="1423"/>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9"/>
      <c r="Q86" s="1423"/>
      <c r="R86" s="1144"/>
      <c r="S86" s="1144"/>
      <c r="T86" s="1144"/>
      <c r="U86" s="1144"/>
      <c r="V86" s="1144"/>
      <c r="W86" s="1144"/>
      <c r="X86" s="1144"/>
      <c r="Y86" s="1144"/>
      <c r="Z86" s="1144"/>
      <c r="AA86" s="1144"/>
      <c r="AB86" s="1144"/>
      <c r="AC86" s="1144"/>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3"/>
      <c r="O87" s="1153"/>
      <c r="P87" s="1429"/>
      <c r="Q87" s="1423"/>
      <c r="R87" s="1144"/>
      <c r="S87" s="1144"/>
      <c r="T87" s="1144"/>
      <c r="U87" s="1144"/>
      <c r="V87" s="1144"/>
      <c r="W87" s="1144"/>
      <c r="X87" s="1144"/>
      <c r="Y87" s="1144"/>
      <c r="Z87" s="1144"/>
      <c r="AA87" s="1144"/>
      <c r="AB87" s="1144"/>
      <c r="AC87" s="1144"/>
    </row>
    <row r="88" spans="1:29" ht="15" thickTop="1">
      <c r="A88" s="600"/>
      <c r="B88" s="547" t="s">
        <v>2731</v>
      </c>
      <c r="C88" s="531"/>
      <c r="D88" s="531"/>
      <c r="E88" s="531"/>
      <c r="F88" s="531"/>
      <c r="G88" s="531"/>
      <c r="H88" s="531"/>
      <c r="I88" s="531"/>
      <c r="J88" s="531"/>
      <c r="K88" s="532"/>
      <c r="L88" s="533"/>
      <c r="M88" s="534"/>
      <c r="N88" s="1152"/>
      <c r="O88" s="1152"/>
      <c r="P88" s="1429"/>
      <c r="Q88" s="1423"/>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9"/>
      <c r="Q89" s="1423"/>
      <c r="R89" s="1144"/>
      <c r="S89" s="1144"/>
      <c r="T89" s="1144"/>
      <c r="U89" s="1144"/>
      <c r="V89" s="1144"/>
      <c r="W89" s="1144"/>
      <c r="X89" s="1144"/>
      <c r="Y89" s="1144"/>
      <c r="Z89" s="1144"/>
      <c r="AA89" s="1144"/>
      <c r="AB89" s="1144"/>
      <c r="AC89" s="1144"/>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4"/>
      <c r="O91" s="1154"/>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4"/>
      <c r="O92" s="1154"/>
      <c r="P92" s="1430"/>
      <c r="Q92" s="1431"/>
      <c r="R92" s="1432"/>
      <c r="S92" s="1432"/>
      <c r="T92" s="1432"/>
      <c r="U92" s="1432"/>
      <c r="V92" s="1432"/>
      <c r="W92" s="1432"/>
      <c r="X92" s="1432"/>
      <c r="Y92" s="1432"/>
      <c r="Z92" s="1432"/>
      <c r="AA92" s="1432"/>
      <c r="AB92" s="1432"/>
      <c r="AC92" s="1432"/>
    </row>
    <row r="93" spans="1:29" ht="15" thickTop="1">
      <c r="A93" s="600"/>
      <c r="B93" s="539" t="s">
        <v>2733</v>
      </c>
      <c r="C93" s="555"/>
      <c r="D93" s="555"/>
      <c r="E93" s="584"/>
      <c r="F93" s="584"/>
      <c r="G93" s="584"/>
      <c r="H93" s="584"/>
      <c r="I93" s="584"/>
      <c r="J93" s="584"/>
      <c r="K93" s="585"/>
      <c r="L93" s="586"/>
      <c r="M93" s="587"/>
      <c r="N93" s="1152"/>
      <c r="O93" s="1152"/>
      <c r="P93" s="1429"/>
      <c r="Q93" s="1423"/>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3"/>
      <c r="O94" s="1153"/>
      <c r="P94" s="1429"/>
      <c r="Q94" s="1423"/>
      <c r="R94" s="1144"/>
      <c r="S94" s="1144"/>
      <c r="T94" s="1144"/>
      <c r="U94" s="1144"/>
      <c r="V94" s="1144"/>
      <c r="W94" s="1144"/>
      <c r="X94" s="1144"/>
      <c r="Y94" s="1144"/>
      <c r="Z94" s="1144"/>
      <c r="AA94" s="1144"/>
      <c r="AB94" s="1144"/>
      <c r="AC94" s="1144"/>
    </row>
    <row r="95" spans="1:29" ht="15" thickTop="1">
      <c r="A95" s="600"/>
      <c r="B95" s="539" t="s">
        <v>2734</v>
      </c>
      <c r="C95" s="531"/>
      <c r="D95" s="531"/>
      <c r="E95" s="531"/>
      <c r="F95" s="531"/>
      <c r="G95" s="531"/>
      <c r="H95" s="531"/>
      <c r="I95" s="531"/>
      <c r="J95" s="531"/>
      <c r="K95" s="532"/>
      <c r="L95" s="533"/>
      <c r="M95" s="534"/>
      <c r="N95" s="1152"/>
      <c r="O95" s="1152"/>
      <c r="P95" s="1429"/>
      <c r="Q95" s="1423"/>
      <c r="R95" s="1144"/>
      <c r="S95" s="1144"/>
      <c r="T95" s="1144"/>
      <c r="U95" s="1144"/>
      <c r="V95" s="1144"/>
      <c r="W95" s="1144"/>
      <c r="X95" s="1144"/>
      <c r="Y95" s="1144"/>
      <c r="Z95" s="1144"/>
      <c r="AA95" s="1144"/>
      <c r="AB95" s="1144"/>
      <c r="AC95" s="1144"/>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3"/>
      <c r="O96" s="1153"/>
      <c r="P96" s="1429"/>
      <c r="Q96" s="1423"/>
      <c r="R96" s="1144"/>
      <c r="S96" s="1144"/>
      <c r="T96" s="1144"/>
      <c r="U96" s="1144"/>
      <c r="V96" s="1144"/>
      <c r="W96" s="1144"/>
      <c r="X96" s="1144"/>
      <c r="Y96" s="1144"/>
      <c r="Z96" s="1144"/>
      <c r="AA96" s="1144"/>
      <c r="AB96" s="1144"/>
      <c r="AC96" s="1144"/>
    </row>
    <row r="97" spans="1:29" ht="15" thickTop="1">
      <c r="A97" s="600"/>
      <c r="B97" s="637">
        <f>B34</f>
        <v>111</v>
      </c>
      <c r="C97" s="550"/>
      <c r="D97" s="550"/>
      <c r="E97" s="550"/>
      <c r="F97" s="550"/>
      <c r="G97" s="555"/>
      <c r="H97" s="556"/>
      <c r="I97" s="556"/>
      <c r="J97" s="556"/>
      <c r="K97" s="556"/>
      <c r="L97" s="557"/>
      <c r="M97" s="558"/>
      <c r="N97" s="1153"/>
      <c r="O97" s="1153"/>
      <c r="P97" s="1436"/>
      <c r="Q97" s="1437"/>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9"/>
      <c r="Q98" s="1423"/>
      <c r="R98" s="1144"/>
      <c r="S98" s="1144"/>
      <c r="T98" s="1144"/>
      <c r="U98" s="1144"/>
      <c r="V98" s="1144"/>
      <c r="W98" s="1144"/>
      <c r="X98" s="1144"/>
      <c r="Y98" s="1144"/>
      <c r="Z98" s="1144"/>
      <c r="AA98" s="1144"/>
      <c r="AB98" s="1144"/>
      <c r="AC98" s="1144"/>
    </row>
    <row r="99" spans="1:29" s="472" customFormat="1" ht="15" thickTop="1">
      <c r="A99" s="594"/>
      <c r="B99" s="539">
        <f>B35</f>
        <v>111</v>
      </c>
      <c r="C99" s="550"/>
      <c r="D99" s="550"/>
      <c r="E99" s="550"/>
      <c r="F99" s="550"/>
      <c r="G99" s="555"/>
      <c r="H99" s="556"/>
      <c r="I99" s="556"/>
      <c r="J99" s="556"/>
      <c r="K99" s="556"/>
      <c r="L99" s="557"/>
      <c r="M99" s="558"/>
      <c r="N99" s="1154"/>
      <c r="O99" s="1154"/>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4"/>
      <c r="O100" s="1154"/>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2"/>
      <c r="O101" s="1152"/>
      <c r="P101" s="1429"/>
      <c r="Q101" s="1423"/>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2705</v>
      </c>
      <c r="B1" s="1620"/>
      <c r="C1" s="1621" t="s">
        <v>2528</v>
      </c>
      <c r="D1" s="1622"/>
      <c r="E1" s="1631"/>
      <c r="F1" s="2581"/>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0" t="s">
        <v>2644</v>
      </c>
      <c r="D4" s="3191"/>
      <c r="E4" s="3192" t="s">
        <v>2645</v>
      </c>
      <c r="F4" s="3193"/>
      <c r="G4" s="3190" t="s">
        <v>2646</v>
      </c>
      <c r="H4" s="3191"/>
      <c r="I4" s="3190" t="s">
        <v>2647</v>
      </c>
      <c r="J4" s="3191"/>
      <c r="K4" s="611" t="s">
        <v>2648</v>
      </c>
      <c r="L4" s="1130"/>
      <c r="M4" s="1131"/>
      <c r="N4" s="1131"/>
      <c r="O4" s="1131"/>
      <c r="P4" s="3194" t="s">
        <v>2649</v>
      </c>
      <c r="Q4" s="3195"/>
      <c r="R4" s="3200" t="s">
        <v>2645</v>
      </c>
      <c r="S4" s="3201"/>
      <c r="T4" s="3200" t="s">
        <v>2646</v>
      </c>
      <c r="U4" s="3201"/>
      <c r="V4" s="3206" t="s">
        <v>2647</v>
      </c>
      <c r="W4" s="3206"/>
      <c r="X4" s="1814"/>
      <c r="Y4" s="3200" t="s">
        <v>2649</v>
      </c>
      <c r="Z4" s="3201"/>
      <c r="AA4" s="3187" t="s">
        <v>2645</v>
      </c>
      <c r="AB4" s="3188" t="s">
        <v>2646</v>
      </c>
      <c r="AC4" s="3187" t="s">
        <v>2647</v>
      </c>
    </row>
    <row r="5" spans="1:29" ht="15">
      <c r="A5" s="405"/>
      <c r="B5" s="406"/>
      <c r="C5" s="3209" t="s">
        <v>2540</v>
      </c>
      <c r="D5" s="3210"/>
      <c r="E5" s="3216" t="s">
        <v>2541</v>
      </c>
      <c r="F5" s="3217"/>
      <c r="G5" s="3209" t="s">
        <v>2542</v>
      </c>
      <c r="H5" s="3210"/>
      <c r="I5" s="3209" t="s">
        <v>2543</v>
      </c>
      <c r="J5" s="3210"/>
      <c r="K5" s="611"/>
      <c r="L5" s="1130"/>
      <c r="M5" s="1131"/>
      <c r="N5" s="1131"/>
      <c r="O5" s="1131"/>
      <c r="P5" s="3196"/>
      <c r="Q5" s="3197"/>
      <c r="R5" s="3202"/>
      <c r="S5" s="3203"/>
      <c r="T5" s="3202"/>
      <c r="U5" s="3203"/>
      <c r="V5" s="3206"/>
      <c r="W5" s="3206"/>
      <c r="X5" s="1814"/>
      <c r="Y5" s="3202"/>
      <c r="Z5" s="3203"/>
      <c r="AA5" s="3188"/>
      <c r="AB5" s="3188"/>
      <c r="AC5" s="3188"/>
    </row>
    <row r="6" spans="1:29" ht="15.75" thickBot="1">
      <c r="A6" s="407"/>
      <c r="B6" s="408"/>
      <c r="C6" s="3207" t="s">
        <v>2544</v>
      </c>
      <c r="D6" s="3208"/>
      <c r="E6" s="3214" t="s">
        <v>2544</v>
      </c>
      <c r="F6" s="3215"/>
      <c r="G6" s="3207" t="s">
        <v>2544</v>
      </c>
      <c r="H6" s="3208"/>
      <c r="I6" s="3207" t="s">
        <v>2544</v>
      </c>
      <c r="J6" s="3208"/>
      <c r="K6" s="611" t="s">
        <v>2545</v>
      </c>
      <c r="L6" s="1130"/>
      <c r="M6" s="1131"/>
      <c r="N6" s="1131"/>
      <c r="O6" s="1131"/>
      <c r="P6" s="3198"/>
      <c r="Q6" s="3199"/>
      <c r="R6" s="3202"/>
      <c r="S6" s="3203"/>
      <c r="T6" s="3204"/>
      <c r="U6" s="3205"/>
      <c r="V6" s="3206"/>
      <c r="W6" s="3206"/>
      <c r="X6" s="1814"/>
      <c r="Y6" s="3204"/>
      <c r="Z6" s="3205"/>
      <c r="AA6" s="3189"/>
      <c r="AB6" s="3189"/>
      <c r="AC6" s="3189"/>
    </row>
    <row r="7" spans="1:29" s="117" customFormat="1" ht="15.75" thickBot="1">
      <c r="A7" s="409" t="s">
        <v>2546</v>
      </c>
      <c r="B7" s="410"/>
      <c r="C7" s="411">
        <f>'数据-取费表'!B2</f>
        <v>43039</v>
      </c>
      <c r="D7" s="412">
        <v>100</v>
      </c>
      <c r="E7" s="413"/>
      <c r="F7" s="414">
        <f>SUMIF(46:46,YEAR(E7)&amp;"-"&amp;MONTH(E7),47:47)</f>
        <v>0</v>
      </c>
      <c r="G7" s="2693"/>
      <c r="H7" s="412">
        <f>SUMIF(46:46,YEAR(G7)&amp;"-"&amp;MONTH(G7),47:47)</f>
        <v>0</v>
      </c>
      <c r="I7" s="413"/>
      <c r="J7" s="412">
        <f>SUMIF(46:46,YEAR(I7)&amp;"-"&amp;MONTH(I7),47:47)</f>
        <v>0</v>
      </c>
      <c r="K7" s="612"/>
      <c r="L7" s="1132"/>
      <c r="M7" s="1133"/>
      <c r="N7" s="1133"/>
      <c r="O7" s="1133"/>
      <c r="P7" s="3211" t="s">
        <v>2547</v>
      </c>
      <c r="Q7" s="3213"/>
      <c r="R7" s="771" t="s">
        <v>17</v>
      </c>
      <c r="S7" s="772">
        <f t="shared" ref="S7:S14" si="0">F7</f>
        <v>0</v>
      </c>
      <c r="T7" s="771" t="s">
        <v>17</v>
      </c>
      <c r="U7" s="772">
        <f t="shared" ref="U7:U14" si="1">H7</f>
        <v>0</v>
      </c>
      <c r="V7" s="771" t="s">
        <v>17</v>
      </c>
      <c r="W7" s="772">
        <f t="shared" ref="W7:W14" si="2">J7</f>
        <v>0</v>
      </c>
      <c r="X7" s="773"/>
      <c r="Y7" s="3211" t="s">
        <v>2547</v>
      </c>
      <c r="Z7" s="3212"/>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11" t="s">
        <v>2550</v>
      </c>
      <c r="Q8" s="3212"/>
      <c r="R8" s="771" t="s">
        <v>17</v>
      </c>
      <c r="S8" s="772">
        <f t="shared" si="0"/>
        <v>0</v>
      </c>
      <c r="T8" s="771" t="s">
        <v>17</v>
      </c>
      <c r="U8" s="772">
        <f t="shared" si="1"/>
        <v>0</v>
      </c>
      <c r="V8" s="771" t="s">
        <v>17</v>
      </c>
      <c r="W8" s="772">
        <f t="shared" si="2"/>
        <v>0</v>
      </c>
      <c r="X8" s="773"/>
      <c r="Y8" s="3211" t="s">
        <v>2550</v>
      </c>
      <c r="Z8" s="3212"/>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175" t="s">
        <v>2553</v>
      </c>
      <c r="Q9" s="1796" t="str">
        <f t="shared" ref="Q9:Q14" si="6">B9</f>
        <v>用途</v>
      </c>
      <c r="R9" s="771" t="s">
        <v>17</v>
      </c>
      <c r="S9" s="772">
        <f t="shared" si="0"/>
        <v>100</v>
      </c>
      <c r="T9" s="771" t="s">
        <v>17</v>
      </c>
      <c r="U9" s="772">
        <f t="shared" si="1"/>
        <v>100</v>
      </c>
      <c r="V9" s="771" t="s">
        <v>17</v>
      </c>
      <c r="W9" s="772">
        <f t="shared" si="2"/>
        <v>100</v>
      </c>
      <c r="X9" s="773"/>
      <c r="Y9" s="3000"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175"/>
      <c r="Q10" s="1796" t="str">
        <f t="shared" si="6"/>
        <v>土地使用年限（年）</v>
      </c>
      <c r="R10" s="771" t="s">
        <v>17</v>
      </c>
      <c r="S10" s="772">
        <f t="shared" si="0"/>
        <v>100</v>
      </c>
      <c r="T10" s="771" t="s">
        <v>17</v>
      </c>
      <c r="U10" s="772">
        <f t="shared" si="1"/>
        <v>100</v>
      </c>
      <c r="V10" s="771" t="s">
        <v>17</v>
      </c>
      <c r="W10" s="772">
        <f t="shared" si="2"/>
        <v>100</v>
      </c>
      <c r="X10" s="773"/>
      <c r="Y10" s="3000"/>
      <c r="Z10" s="55" t="str">
        <f t="shared" si="7"/>
        <v>土地使用年限（年）</v>
      </c>
      <c r="AA10" s="774">
        <f t="shared" si="3"/>
        <v>1</v>
      </c>
      <c r="AB10" s="774">
        <f t="shared" si="4"/>
        <v>1</v>
      </c>
      <c r="AC10" s="774">
        <f t="shared" si="5"/>
        <v>1</v>
      </c>
    </row>
    <row r="11" spans="1:29" ht="15">
      <c r="A11" s="429"/>
      <c r="B11" s="2597">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175"/>
      <c r="Q11" s="1796">
        <f t="shared" si="6"/>
        <v>111</v>
      </c>
      <c r="R11" s="771" t="s">
        <v>17</v>
      </c>
      <c r="S11" s="772">
        <f t="shared" si="0"/>
        <v>100</v>
      </c>
      <c r="T11" s="771" t="s">
        <v>17</v>
      </c>
      <c r="U11" s="772">
        <f t="shared" si="1"/>
        <v>100</v>
      </c>
      <c r="V11" s="771" t="s">
        <v>17</v>
      </c>
      <c r="W11" s="772">
        <f t="shared" si="2"/>
        <v>100</v>
      </c>
      <c r="X11" s="773"/>
      <c r="Y11" s="3000"/>
      <c r="Z11" s="55">
        <f t="shared" si="7"/>
        <v>111</v>
      </c>
      <c r="AA11" s="774">
        <f t="shared" si="3"/>
        <v>1</v>
      </c>
      <c r="AB11" s="774">
        <f t="shared" si="4"/>
        <v>1</v>
      </c>
      <c r="AC11" s="774">
        <f t="shared" si="5"/>
        <v>1</v>
      </c>
    </row>
    <row r="12" spans="1:29" s="117" customFormat="1" ht="15">
      <c r="A12" s="432"/>
      <c r="B12" s="2597">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175"/>
      <c r="Q12" s="1796">
        <f t="shared" si="6"/>
        <v>111</v>
      </c>
      <c r="R12" s="771" t="s">
        <v>17</v>
      </c>
      <c r="S12" s="772">
        <f t="shared" si="0"/>
        <v>100</v>
      </c>
      <c r="T12" s="771" t="s">
        <v>17</v>
      </c>
      <c r="U12" s="772">
        <f t="shared" si="1"/>
        <v>100</v>
      </c>
      <c r="V12" s="771" t="s">
        <v>17</v>
      </c>
      <c r="W12" s="772">
        <f t="shared" si="2"/>
        <v>100</v>
      </c>
      <c r="X12" s="773"/>
      <c r="Y12" s="3000"/>
      <c r="Z12" s="55">
        <f t="shared" si="7"/>
        <v>111</v>
      </c>
      <c r="AA12" s="774">
        <f>D12/F12</f>
        <v>1</v>
      </c>
      <c r="AB12" s="774">
        <f>D12/H12</f>
        <v>1</v>
      </c>
      <c r="AC12" s="774">
        <f>D12/J12</f>
        <v>1</v>
      </c>
    </row>
    <row r="13" spans="1:29" ht="15.75" thickBot="1">
      <c r="A13" s="429"/>
      <c r="B13" s="2597">
        <v>111</v>
      </c>
      <c r="C13" s="435"/>
      <c r="D13" s="436">
        <v>100</v>
      </c>
      <c r="E13" s="470"/>
      <c r="F13" s="426">
        <f>SUMIF(59:59,E13,60:60)-SUMIF(59:59,C13,60:60)+100</f>
        <v>100</v>
      </c>
      <c r="G13" s="2694"/>
      <c r="H13" s="439">
        <f>SUMIF(59:59,G13,60:60)-SUMIF(59:59,C13,60:60)+100</f>
        <v>100</v>
      </c>
      <c r="I13" s="470"/>
      <c r="J13" s="436">
        <f>SUMIF(59:59,I13,60:60)-SUMIF(59:59,C13,60:60)+100</f>
        <v>100</v>
      </c>
      <c r="K13" s="614"/>
      <c r="L13" s="1140"/>
      <c r="M13" s="1131"/>
      <c r="N13" s="1131"/>
      <c r="O13" s="1139"/>
      <c r="P13" s="3175"/>
      <c r="Q13" s="1796">
        <f t="shared" si="6"/>
        <v>111</v>
      </c>
      <c r="R13" s="771" t="s">
        <v>17</v>
      </c>
      <c r="S13" s="772">
        <f t="shared" si="0"/>
        <v>100</v>
      </c>
      <c r="T13" s="771" t="s">
        <v>17</v>
      </c>
      <c r="U13" s="772">
        <f t="shared" si="1"/>
        <v>100</v>
      </c>
      <c r="V13" s="771" t="s">
        <v>17</v>
      </c>
      <c r="W13" s="772">
        <f t="shared" si="2"/>
        <v>100</v>
      </c>
      <c r="X13" s="773"/>
      <c r="Y13" s="3000"/>
      <c r="Z13" s="55">
        <f t="shared" si="7"/>
        <v>111</v>
      </c>
      <c r="AA13" s="774">
        <f t="shared" si="3"/>
        <v>1</v>
      </c>
      <c r="AB13" s="774">
        <f t="shared" si="4"/>
        <v>1</v>
      </c>
      <c r="AC13" s="774">
        <f t="shared" si="5"/>
        <v>1</v>
      </c>
    </row>
    <row r="14" spans="1:29" ht="128.25">
      <c r="A14" s="441" t="s">
        <v>2557</v>
      </c>
      <c r="B14" s="69" t="s">
        <v>2707</v>
      </c>
      <c r="C14" s="2690" t="str">
        <f>IF(B1="工业",估价对象房地状况!G4,估价对象房地状况!C6)</f>
        <v>估价对象周边有371、462等公交线路并有8号线等，公共交通通达情况；项目自身有停车位、停车便捷程度较好，综合评价交通便捷度较好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177" t="s">
        <v>2558</v>
      </c>
      <c r="Q14" s="1811" t="str">
        <f t="shared" si="6"/>
        <v>交通便捷度</v>
      </c>
      <c r="R14" s="775" t="s">
        <v>17</v>
      </c>
      <c r="S14" s="776">
        <f t="shared" si="0"/>
        <v>100</v>
      </c>
      <c r="T14" s="775" t="s">
        <v>17</v>
      </c>
      <c r="U14" s="776">
        <f t="shared" si="1"/>
        <v>100</v>
      </c>
      <c r="V14" s="775" t="s">
        <v>17</v>
      </c>
      <c r="W14" s="776">
        <f t="shared" si="2"/>
        <v>100</v>
      </c>
      <c r="X14" s="1814"/>
      <c r="Y14" s="3177" t="s">
        <v>2558</v>
      </c>
      <c r="Z14" s="1815" t="str">
        <f t="shared" si="7"/>
        <v>交通便捷度</v>
      </c>
      <c r="AA14" s="1812">
        <f t="shared" si="3"/>
        <v>1</v>
      </c>
      <c r="AB14" s="1812">
        <f t="shared" si="4"/>
        <v>1</v>
      </c>
      <c r="AC14" s="1812">
        <f t="shared" si="5"/>
        <v>1</v>
      </c>
    </row>
    <row r="15" spans="1:29" ht="15">
      <c r="A15" s="429"/>
      <c r="B15" s="447"/>
      <c r="C15" s="448"/>
      <c r="D15" s="449"/>
      <c r="E15" s="448"/>
      <c r="F15" s="450"/>
      <c r="G15" s="448"/>
      <c r="H15" s="451"/>
      <c r="I15" s="448"/>
      <c r="J15" s="449"/>
      <c r="K15" s="616"/>
      <c r="L15" s="1140"/>
      <c r="M15" s="1131"/>
      <c r="N15" s="1131"/>
      <c r="O15" s="1139"/>
      <c r="P15" s="3178"/>
      <c r="Q15" s="1811"/>
      <c r="R15" s="775"/>
      <c r="S15" s="776"/>
      <c r="T15" s="775"/>
      <c r="U15" s="776"/>
      <c r="V15" s="775"/>
      <c r="W15" s="776"/>
      <c r="X15" s="1814"/>
      <c r="Y15" s="3178"/>
      <c r="Z15" s="1815"/>
      <c r="AA15" s="1812">
        <v>1</v>
      </c>
      <c r="AB15" s="1812">
        <v>1</v>
      </c>
      <c r="AC15" s="1812">
        <v>1</v>
      </c>
    </row>
    <row r="16" spans="1:29" ht="71.25">
      <c r="A16" s="429"/>
      <c r="B16" s="452" t="s">
        <v>2686</v>
      </c>
      <c r="C16" s="2604" t="str">
        <f>IF(B1="工业",估价对象房地状况!G5,估价对象房地状况!C7)</f>
        <v>估价对象所在区域公共配套设施较齐备；综合评价公用设施及基础设施水平较好</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178"/>
      <c r="Q16" s="1811" t="str">
        <f>B16</f>
        <v>公共配套设施</v>
      </c>
      <c r="R16" s="775" t="s">
        <v>17</v>
      </c>
      <c r="S16" s="776">
        <f>F16</f>
        <v>100</v>
      </c>
      <c r="T16" s="775" t="s">
        <v>17</v>
      </c>
      <c r="U16" s="776">
        <f>H16</f>
        <v>100</v>
      </c>
      <c r="V16" s="775" t="s">
        <v>17</v>
      </c>
      <c r="W16" s="776">
        <f>J16</f>
        <v>100</v>
      </c>
      <c r="X16" s="1814"/>
      <c r="Y16" s="3178"/>
      <c r="Z16" s="1815" t="str">
        <f>Q16</f>
        <v>公共配套设施</v>
      </c>
      <c r="AA16" s="1812">
        <f t="shared" si="3"/>
        <v>1</v>
      </c>
      <c r="AB16" s="1812">
        <f t="shared" si="4"/>
        <v>1</v>
      </c>
      <c r="AC16" s="1812">
        <f t="shared" si="5"/>
        <v>1</v>
      </c>
    </row>
    <row r="17" spans="1:29" ht="15">
      <c r="A17" s="429"/>
      <c r="B17" s="457"/>
      <c r="C17" s="2605"/>
      <c r="D17" s="449"/>
      <c r="E17" s="448"/>
      <c r="F17" s="450"/>
      <c r="G17" s="448"/>
      <c r="H17" s="449"/>
      <c r="I17" s="448"/>
      <c r="J17" s="449"/>
      <c r="K17" s="616"/>
      <c r="L17" s="1140"/>
      <c r="M17" s="1131"/>
      <c r="N17" s="1131"/>
      <c r="O17" s="1139"/>
      <c r="P17" s="3178"/>
      <c r="Q17" s="1811"/>
      <c r="R17" s="775"/>
      <c r="S17" s="776"/>
      <c r="T17" s="775"/>
      <c r="U17" s="776"/>
      <c r="V17" s="775"/>
      <c r="W17" s="776"/>
      <c r="X17" s="1814"/>
      <c r="Y17" s="3178"/>
      <c r="Z17" s="1815"/>
      <c r="AA17" s="1812">
        <v>1</v>
      </c>
      <c r="AB17" s="1812">
        <v>1</v>
      </c>
      <c r="AC17" s="1812">
        <v>1</v>
      </c>
    </row>
    <row r="18" spans="1:29" ht="28.5">
      <c r="A18" s="429"/>
      <c r="B18" s="1384" t="s">
        <v>2687</v>
      </c>
      <c r="C18" s="2604" t="str">
        <f>IF(B1="工业",估价对象房地状况!G6,估价对象房地状况!C8)</f>
        <v>基础设施水平七通一平；</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178"/>
      <c r="Q18" s="1811" t="str">
        <f>B18</f>
        <v>基础设施水平</v>
      </c>
      <c r="R18" s="775" t="s">
        <v>17</v>
      </c>
      <c r="S18" s="776">
        <f>F18</f>
        <v>100</v>
      </c>
      <c r="T18" s="775" t="s">
        <v>17</v>
      </c>
      <c r="U18" s="776">
        <f>H18</f>
        <v>100</v>
      </c>
      <c r="V18" s="775" t="s">
        <v>17</v>
      </c>
      <c r="W18" s="776">
        <f>J18</f>
        <v>100</v>
      </c>
      <c r="X18" s="1814"/>
      <c r="Y18" s="3178"/>
      <c r="Z18" s="1815" t="str">
        <f>Q18</f>
        <v>基础设施水平</v>
      </c>
      <c r="AA18" s="1812">
        <f t="shared" ref="AA18" si="8">D18/F18</f>
        <v>1</v>
      </c>
      <c r="AB18" s="1812">
        <f t="shared" ref="AB18" si="9">D18/H18</f>
        <v>1</v>
      </c>
      <c r="AC18" s="1812">
        <f t="shared" ref="AC18" si="10">D18/J18</f>
        <v>1</v>
      </c>
    </row>
    <row r="19" spans="1:29" ht="15">
      <c r="A19" s="429"/>
      <c r="B19" s="1384"/>
      <c r="C19" s="2605"/>
      <c r="D19" s="451"/>
      <c r="E19" s="2605"/>
      <c r="F19" s="454"/>
      <c r="G19" s="2605"/>
      <c r="H19" s="449"/>
      <c r="I19" s="448"/>
      <c r="J19" s="449"/>
      <c r="K19" s="1383"/>
      <c r="L19" s="1140"/>
      <c r="M19" s="1131"/>
      <c r="N19" s="1131"/>
      <c r="O19" s="1139"/>
      <c r="P19" s="3178"/>
      <c r="Q19" s="1811"/>
      <c r="R19" s="775"/>
      <c r="S19" s="776"/>
      <c r="T19" s="775"/>
      <c r="U19" s="776"/>
      <c r="V19" s="775"/>
      <c r="W19" s="776"/>
      <c r="X19" s="1814"/>
      <c r="Y19" s="3178"/>
      <c r="Z19" s="1815"/>
      <c r="AA19" s="1812">
        <v>1</v>
      </c>
      <c r="AB19" s="1812">
        <v>1</v>
      </c>
      <c r="AC19" s="1812">
        <v>1</v>
      </c>
    </row>
    <row r="20" spans="1:29" ht="85.5">
      <c r="A20" s="429"/>
      <c r="B20" s="452" t="s">
        <v>2708</v>
      </c>
      <c r="C20" s="2604" t="str">
        <f>IF(B1="工业",估价对象房地状况!G7,估价对象房地状况!C9)</f>
        <v>区域自然环境：南店公园等；人文环境：北京石油管理干部学院；综合评价环境状况较好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178"/>
      <c r="Q20" s="1811" t="str">
        <f>B20</f>
        <v>自然及人文环境</v>
      </c>
      <c r="R20" s="775" t="s">
        <v>17</v>
      </c>
      <c r="S20" s="776">
        <f>F20</f>
        <v>100</v>
      </c>
      <c r="T20" s="775" t="s">
        <v>17</v>
      </c>
      <c r="U20" s="776">
        <f>H20</f>
        <v>100</v>
      </c>
      <c r="V20" s="775" t="s">
        <v>17</v>
      </c>
      <c r="W20" s="776">
        <f>J20</f>
        <v>100</v>
      </c>
      <c r="X20" s="1814"/>
      <c r="Y20" s="3178"/>
      <c r="Z20" s="1815" t="str">
        <f>Q20</f>
        <v>自然及人文环境</v>
      </c>
      <c r="AA20" s="1812">
        <f t="shared" si="3"/>
        <v>1</v>
      </c>
      <c r="AB20" s="1812">
        <f t="shared" si="4"/>
        <v>1</v>
      </c>
      <c r="AC20" s="1812">
        <f t="shared" si="5"/>
        <v>1</v>
      </c>
    </row>
    <row r="21" spans="1:29" ht="15">
      <c r="A21" s="429"/>
      <c r="B21" s="457"/>
      <c r="C21" s="448"/>
      <c r="D21" s="449"/>
      <c r="E21" s="448"/>
      <c r="F21" s="450"/>
      <c r="G21" s="448"/>
      <c r="H21" s="449"/>
      <c r="I21" s="448"/>
      <c r="J21" s="449"/>
      <c r="K21" s="616"/>
      <c r="L21" s="1140"/>
      <c r="M21" s="1131"/>
      <c r="N21" s="1131"/>
      <c r="O21" s="1139"/>
      <c r="P21" s="3178"/>
      <c r="Q21" s="1811"/>
      <c r="R21" s="775"/>
      <c r="S21" s="776"/>
      <c r="T21" s="775"/>
      <c r="U21" s="776"/>
      <c r="V21" s="775"/>
      <c r="W21" s="776"/>
      <c r="X21" s="1814"/>
      <c r="Y21" s="3178"/>
      <c r="Z21" s="1815"/>
      <c r="AA21" s="1812">
        <v>1</v>
      </c>
      <c r="AB21" s="1812">
        <v>1</v>
      </c>
      <c r="AC21" s="1812">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178"/>
      <c r="Q22" s="1811" t="str">
        <f>B22</f>
        <v>楼层</v>
      </c>
      <c r="R22" s="775" t="s">
        <v>17</v>
      </c>
      <c r="S22" s="776">
        <f>F22</f>
        <v>100</v>
      </c>
      <c r="T22" s="775" t="s">
        <v>17</v>
      </c>
      <c r="U22" s="776">
        <f>H22</f>
        <v>100</v>
      </c>
      <c r="V22" s="775" t="s">
        <v>17</v>
      </c>
      <c r="W22" s="776">
        <f>J22</f>
        <v>100</v>
      </c>
      <c r="X22" s="1814"/>
      <c r="Y22" s="3178"/>
      <c r="Z22" s="1815" t="str">
        <f>Q22</f>
        <v>楼层</v>
      </c>
      <c r="AA22" s="1812">
        <f t="shared" si="3"/>
        <v>1</v>
      </c>
      <c r="AB22" s="1812">
        <f t="shared" si="4"/>
        <v>1</v>
      </c>
      <c r="AC22" s="1812">
        <f t="shared" si="5"/>
        <v>1</v>
      </c>
    </row>
    <row r="23" spans="1:29" ht="15">
      <c r="A23" s="405"/>
      <c r="B23" s="2597">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178"/>
      <c r="Q23" s="1811">
        <f>B23</f>
        <v>111</v>
      </c>
      <c r="R23" s="775" t="s">
        <v>17</v>
      </c>
      <c r="S23" s="776">
        <f>F23</f>
        <v>100</v>
      </c>
      <c r="T23" s="775" t="s">
        <v>17</v>
      </c>
      <c r="U23" s="776">
        <f>H23</f>
        <v>100</v>
      </c>
      <c r="V23" s="775" t="s">
        <v>17</v>
      </c>
      <c r="W23" s="776">
        <f>J23</f>
        <v>100</v>
      </c>
      <c r="X23" s="1814"/>
      <c r="Y23" s="3178"/>
      <c r="Z23" s="1815">
        <f>Q23</f>
        <v>111</v>
      </c>
      <c r="AA23" s="1812">
        <f t="shared" si="3"/>
        <v>1</v>
      </c>
      <c r="AB23" s="1812">
        <f t="shared" si="4"/>
        <v>1</v>
      </c>
      <c r="AC23" s="1812">
        <f t="shared" si="5"/>
        <v>1</v>
      </c>
    </row>
    <row r="24" spans="1:29" ht="15">
      <c r="A24" s="429"/>
      <c r="B24" s="2597">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178"/>
      <c r="Q24" s="1811">
        <f t="shared" ref="Q24:Q34" si="11">B24</f>
        <v>111</v>
      </c>
      <c r="R24" s="775" t="s">
        <v>17</v>
      </c>
      <c r="S24" s="776">
        <f>F24</f>
        <v>100</v>
      </c>
      <c r="T24" s="775" t="s">
        <v>17</v>
      </c>
      <c r="U24" s="776">
        <f>H24</f>
        <v>100</v>
      </c>
      <c r="V24" s="775" t="s">
        <v>17</v>
      </c>
      <c r="W24" s="776">
        <f>J24</f>
        <v>100</v>
      </c>
      <c r="X24" s="1814"/>
      <c r="Y24" s="3178"/>
      <c r="Z24" s="1815">
        <f>Q24</f>
        <v>111</v>
      </c>
      <c r="AA24" s="1812">
        <f t="shared" si="3"/>
        <v>1</v>
      </c>
      <c r="AB24" s="1812">
        <f t="shared" si="4"/>
        <v>1</v>
      </c>
      <c r="AC24" s="1812">
        <f t="shared" si="5"/>
        <v>1</v>
      </c>
    </row>
    <row r="25" spans="1:29" s="117" customFormat="1" ht="15.75" thickBot="1">
      <c r="A25" s="432"/>
      <c r="B25" s="2597">
        <v>111</v>
      </c>
      <c r="C25" s="2695"/>
      <c r="D25" s="666">
        <v>100</v>
      </c>
      <c r="E25" s="2695"/>
      <c r="F25" s="667">
        <f>SUMIF(75:75,E25,76:76)-SUMIF(75:75,C25,76:76)+100</f>
        <v>100</v>
      </c>
      <c r="G25" s="2695"/>
      <c r="H25" s="666">
        <f>SUMIF(75:75,G25,76:76)-SUMIF(75:75,C25,76:76)+100</f>
        <v>100</v>
      </c>
      <c r="I25" s="2695"/>
      <c r="J25" s="666">
        <f>SUMIF(75:75,I25,76:76)-SUMIF(75:75,C25,76:76)+100</f>
        <v>100</v>
      </c>
      <c r="K25" s="614"/>
      <c r="L25" s="1132"/>
      <c r="M25" s="1133"/>
      <c r="N25" s="1133"/>
      <c r="O25" s="1134"/>
      <c r="P25" s="3178"/>
      <c r="Q25" s="1796">
        <f t="shared" si="11"/>
        <v>111</v>
      </c>
      <c r="R25" s="771" t="s">
        <v>17</v>
      </c>
      <c r="S25" s="772">
        <f>F25</f>
        <v>100</v>
      </c>
      <c r="T25" s="771" t="s">
        <v>17</v>
      </c>
      <c r="U25" s="772">
        <f>H25</f>
        <v>100</v>
      </c>
      <c r="V25" s="771" t="s">
        <v>17</v>
      </c>
      <c r="W25" s="772">
        <f>J25</f>
        <v>100</v>
      </c>
      <c r="X25" s="773"/>
      <c r="Y25" s="3178"/>
      <c r="Z25" s="55">
        <f>Q25</f>
        <v>111</v>
      </c>
      <c r="AA25" s="1812">
        <f>D25/F25</f>
        <v>1</v>
      </c>
      <c r="AB25" s="1812">
        <f>D25/H25</f>
        <v>1</v>
      </c>
      <c r="AC25" s="1812">
        <f>D25/J25</f>
        <v>1</v>
      </c>
    </row>
    <row r="26" spans="1:29" ht="15">
      <c r="A26" s="467" t="s">
        <v>2561</v>
      </c>
      <c r="B26" s="71" t="s">
        <v>2712</v>
      </c>
      <c r="C26" s="2676"/>
      <c r="D26" s="468">
        <v>100</v>
      </c>
      <c r="E26" s="2676"/>
      <c r="F26" s="668">
        <f>SUMIF(77:77,E26,78:78)-SUMIF(77:77,C26,78:78)+100</f>
        <v>100</v>
      </c>
      <c r="G26" s="2676"/>
      <c r="H26" s="468">
        <f>SUMIF(77:77,G26,78:78)-SUMIF(77:77,C26,78:78)+100</f>
        <v>100</v>
      </c>
      <c r="I26" s="2676"/>
      <c r="J26" s="468">
        <f>SUMIF(77:77,I26,78:78)-SUMIF(77:77,C26,78:78)+100</f>
        <v>100</v>
      </c>
      <c r="K26" s="613"/>
      <c r="L26" s="1140"/>
      <c r="M26" s="1131"/>
      <c r="N26" s="1131"/>
      <c r="O26" s="1139"/>
      <c r="P26" s="3233" t="s">
        <v>2563</v>
      </c>
      <c r="Q26" s="1811" t="str">
        <f t="shared" si="11"/>
        <v>公共部分装修</v>
      </c>
      <c r="R26" s="775" t="s">
        <v>17</v>
      </c>
      <c r="S26" s="776">
        <f t="shared" ref="S26:S34" si="12">F26</f>
        <v>100</v>
      </c>
      <c r="T26" s="775" t="s">
        <v>17</v>
      </c>
      <c r="U26" s="776">
        <f t="shared" ref="U26:U34" si="13">H26</f>
        <v>100</v>
      </c>
      <c r="V26" s="775" t="s">
        <v>17</v>
      </c>
      <c r="W26" s="776">
        <f t="shared" ref="W26:W34" si="14">J26</f>
        <v>100</v>
      </c>
      <c r="X26" s="1814"/>
      <c r="Y26" s="3182" t="s">
        <v>2563</v>
      </c>
      <c r="Z26" s="1815" t="str">
        <f t="shared" ref="Z26:Z34" si="15">Q26</f>
        <v>公共部分装修</v>
      </c>
      <c r="AA26" s="1812">
        <f t="shared" si="3"/>
        <v>1</v>
      </c>
      <c r="AB26" s="1812">
        <f t="shared" si="4"/>
        <v>1</v>
      </c>
      <c r="AC26" s="1812">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182"/>
      <c r="Q27" s="777" t="str">
        <f t="shared" si="11"/>
        <v>成新率</v>
      </c>
      <c r="R27" s="778" t="s">
        <v>17</v>
      </c>
      <c r="S27" s="779" t="e">
        <f t="shared" si="12"/>
        <v>#N/A</v>
      </c>
      <c r="T27" s="778" t="s">
        <v>17</v>
      </c>
      <c r="U27" s="779" t="e">
        <f t="shared" si="13"/>
        <v>#N/A</v>
      </c>
      <c r="V27" s="778" t="s">
        <v>17</v>
      </c>
      <c r="W27" s="779" t="e">
        <f t="shared" si="14"/>
        <v>#N/A</v>
      </c>
      <c r="X27" s="780"/>
      <c r="Y27" s="3182"/>
      <c r="Z27" s="781" t="str">
        <f t="shared" si="15"/>
        <v>成新率</v>
      </c>
      <c r="AA27" s="1812" t="e">
        <f t="shared" si="3"/>
        <v>#N/A</v>
      </c>
      <c r="AB27" s="1812" t="e">
        <f t="shared" si="4"/>
        <v>#N/A</v>
      </c>
      <c r="AC27" s="1812"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182"/>
      <c r="Q28" s="1811" t="str">
        <f t="shared" si="11"/>
        <v>物业等级</v>
      </c>
      <c r="R28" s="775" t="s">
        <v>17</v>
      </c>
      <c r="S28" s="776">
        <f t="shared" si="12"/>
        <v>100</v>
      </c>
      <c r="T28" s="775" t="s">
        <v>17</v>
      </c>
      <c r="U28" s="776">
        <f t="shared" si="13"/>
        <v>100</v>
      </c>
      <c r="V28" s="775" t="s">
        <v>17</v>
      </c>
      <c r="W28" s="776">
        <f t="shared" si="14"/>
        <v>100</v>
      </c>
      <c r="X28" s="1814"/>
      <c r="Y28" s="3182"/>
      <c r="Z28" s="1815" t="str">
        <f t="shared" si="15"/>
        <v>物业等级</v>
      </c>
      <c r="AA28" s="1812">
        <f t="shared" si="3"/>
        <v>1</v>
      </c>
      <c r="AB28" s="1812">
        <f t="shared" si="4"/>
        <v>1</v>
      </c>
      <c r="AC28" s="1812">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182"/>
      <c r="Q29" s="1811" t="str">
        <f t="shared" si="11"/>
        <v>有无电梯</v>
      </c>
      <c r="R29" s="775" t="s">
        <v>17</v>
      </c>
      <c r="S29" s="776">
        <f t="shared" si="12"/>
        <v>100</v>
      </c>
      <c r="T29" s="775" t="s">
        <v>17</v>
      </c>
      <c r="U29" s="776">
        <f t="shared" si="13"/>
        <v>100</v>
      </c>
      <c r="V29" s="775" t="s">
        <v>17</v>
      </c>
      <c r="W29" s="776">
        <f t="shared" si="14"/>
        <v>100</v>
      </c>
      <c r="X29" s="1814"/>
      <c r="Y29" s="3182"/>
      <c r="Z29" s="1815" t="str">
        <f t="shared" si="15"/>
        <v>有无电梯</v>
      </c>
      <c r="AA29" s="1812">
        <f t="shared" si="3"/>
        <v>1</v>
      </c>
      <c r="AB29" s="1812">
        <f t="shared" si="4"/>
        <v>1</v>
      </c>
      <c r="AC29" s="1812">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182"/>
      <c r="Q30" s="1811" t="str">
        <f t="shared" si="11"/>
        <v>建筑面积</v>
      </c>
      <c r="R30" s="775" t="s">
        <v>17</v>
      </c>
      <c r="S30" s="776" t="e">
        <f t="shared" si="12"/>
        <v>#N/A</v>
      </c>
      <c r="T30" s="775" t="s">
        <v>17</v>
      </c>
      <c r="U30" s="776" t="e">
        <f t="shared" si="13"/>
        <v>#N/A</v>
      </c>
      <c r="V30" s="775" t="s">
        <v>17</v>
      </c>
      <c r="W30" s="776" t="e">
        <f t="shared" si="14"/>
        <v>#N/A</v>
      </c>
      <c r="X30" s="1814"/>
      <c r="Y30" s="3182"/>
      <c r="Z30" s="1815" t="str">
        <f t="shared" si="15"/>
        <v>建筑面积</v>
      </c>
      <c r="AA30" s="1812" t="e">
        <f t="shared" si="3"/>
        <v>#N/A</v>
      </c>
      <c r="AB30" s="1812" t="e">
        <f t="shared" si="4"/>
        <v>#N/A</v>
      </c>
      <c r="AC30" s="1812"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182"/>
      <c r="Q31" s="1796" t="str">
        <f t="shared" si="11"/>
        <v>是否封闭</v>
      </c>
      <c r="R31" s="771" t="s">
        <v>17</v>
      </c>
      <c r="S31" s="772">
        <f t="shared" si="12"/>
        <v>100</v>
      </c>
      <c r="T31" s="771" t="s">
        <v>17</v>
      </c>
      <c r="U31" s="772">
        <f t="shared" si="13"/>
        <v>100</v>
      </c>
      <c r="V31" s="771" t="s">
        <v>17</v>
      </c>
      <c r="W31" s="772">
        <f t="shared" si="14"/>
        <v>100</v>
      </c>
      <c r="X31" s="773"/>
      <c r="Y31" s="3182"/>
      <c r="Z31" s="55" t="str">
        <f t="shared" si="15"/>
        <v>是否封闭</v>
      </c>
      <c r="AA31" s="774">
        <f t="shared" si="3"/>
        <v>1</v>
      </c>
      <c r="AB31" s="774">
        <f t="shared" si="4"/>
        <v>1</v>
      </c>
      <c r="AC31" s="774">
        <f t="shared" si="5"/>
        <v>1</v>
      </c>
    </row>
    <row r="32" spans="1:29" ht="15">
      <c r="A32" s="473"/>
      <c r="B32" s="2597">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182" t="s">
        <v>2563</v>
      </c>
      <c r="Q32" s="1811">
        <f t="shared" si="11"/>
        <v>111</v>
      </c>
      <c r="R32" s="775" t="s">
        <v>17</v>
      </c>
      <c r="S32" s="776">
        <f t="shared" si="12"/>
        <v>100</v>
      </c>
      <c r="T32" s="775" t="s">
        <v>17</v>
      </c>
      <c r="U32" s="776">
        <f t="shared" si="13"/>
        <v>100</v>
      </c>
      <c r="V32" s="775" t="s">
        <v>17</v>
      </c>
      <c r="W32" s="776">
        <f t="shared" si="14"/>
        <v>100</v>
      </c>
      <c r="X32" s="1814"/>
      <c r="Y32" s="3182" t="s">
        <v>2563</v>
      </c>
      <c r="Z32" s="1815">
        <f t="shared" si="15"/>
        <v>111</v>
      </c>
      <c r="AA32" s="1812">
        <f t="shared" si="3"/>
        <v>1</v>
      </c>
      <c r="AB32" s="1812">
        <f t="shared" si="4"/>
        <v>1</v>
      </c>
      <c r="AC32" s="1812">
        <f t="shared" si="5"/>
        <v>1</v>
      </c>
    </row>
    <row r="33" spans="1:29" ht="15">
      <c r="A33" s="473"/>
      <c r="B33" s="2597">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182"/>
      <c r="Q33" s="1811">
        <f t="shared" si="11"/>
        <v>111</v>
      </c>
      <c r="R33" s="775" t="s">
        <v>17</v>
      </c>
      <c r="S33" s="776">
        <f t="shared" si="12"/>
        <v>100</v>
      </c>
      <c r="T33" s="775" t="s">
        <v>17</v>
      </c>
      <c r="U33" s="776">
        <f t="shared" si="13"/>
        <v>100</v>
      </c>
      <c r="V33" s="775" t="s">
        <v>17</v>
      </c>
      <c r="W33" s="776">
        <f t="shared" si="14"/>
        <v>100</v>
      </c>
      <c r="X33" s="1814"/>
      <c r="Y33" s="3182"/>
      <c r="Z33" s="1815">
        <f t="shared" si="15"/>
        <v>111</v>
      </c>
      <c r="AA33" s="1812">
        <f t="shared" si="3"/>
        <v>1</v>
      </c>
      <c r="AB33" s="1812">
        <f t="shared" si="4"/>
        <v>1</v>
      </c>
      <c r="AC33" s="1812">
        <f t="shared" si="5"/>
        <v>1</v>
      </c>
    </row>
    <row r="34" spans="1:29" ht="15.75" thickBot="1">
      <c r="A34" s="479"/>
      <c r="B34" s="2599">
        <v>111</v>
      </c>
      <c r="C34" s="438"/>
      <c r="D34" s="439">
        <v>100</v>
      </c>
      <c r="E34" s="2694"/>
      <c r="F34" s="440">
        <f>SUMIF(95:95,E34,96:96)-SUMIF(95:95,C34,96:96)+100</f>
        <v>100</v>
      </c>
      <c r="G34" s="2694"/>
      <c r="H34" s="439">
        <f>SUMIF(95:95,G34,96:96)-SUMIF(95:95,C34,96:96)+100</f>
        <v>100</v>
      </c>
      <c r="I34" s="2694"/>
      <c r="J34" s="439">
        <f>SUMIF(95:95,I34,96:96)-SUMIF(95:95,C34,96:96)+100</f>
        <v>100</v>
      </c>
      <c r="K34" s="614"/>
      <c r="L34" s="1140"/>
      <c r="M34" s="1131"/>
      <c r="N34" s="1131"/>
      <c r="O34" s="1139"/>
      <c r="P34" s="3182"/>
      <c r="Q34" s="1811">
        <f t="shared" si="11"/>
        <v>111</v>
      </c>
      <c r="R34" s="775" t="s">
        <v>17</v>
      </c>
      <c r="S34" s="776">
        <f t="shared" si="12"/>
        <v>100</v>
      </c>
      <c r="T34" s="775" t="s">
        <v>17</v>
      </c>
      <c r="U34" s="776">
        <f t="shared" si="13"/>
        <v>100</v>
      </c>
      <c r="V34" s="775" t="s">
        <v>17</v>
      </c>
      <c r="W34" s="776">
        <f t="shared" si="14"/>
        <v>100</v>
      </c>
      <c r="X34" s="1814"/>
      <c r="Y34" s="3182"/>
      <c r="Z34" s="1815">
        <f t="shared" si="15"/>
        <v>111</v>
      </c>
      <c r="AA34" s="1812">
        <f t="shared" si="3"/>
        <v>1</v>
      </c>
      <c r="AB34" s="1812">
        <f t="shared" si="4"/>
        <v>1</v>
      </c>
      <c r="AC34" s="1812">
        <f t="shared" si="5"/>
        <v>1</v>
      </c>
    </row>
    <row r="35" spans="1:29" ht="15">
      <c r="A35" s="480" t="s">
        <v>2575</v>
      </c>
      <c r="B35" s="481"/>
      <c r="C35" s="1407" t="s">
        <v>1</v>
      </c>
      <c r="D35" s="1408"/>
      <c r="E35" s="1409"/>
      <c r="F35" s="1410"/>
      <c r="G35" s="1411"/>
      <c r="H35" s="1412"/>
      <c r="I35" s="1409"/>
      <c r="J35" s="1412"/>
      <c r="K35" s="784"/>
      <c r="L35" s="1143"/>
      <c r="M35" s="1144"/>
      <c r="N35" s="1131"/>
      <c r="O35" s="1144"/>
      <c r="P35" s="3175" t="str">
        <f>A35</f>
        <v>成交单价（元/平方米）</v>
      </c>
      <c r="Q35" s="3175"/>
      <c r="R35" s="3176">
        <f>E35</f>
        <v>0</v>
      </c>
      <c r="S35" s="3176"/>
      <c r="T35" s="3176">
        <f>G35</f>
        <v>0</v>
      </c>
      <c r="U35" s="3176"/>
      <c r="V35" s="3176">
        <f>I35</f>
        <v>0</v>
      </c>
      <c r="W35" s="3176"/>
      <c r="X35" s="760"/>
      <c r="Y35" s="782"/>
      <c r="Z35" s="760"/>
      <c r="AA35" s="760"/>
      <c r="AB35" s="760"/>
      <c r="AC35" s="760"/>
    </row>
    <row r="36" spans="1:29" ht="15.75" thickBot="1">
      <c r="A36" s="487" t="s">
        <v>2667</v>
      </c>
      <c r="B36" s="488"/>
      <c r="C36" s="1413" t="e">
        <f>R37</f>
        <v>#DIV/0!</v>
      </c>
      <c r="D36" s="1414"/>
      <c r="E36" s="1415" t="e">
        <f>R36</f>
        <v>#DIV/0!</v>
      </c>
      <c r="F36" s="1415"/>
      <c r="G36" s="1413" t="e">
        <f>T36</f>
        <v>#DIV/0!</v>
      </c>
      <c r="H36" s="1414"/>
      <c r="I36" s="1415" t="e">
        <f>V36</f>
        <v>#DIV/0!</v>
      </c>
      <c r="J36" s="1414"/>
      <c r="K36" s="785"/>
      <c r="L36" s="1143"/>
      <c r="M36" s="1144"/>
      <c r="N36" s="1131"/>
      <c r="O36" s="1144"/>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60"/>
      <c r="Y36" s="760"/>
      <c r="Z36" s="760"/>
      <c r="AA36" s="760"/>
      <c r="AB36" s="760"/>
      <c r="AC36" s="760"/>
    </row>
    <row r="37" spans="1:29" ht="15.75" thickBot="1">
      <c r="A37" s="493" t="s">
        <v>2668</v>
      </c>
      <c r="B37" s="494"/>
      <c r="C37" s="1417" t="e">
        <f>R37</f>
        <v>#DIV/0!</v>
      </c>
      <c r="D37" s="1417"/>
      <c r="E37" s="1417"/>
      <c r="F37" s="1417"/>
      <c r="G37" s="1417"/>
      <c r="H37" s="1417"/>
      <c r="I37" s="1417"/>
      <c r="J37" s="1417"/>
      <c r="K37" s="786"/>
      <c r="L37" s="1143"/>
      <c r="M37" s="1144"/>
      <c r="N37" s="1144"/>
      <c r="O37" s="1144"/>
      <c r="P37" s="3172" t="str">
        <f>A37</f>
        <v>估价对象XX用房的比较价值（楼面单价，元/平方米）</v>
      </c>
      <c r="Q37" s="3173"/>
      <c r="R37" s="3174" t="e">
        <f>IF(F1="售价",ROUND(AVERAGE(R36:V36),0),ROUND(AVERAGE(R36:V36),1))</f>
        <v>#DIV/0!</v>
      </c>
      <c r="S37" s="3174"/>
      <c r="T37" s="3174"/>
      <c r="U37" s="3174"/>
      <c r="V37" s="3174"/>
      <c r="W37" s="3174"/>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5" t="str">
        <f>YEAR(C7)&amp;"-"&amp;MONTH(C7)</f>
        <v>2017-10</v>
      </c>
      <c r="D46" s="1576">
        <f>EDATE(C46,-1)</f>
        <v>42979</v>
      </c>
      <c r="E46" s="1576">
        <f t="shared" ref="E46:O46" si="16">EDATE(D46,-1)</f>
        <v>42948</v>
      </c>
      <c r="F46" s="1576">
        <f t="shared" si="16"/>
        <v>42917</v>
      </c>
      <c r="G46" s="1576">
        <f t="shared" si="16"/>
        <v>42887</v>
      </c>
      <c r="H46" s="1576">
        <f t="shared" si="16"/>
        <v>42856</v>
      </c>
      <c r="I46" s="1576">
        <f t="shared" si="16"/>
        <v>42826</v>
      </c>
      <c r="J46" s="1576">
        <f t="shared" si="16"/>
        <v>42795</v>
      </c>
      <c r="K46" s="1576">
        <f t="shared" si="16"/>
        <v>42767</v>
      </c>
      <c r="L46" s="1576">
        <f t="shared" si="16"/>
        <v>42736</v>
      </c>
      <c r="M46" s="1576">
        <f t="shared" si="16"/>
        <v>42705</v>
      </c>
      <c r="N46" s="1576">
        <f t="shared" si="16"/>
        <v>42675</v>
      </c>
      <c r="O46" s="1576">
        <f t="shared" si="16"/>
        <v>42644</v>
      </c>
      <c r="P46" s="508"/>
    </row>
    <row r="47" spans="1:29" s="117" customFormat="1" ht="15">
      <c r="A47" s="510"/>
      <c r="B47" s="511"/>
      <c r="C47" s="1574">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2586</v>
      </c>
      <c r="B51" s="529" t="s">
        <v>2552</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2"/>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2727</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2561</v>
      </c>
      <c r="B77" s="529" t="s">
        <v>2614</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2731</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2739</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2741</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4"/>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2643</v>
      </c>
      <c r="B4" s="403"/>
      <c r="C4" s="3190" t="s">
        <v>2644</v>
      </c>
      <c r="D4" s="3191"/>
      <c r="E4" s="3192" t="s">
        <v>2645</v>
      </c>
      <c r="F4" s="3193"/>
      <c r="G4" s="3190" t="s">
        <v>2646</v>
      </c>
      <c r="H4" s="3191"/>
      <c r="I4" s="3190" t="s">
        <v>2647</v>
      </c>
      <c r="J4" s="3191"/>
      <c r="K4" s="611" t="s">
        <v>2648</v>
      </c>
      <c r="L4" s="1130"/>
      <c r="M4" s="1131"/>
      <c r="N4" s="1131"/>
      <c r="O4" s="1131"/>
      <c r="P4" s="3194" t="s">
        <v>2649</v>
      </c>
      <c r="Q4" s="3195"/>
      <c r="R4" s="3200" t="s">
        <v>2645</v>
      </c>
      <c r="S4" s="3201"/>
      <c r="T4" s="3200" t="s">
        <v>2646</v>
      </c>
      <c r="U4" s="3201"/>
      <c r="V4" s="3206" t="s">
        <v>2647</v>
      </c>
      <c r="W4" s="3206"/>
      <c r="X4" s="1814"/>
      <c r="Y4" s="3200" t="s">
        <v>2649</v>
      </c>
      <c r="Z4" s="3201"/>
      <c r="AA4" s="3187" t="s">
        <v>2645</v>
      </c>
      <c r="AB4" s="3188" t="s">
        <v>2646</v>
      </c>
      <c r="AC4" s="3187" t="s">
        <v>2647</v>
      </c>
    </row>
    <row r="5" spans="1:30" ht="15">
      <c r="A5" s="405"/>
      <c r="B5" s="406"/>
      <c r="C5" s="3209" t="s">
        <v>2540</v>
      </c>
      <c r="D5" s="3210"/>
      <c r="E5" s="3216" t="s">
        <v>2541</v>
      </c>
      <c r="F5" s="3217"/>
      <c r="G5" s="3209" t="s">
        <v>2542</v>
      </c>
      <c r="H5" s="3210"/>
      <c r="I5" s="3209" t="s">
        <v>2543</v>
      </c>
      <c r="J5" s="3210"/>
      <c r="K5" s="611"/>
      <c r="L5" s="1130"/>
      <c r="M5" s="1131"/>
      <c r="N5" s="1131"/>
      <c r="O5" s="1131"/>
      <c r="P5" s="3196"/>
      <c r="Q5" s="3197"/>
      <c r="R5" s="3202"/>
      <c r="S5" s="3203"/>
      <c r="T5" s="3202"/>
      <c r="U5" s="3203"/>
      <c r="V5" s="3206"/>
      <c r="W5" s="3206"/>
      <c r="X5" s="1814"/>
      <c r="Y5" s="3202"/>
      <c r="Z5" s="3203"/>
      <c r="AA5" s="3188"/>
      <c r="AB5" s="3188"/>
      <c r="AC5" s="3188"/>
    </row>
    <row r="6" spans="1:30" ht="15.75" thickBot="1">
      <c r="A6" s="407"/>
      <c r="B6" s="408"/>
      <c r="C6" s="3207" t="s">
        <v>2544</v>
      </c>
      <c r="D6" s="3208"/>
      <c r="E6" s="3214" t="s">
        <v>2544</v>
      </c>
      <c r="F6" s="3215"/>
      <c r="G6" s="3207" t="s">
        <v>2544</v>
      </c>
      <c r="H6" s="3208"/>
      <c r="I6" s="3207" t="s">
        <v>2544</v>
      </c>
      <c r="J6" s="3208"/>
      <c r="K6" s="611" t="s">
        <v>2545</v>
      </c>
      <c r="L6" s="1130"/>
      <c r="M6" s="1131"/>
      <c r="N6" s="1131"/>
      <c r="O6" s="1131"/>
      <c r="P6" s="3198"/>
      <c r="Q6" s="3199"/>
      <c r="R6" s="3202"/>
      <c r="S6" s="3203"/>
      <c r="T6" s="3204"/>
      <c r="U6" s="3205"/>
      <c r="V6" s="3206"/>
      <c r="W6" s="3206"/>
      <c r="X6" s="1814"/>
      <c r="Y6" s="3204"/>
      <c r="Z6" s="3205"/>
      <c r="AA6" s="3189"/>
      <c r="AB6" s="3189"/>
      <c r="AC6" s="3189"/>
    </row>
    <row r="7" spans="1:30" s="117" customFormat="1" ht="15.75" thickBot="1">
      <c r="A7" s="409" t="s">
        <v>2546</v>
      </c>
      <c r="B7" s="410"/>
      <c r="C7" s="411">
        <f>'数据-取费表'!B2</f>
        <v>43039</v>
      </c>
      <c r="D7" s="412">
        <v>100</v>
      </c>
      <c r="E7" s="413">
        <v>42309</v>
      </c>
      <c r="F7" s="414">
        <f>SUMIF(70:70,YEAR(E7)&amp;"-"&amp;INT((MONTH(E7)+2)/3),71:71)</f>
        <v>0</v>
      </c>
      <c r="G7" s="2693">
        <v>42309</v>
      </c>
      <c r="H7" s="412">
        <f>SUMIF(70:70,YEAR(G7)&amp;"-"&amp;INT((MONTH(G7)+2)/3),71:71)</f>
        <v>0</v>
      </c>
      <c r="I7" s="2693">
        <v>42036</v>
      </c>
      <c r="J7" s="412">
        <f>SUMIF(70:70,YEAR(I7)&amp;"-"&amp;INT((MONTH(I7)+2)/3),71:71)</f>
        <v>0</v>
      </c>
      <c r="K7" s="612"/>
      <c r="L7" s="1132"/>
      <c r="M7" s="1133"/>
      <c r="N7" s="1133"/>
      <c r="O7" s="1133"/>
      <c r="P7" s="3211" t="s">
        <v>2547</v>
      </c>
      <c r="Q7" s="3213"/>
      <c r="R7" s="771" t="s">
        <v>17</v>
      </c>
      <c r="S7" s="772">
        <f t="shared" ref="S7:S15" si="0">F7</f>
        <v>0</v>
      </c>
      <c r="T7" s="771" t="s">
        <v>17</v>
      </c>
      <c r="U7" s="772">
        <f t="shared" ref="U7:U15" si="1">H7</f>
        <v>0</v>
      </c>
      <c r="V7" s="771" t="s">
        <v>17</v>
      </c>
      <c r="W7" s="772">
        <f t="shared" ref="W7:W15" si="2">J7</f>
        <v>0</v>
      </c>
      <c r="X7" s="773"/>
      <c r="Y7" s="3211" t="s">
        <v>2547</v>
      </c>
      <c r="Z7" s="3212"/>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2"/>
      <c r="M8" s="1133"/>
      <c r="N8" s="1133"/>
      <c r="O8" s="1133"/>
      <c r="P8" s="3211" t="s">
        <v>2550</v>
      </c>
      <c r="Q8" s="3212"/>
      <c r="R8" s="771" t="s">
        <v>17</v>
      </c>
      <c r="S8" s="772">
        <f t="shared" si="0"/>
        <v>0</v>
      </c>
      <c r="T8" s="771" t="s">
        <v>17</v>
      </c>
      <c r="U8" s="772">
        <f t="shared" si="1"/>
        <v>0</v>
      </c>
      <c r="V8" s="771" t="s">
        <v>17</v>
      </c>
      <c r="W8" s="772">
        <f t="shared" si="2"/>
        <v>0</v>
      </c>
      <c r="X8" s="773"/>
      <c r="Y8" s="3211" t="s">
        <v>2550</v>
      </c>
      <c r="Z8" s="3212"/>
      <c r="AA8" s="774" t="e">
        <f t="shared" ref="AA8:AA45" si="3">D8/F8</f>
        <v>#DIV/0!</v>
      </c>
      <c r="AB8" s="774" t="e">
        <f t="shared" ref="AB8:AB45" si="4">D8/H8</f>
        <v>#DIV/0!</v>
      </c>
      <c r="AC8" s="774" t="e">
        <f t="shared" ref="AC8:AC45" si="5">D8/J8</f>
        <v>#DIV/0!</v>
      </c>
    </row>
    <row r="9" spans="1:30" s="117" customFormat="1">
      <c r="A9" s="416" t="s">
        <v>2551</v>
      </c>
      <c r="B9" s="71" t="s">
        <v>2552</v>
      </c>
      <c r="C9" s="2696"/>
      <c r="D9" s="135">
        <v>100</v>
      </c>
      <c r="E9" s="2696"/>
      <c r="F9" s="135">
        <f>SUMIF(75:75,E9,76:76)-SUMIF(75:75,C9,76:76)+100</f>
        <v>100</v>
      </c>
      <c r="G9" s="2696"/>
      <c r="H9" s="135">
        <f>SUMIF(75:75,G9,76:76)-SUMIF(75:75,C9,76:76)+100</f>
        <v>100</v>
      </c>
      <c r="I9" s="2696"/>
      <c r="J9" s="135">
        <f>SUMIF(75:75,I9,76:76)-SUMIF(75:75,C9,76:76)+100</f>
        <v>100</v>
      </c>
      <c r="K9" s="612"/>
      <c r="L9" s="1132"/>
      <c r="M9" s="1133"/>
      <c r="N9" s="1133"/>
      <c r="O9" s="1134"/>
      <c r="P9" s="3175" t="s">
        <v>2553</v>
      </c>
      <c r="Q9" s="1796" t="str">
        <f t="shared" ref="Q9:Q15" si="6">B9</f>
        <v>用途</v>
      </c>
      <c r="R9" s="771" t="s">
        <v>17</v>
      </c>
      <c r="S9" s="772">
        <f t="shared" si="0"/>
        <v>100</v>
      </c>
      <c r="T9" s="771" t="s">
        <v>17</v>
      </c>
      <c r="U9" s="772">
        <f t="shared" si="1"/>
        <v>100</v>
      </c>
      <c r="V9" s="771" t="s">
        <v>17</v>
      </c>
      <c r="W9" s="772">
        <f t="shared" si="2"/>
        <v>100</v>
      </c>
      <c r="X9" s="773"/>
      <c r="Y9" s="3000"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110</v>
      </c>
      <c r="G10" s="464"/>
      <c r="H10" s="136">
        <f>ROUND(100/'数据-取费表'!G16,0)</f>
        <v>110</v>
      </c>
      <c r="I10" s="464"/>
      <c r="J10" s="136">
        <f>ROUND(100/'数据-取费表'!G16,0)</f>
        <v>110</v>
      </c>
      <c r="K10" s="673"/>
      <c r="L10" s="1135"/>
      <c r="M10" s="1136"/>
      <c r="N10" s="1136"/>
      <c r="O10" s="1137"/>
      <c r="P10" s="3175"/>
      <c r="Q10" s="1796" t="str">
        <f t="shared" si="6"/>
        <v>土地使用年限（年）</v>
      </c>
      <c r="R10" s="771" t="s">
        <v>17</v>
      </c>
      <c r="S10" s="772">
        <f t="shared" si="0"/>
        <v>110</v>
      </c>
      <c r="T10" s="771" t="s">
        <v>17</v>
      </c>
      <c r="U10" s="772">
        <f t="shared" si="1"/>
        <v>110</v>
      </c>
      <c r="V10" s="771" t="s">
        <v>17</v>
      </c>
      <c r="W10" s="772">
        <f t="shared" si="2"/>
        <v>110</v>
      </c>
      <c r="X10" s="773"/>
      <c r="Y10" s="3000"/>
      <c r="Z10" s="55" t="str">
        <f t="shared" si="7"/>
        <v>土地使用年限（年）</v>
      </c>
      <c r="AA10" s="774">
        <f t="shared" si="3"/>
        <v>0.90909090909090906</v>
      </c>
      <c r="AB10" s="774">
        <f t="shared" si="4"/>
        <v>0.90909090909090906</v>
      </c>
      <c r="AC10" s="774">
        <f t="shared" si="5"/>
        <v>0.90909090909090906</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8"/>
      <c r="M11" s="1131"/>
      <c r="N11" s="1131"/>
      <c r="O11" s="1139"/>
      <c r="P11" s="3175"/>
      <c r="Q11" s="1796" t="str">
        <f t="shared" si="6"/>
        <v>容积率</v>
      </c>
      <c r="R11" s="771" t="s">
        <v>17</v>
      </c>
      <c r="S11" s="772" t="e">
        <f t="shared" si="0"/>
        <v>#N/A</v>
      </c>
      <c r="T11" s="771" t="s">
        <v>17</v>
      </c>
      <c r="U11" s="772" t="e">
        <f t="shared" si="1"/>
        <v>#N/A</v>
      </c>
      <c r="V11" s="771" t="s">
        <v>17</v>
      </c>
      <c r="W11" s="772" t="e">
        <f t="shared" si="2"/>
        <v>#N/A</v>
      </c>
      <c r="X11" s="773"/>
      <c r="Y11" s="3000"/>
      <c r="Z11" s="55" t="str">
        <f t="shared" si="7"/>
        <v>容积率</v>
      </c>
      <c r="AA11" s="774" t="e">
        <f t="shared" si="3"/>
        <v>#N/A</v>
      </c>
      <c r="AB11" s="774" t="e">
        <f t="shared" si="4"/>
        <v>#N/A</v>
      </c>
      <c r="AC11" s="774" t="e">
        <f t="shared" si="5"/>
        <v>#N/A</v>
      </c>
    </row>
    <row r="12" spans="1:30" s="117" customFormat="1" ht="15">
      <c r="A12" s="432"/>
      <c r="B12" s="2597" t="s">
        <v>2745</v>
      </c>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175"/>
      <c r="Q12" s="1796" t="str">
        <f t="shared" si="6"/>
        <v>配建</v>
      </c>
      <c r="R12" s="771" t="s">
        <v>17</v>
      </c>
      <c r="S12" s="772">
        <f t="shared" si="0"/>
        <v>100</v>
      </c>
      <c r="T12" s="771" t="s">
        <v>17</v>
      </c>
      <c r="U12" s="772">
        <f t="shared" si="1"/>
        <v>100</v>
      </c>
      <c r="V12" s="771" t="s">
        <v>17</v>
      </c>
      <c r="W12" s="772">
        <f t="shared" si="2"/>
        <v>100</v>
      </c>
      <c r="X12" s="773"/>
      <c r="Y12" s="3000"/>
      <c r="Z12" s="55" t="str">
        <f t="shared" si="7"/>
        <v>配建</v>
      </c>
      <c r="AA12" s="774">
        <f>D12/F12</f>
        <v>1</v>
      </c>
      <c r="AB12" s="774">
        <f>D12/H12</f>
        <v>1</v>
      </c>
      <c r="AC12" s="774">
        <f>D12/J12</f>
        <v>1</v>
      </c>
    </row>
    <row r="13" spans="1:30" ht="15">
      <c r="A13" s="429"/>
      <c r="B13" s="2597">
        <v>111</v>
      </c>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175"/>
      <c r="Q13" s="1796">
        <f t="shared" si="6"/>
        <v>111</v>
      </c>
      <c r="R13" s="771" t="s">
        <v>17</v>
      </c>
      <c r="S13" s="772">
        <f t="shared" si="0"/>
        <v>100</v>
      </c>
      <c r="T13" s="771" t="s">
        <v>17</v>
      </c>
      <c r="U13" s="772">
        <f t="shared" si="1"/>
        <v>100</v>
      </c>
      <c r="V13" s="771" t="s">
        <v>17</v>
      </c>
      <c r="W13" s="772">
        <f t="shared" si="2"/>
        <v>100</v>
      </c>
      <c r="X13" s="773"/>
      <c r="Y13" s="3000"/>
      <c r="Z13" s="55">
        <f t="shared" si="7"/>
        <v>111</v>
      </c>
      <c r="AA13" s="774">
        <f>D13/F13</f>
        <v>1</v>
      </c>
      <c r="AB13" s="774">
        <f>D13/H13</f>
        <v>1</v>
      </c>
      <c r="AC13" s="774">
        <f>D13/J13</f>
        <v>1</v>
      </c>
    </row>
    <row r="14" spans="1:30" ht="15.75" thickBot="1">
      <c r="A14" s="437"/>
      <c r="B14" s="2599">
        <v>111</v>
      </c>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175"/>
      <c r="Q14" s="1796">
        <f t="shared" si="6"/>
        <v>111</v>
      </c>
      <c r="R14" s="771" t="s">
        <v>17</v>
      </c>
      <c r="S14" s="772">
        <f t="shared" si="0"/>
        <v>100</v>
      </c>
      <c r="T14" s="771" t="s">
        <v>17</v>
      </c>
      <c r="U14" s="772">
        <f t="shared" si="1"/>
        <v>100</v>
      </c>
      <c r="V14" s="771" t="s">
        <v>17</v>
      </c>
      <c r="W14" s="772">
        <f t="shared" si="2"/>
        <v>100</v>
      </c>
      <c r="X14" s="773"/>
      <c r="Y14" s="3000"/>
      <c r="Z14" s="55">
        <f t="shared" si="7"/>
        <v>111</v>
      </c>
      <c r="AA14" s="774">
        <f>D14/F14</f>
        <v>1</v>
      </c>
      <c r="AB14" s="774">
        <f>D14/H14</f>
        <v>1</v>
      </c>
      <c r="AC14" s="774">
        <f>D14/J14</f>
        <v>1</v>
      </c>
    </row>
    <row r="15" spans="1:30" ht="15">
      <c r="A15" s="441" t="s">
        <v>2557</v>
      </c>
      <c r="B15" s="69" t="s">
        <v>2087</v>
      </c>
      <c r="C15" s="2600">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0"/>
      <c r="M15" s="1131"/>
      <c r="N15" s="1131"/>
      <c r="O15" s="1139"/>
      <c r="P15" s="3177" t="s">
        <v>2558</v>
      </c>
      <c r="Q15" s="1811" t="str">
        <f t="shared" si="6"/>
        <v>居住社区成熟度</v>
      </c>
      <c r="R15" s="775" t="s">
        <v>17</v>
      </c>
      <c r="S15" s="776">
        <f t="shared" si="0"/>
        <v>100</v>
      </c>
      <c r="T15" s="775" t="s">
        <v>17</v>
      </c>
      <c r="U15" s="776">
        <f t="shared" si="1"/>
        <v>100</v>
      </c>
      <c r="V15" s="775" t="s">
        <v>17</v>
      </c>
      <c r="W15" s="776">
        <f t="shared" si="2"/>
        <v>100</v>
      </c>
      <c r="X15" s="1814"/>
      <c r="Y15" s="3177" t="s">
        <v>2558</v>
      </c>
      <c r="Z15" s="1815" t="str">
        <f t="shared" si="7"/>
        <v>居住社区成熟度</v>
      </c>
      <c r="AA15" s="1812">
        <f t="shared" si="3"/>
        <v>1</v>
      </c>
      <c r="AB15" s="1812">
        <f t="shared" si="4"/>
        <v>1</v>
      </c>
      <c r="AC15" s="1812">
        <f t="shared" si="5"/>
        <v>1</v>
      </c>
    </row>
    <row r="16" spans="1:30" ht="15">
      <c r="A16" s="429"/>
      <c r="B16" s="447"/>
      <c r="C16" s="448"/>
      <c r="D16" s="449"/>
      <c r="E16" s="2602"/>
      <c r="F16" s="449"/>
      <c r="G16" s="2602"/>
      <c r="H16" s="451"/>
      <c r="I16" s="2601"/>
      <c r="J16" s="449"/>
      <c r="K16" s="673"/>
      <c r="L16" s="1140"/>
      <c r="M16" s="1131"/>
      <c r="N16" s="1131"/>
      <c r="O16" s="1139"/>
      <c r="P16" s="3178"/>
      <c r="Q16" s="1811"/>
      <c r="R16" s="775"/>
      <c r="S16" s="776"/>
      <c r="T16" s="775"/>
      <c r="U16" s="776"/>
      <c r="V16" s="775"/>
      <c r="W16" s="776"/>
      <c r="X16" s="1814"/>
      <c r="Y16" s="3178"/>
      <c r="Z16" s="1815"/>
      <c r="AA16" s="1812">
        <v>1</v>
      </c>
      <c r="AB16" s="1812">
        <v>1</v>
      </c>
      <c r="AC16" s="1812">
        <v>1</v>
      </c>
    </row>
    <row r="17" spans="1:29" ht="85.5">
      <c r="A17" s="429"/>
      <c r="B17" s="452" t="s">
        <v>2651</v>
      </c>
      <c r="C17" s="2661" t="str">
        <f>估价对象房地状况!C16</f>
        <v>估价对象位于回龙观与西三旗商圈之间，周边商业氛围较好，人流量一般，商业繁华度较好</v>
      </c>
      <c r="D17" s="451">
        <v>100</v>
      </c>
      <c r="E17" s="453"/>
      <c r="F17" s="451">
        <f>SUMIF(90:90,E18,91:91)-SUMIF(90:90,C18,91:91)+100</f>
        <v>100</v>
      </c>
      <c r="G17" s="453"/>
      <c r="H17" s="456">
        <f>SUMIF(90:90,G18,91:91)-SUMIF(90:90,C18,91:91)+100</f>
        <v>100</v>
      </c>
      <c r="I17" s="455"/>
      <c r="J17" s="456">
        <f>SUMIF(90:90,I18,91:91)-SUMIF(90:90,C18,91:91)+100</f>
        <v>100</v>
      </c>
      <c r="K17" s="674"/>
      <c r="L17" s="1140"/>
      <c r="M17" s="1131"/>
      <c r="N17" s="1131"/>
      <c r="O17" s="1139"/>
      <c r="P17" s="3178"/>
      <c r="Q17" s="1811" t="str">
        <f>B17</f>
        <v>商业繁华度</v>
      </c>
      <c r="R17" s="775" t="s">
        <v>17</v>
      </c>
      <c r="S17" s="776">
        <f>F17</f>
        <v>100</v>
      </c>
      <c r="T17" s="775" t="s">
        <v>17</v>
      </c>
      <c r="U17" s="776">
        <f>H17</f>
        <v>100</v>
      </c>
      <c r="V17" s="775" t="s">
        <v>17</v>
      </c>
      <c r="W17" s="776">
        <f>J17</f>
        <v>100</v>
      </c>
      <c r="X17" s="1814"/>
      <c r="Y17" s="3178"/>
      <c r="Z17" s="1815" t="str">
        <f>Q17</f>
        <v>商业繁华度</v>
      </c>
      <c r="AA17" s="1812">
        <f t="shared" si="3"/>
        <v>1</v>
      </c>
      <c r="AB17" s="1812">
        <f t="shared" si="4"/>
        <v>1</v>
      </c>
      <c r="AC17" s="1812">
        <f t="shared" si="5"/>
        <v>1</v>
      </c>
    </row>
    <row r="18" spans="1:29" ht="15">
      <c r="A18" s="429"/>
      <c r="B18" s="457"/>
      <c r="C18" s="2605"/>
      <c r="D18" s="451"/>
      <c r="E18" s="2607"/>
      <c r="F18" s="451"/>
      <c r="G18" s="2607"/>
      <c r="H18" s="449"/>
      <c r="I18" s="2606"/>
      <c r="J18" s="449"/>
      <c r="K18" s="673"/>
      <c r="L18" s="1140"/>
      <c r="M18" s="1131"/>
      <c r="N18" s="1131"/>
      <c r="O18" s="1139"/>
      <c r="P18" s="3178"/>
      <c r="Q18" s="1811"/>
      <c r="R18" s="775"/>
      <c r="S18" s="776"/>
      <c r="T18" s="775"/>
      <c r="U18" s="776"/>
      <c r="V18" s="775"/>
      <c r="W18" s="776"/>
      <c r="X18" s="1814"/>
      <c r="Y18" s="3178"/>
      <c r="Z18" s="1815"/>
      <c r="AA18" s="1812">
        <v>1</v>
      </c>
      <c r="AB18" s="1812">
        <v>1</v>
      </c>
      <c r="AC18" s="1812">
        <v>1</v>
      </c>
    </row>
    <row r="19" spans="1:29" ht="15">
      <c r="A19" s="429"/>
      <c r="B19" s="452" t="s">
        <v>2685</v>
      </c>
      <c r="C19" s="2661">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40"/>
      <c r="M19" s="1131"/>
      <c r="N19" s="1131"/>
      <c r="O19" s="1139"/>
      <c r="P19" s="3178"/>
      <c r="Q19" s="1811" t="str">
        <f>B19</f>
        <v>办公集聚程度</v>
      </c>
      <c r="R19" s="775" t="s">
        <v>17</v>
      </c>
      <c r="S19" s="776">
        <f>F19</f>
        <v>100</v>
      </c>
      <c r="T19" s="775" t="s">
        <v>17</v>
      </c>
      <c r="U19" s="776">
        <f>H19</f>
        <v>100</v>
      </c>
      <c r="V19" s="775" t="s">
        <v>17</v>
      </c>
      <c r="W19" s="776">
        <f>J19</f>
        <v>100</v>
      </c>
      <c r="X19" s="1814"/>
      <c r="Y19" s="3178"/>
      <c r="Z19" s="1815" t="str">
        <f>Q19</f>
        <v>办公集聚程度</v>
      </c>
      <c r="AA19" s="1812">
        <f t="shared" si="3"/>
        <v>1</v>
      </c>
      <c r="AB19" s="1812">
        <f t="shared" si="4"/>
        <v>1</v>
      </c>
      <c r="AC19" s="1812">
        <f t="shared" si="5"/>
        <v>1</v>
      </c>
    </row>
    <row r="20" spans="1:29" ht="15">
      <c r="A20" s="429"/>
      <c r="B20" s="457"/>
      <c r="C20" s="448"/>
      <c r="D20" s="449"/>
      <c r="E20" s="2602"/>
      <c r="F20" s="449"/>
      <c r="G20" s="2602"/>
      <c r="H20" s="449"/>
      <c r="I20" s="2601"/>
      <c r="J20" s="449"/>
      <c r="K20" s="673"/>
      <c r="L20" s="1140"/>
      <c r="M20" s="1131"/>
      <c r="N20" s="1131"/>
      <c r="O20" s="1139"/>
      <c r="P20" s="3178"/>
      <c r="Q20" s="1811"/>
      <c r="R20" s="775"/>
      <c r="S20" s="776"/>
      <c r="T20" s="775"/>
      <c r="U20" s="776"/>
      <c r="V20" s="775"/>
      <c r="W20" s="776"/>
      <c r="X20" s="1814"/>
      <c r="Y20" s="3178"/>
      <c r="Z20" s="1815"/>
      <c r="AA20" s="1812">
        <v>1</v>
      </c>
      <c r="AB20" s="1812">
        <v>1</v>
      </c>
      <c r="AC20" s="1812">
        <v>1</v>
      </c>
    </row>
    <row r="21" spans="1:29" ht="128.25">
      <c r="A21" s="429"/>
      <c r="B21" s="452" t="s">
        <v>2707</v>
      </c>
      <c r="C21" s="2604" t="str">
        <f>估价对象房地状况!C18</f>
        <v>估价对象周边有371、462等公交线路并有8号线等，公共交通通达情况；项目自身有停车位、停车便捷程度较好，综合评价交通便捷度较好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0"/>
      <c r="M21" s="1131"/>
      <c r="N21" s="1131"/>
      <c r="O21" s="1139"/>
      <c r="P21" s="3178"/>
      <c r="Q21" s="1811" t="str">
        <f>B21</f>
        <v>交通便捷度</v>
      </c>
      <c r="R21" s="775" t="s">
        <v>17</v>
      </c>
      <c r="S21" s="776">
        <f>F21</f>
        <v>100</v>
      </c>
      <c r="T21" s="775" t="s">
        <v>17</v>
      </c>
      <c r="U21" s="776">
        <f>H21</f>
        <v>100</v>
      </c>
      <c r="V21" s="775" t="s">
        <v>17</v>
      </c>
      <c r="W21" s="776">
        <f>J21</f>
        <v>100</v>
      </c>
      <c r="X21" s="1814"/>
      <c r="Y21" s="3178"/>
      <c r="Z21" s="1815" t="str">
        <f>Q21</f>
        <v>交通便捷度</v>
      </c>
      <c r="AA21" s="1812">
        <f t="shared" si="3"/>
        <v>1</v>
      </c>
      <c r="AB21" s="1812">
        <f t="shared" si="4"/>
        <v>1</v>
      </c>
      <c r="AC21" s="1812">
        <f t="shared" si="5"/>
        <v>1</v>
      </c>
    </row>
    <row r="22" spans="1:29" ht="15">
      <c r="A22" s="429"/>
      <c r="B22" s="1384"/>
      <c r="C22" s="448"/>
      <c r="D22" s="451"/>
      <c r="E22" s="2602"/>
      <c r="F22" s="449"/>
      <c r="G22" s="2602"/>
      <c r="H22" s="449"/>
      <c r="I22" s="2601"/>
      <c r="J22" s="449"/>
      <c r="K22" s="673"/>
      <c r="L22" s="1140"/>
      <c r="M22" s="1131"/>
      <c r="N22" s="1131"/>
      <c r="O22" s="1139"/>
      <c r="P22" s="3178"/>
      <c r="Q22" s="1811"/>
      <c r="R22" s="775"/>
      <c r="S22" s="776"/>
      <c r="T22" s="775"/>
      <c r="U22" s="776"/>
      <c r="V22" s="775"/>
      <c r="W22" s="776"/>
      <c r="X22" s="1814"/>
      <c r="Y22" s="3178"/>
      <c r="Z22" s="1815"/>
      <c r="AA22" s="1812">
        <v>1</v>
      </c>
      <c r="AB22" s="1812">
        <v>1</v>
      </c>
      <c r="AC22" s="1812">
        <v>1</v>
      </c>
    </row>
    <row r="23" spans="1:29" ht="15">
      <c r="A23" s="405"/>
      <c r="B23" s="452" t="s">
        <v>2746</v>
      </c>
      <c r="C23" s="1389" t="str">
        <f>估价对象房地状况!C19</f>
        <v>一般</v>
      </c>
      <c r="D23" s="456">
        <v>100</v>
      </c>
      <c r="E23" s="453"/>
      <c r="F23" s="456">
        <f>SUMIF(96:96,E24,97:97)-SUMIF(96:96,C24,97:97)+100</f>
        <v>100</v>
      </c>
      <c r="G23" s="455"/>
      <c r="H23" s="456">
        <f>SUMIF(96:96,G24,97:97)-SUMIF(96:96,C24,97:97)+100</f>
        <v>100</v>
      </c>
      <c r="I23" s="455"/>
      <c r="J23" s="456">
        <f>SUMIF(96:96,I24,97:97)-SUMIF(96:96,C24,97:97)+100</f>
        <v>100</v>
      </c>
      <c r="K23" s="674"/>
      <c r="L23" s="1140"/>
      <c r="M23" s="1131"/>
      <c r="N23" s="1131"/>
      <c r="O23" s="1139"/>
      <c r="P23" s="3178"/>
      <c r="Q23" s="1811" t="str">
        <f t="shared" ref="Q23:Q37" si="8">B23</f>
        <v>区域土地利用方向</v>
      </c>
      <c r="R23" s="775" t="s">
        <v>17</v>
      </c>
      <c r="S23" s="776">
        <f>F23</f>
        <v>100</v>
      </c>
      <c r="T23" s="775" t="s">
        <v>17</v>
      </c>
      <c r="U23" s="776">
        <f>H23</f>
        <v>100</v>
      </c>
      <c r="V23" s="775" t="s">
        <v>17</v>
      </c>
      <c r="W23" s="776">
        <f>J23</f>
        <v>100</v>
      </c>
      <c r="X23" s="1814"/>
      <c r="Y23" s="3178"/>
      <c r="Z23" s="1815" t="str">
        <f>Q23</f>
        <v>区域土地利用方向</v>
      </c>
      <c r="AA23" s="1812">
        <f t="shared" si="3"/>
        <v>1</v>
      </c>
      <c r="AB23" s="1812">
        <f t="shared" si="4"/>
        <v>1</v>
      </c>
      <c r="AC23" s="1812">
        <f t="shared" si="5"/>
        <v>1</v>
      </c>
    </row>
    <row r="24" spans="1:29" ht="15">
      <c r="A24" s="405"/>
      <c r="B24" s="457"/>
      <c r="C24" s="617"/>
      <c r="D24" s="449"/>
      <c r="E24" s="2602"/>
      <c r="F24" s="449"/>
      <c r="G24" s="2601"/>
      <c r="H24" s="449"/>
      <c r="I24" s="2601"/>
      <c r="J24" s="449"/>
      <c r="K24" s="809"/>
      <c r="L24" s="1140"/>
      <c r="M24" s="1131"/>
      <c r="N24" s="1131"/>
      <c r="O24" s="1139"/>
      <c r="P24" s="3178"/>
      <c r="Q24" s="1811"/>
      <c r="R24" s="775"/>
      <c r="S24" s="776"/>
      <c r="T24" s="775"/>
      <c r="U24" s="776"/>
      <c r="V24" s="775"/>
      <c r="W24" s="776"/>
      <c r="X24" s="1814"/>
      <c r="Y24" s="3178"/>
      <c r="Z24" s="1815"/>
      <c r="AA24" s="1812"/>
      <c r="AB24" s="1812"/>
      <c r="AC24" s="1812"/>
    </row>
    <row r="25" spans="1:29" ht="85.5">
      <c r="A25" s="405"/>
      <c r="B25" s="1384" t="s">
        <v>2747</v>
      </c>
      <c r="C25" s="2661" t="str">
        <f>估价对象房地状况!C20</f>
        <v>区域自然环境：南店公园等；人文环境：北京石油管理干部学院；综合评价环境状况较好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0"/>
      <c r="M25" s="1131"/>
      <c r="N25" s="1131"/>
      <c r="O25" s="1139"/>
      <c r="P25" s="3178"/>
      <c r="Q25" s="1811" t="str">
        <f t="shared" si="8"/>
        <v>自然及人文环境状况</v>
      </c>
      <c r="R25" s="775" t="s">
        <v>17</v>
      </c>
      <c r="S25" s="776">
        <f>F25</f>
        <v>100</v>
      </c>
      <c r="T25" s="775" t="s">
        <v>17</v>
      </c>
      <c r="U25" s="776">
        <f>H25</f>
        <v>100</v>
      </c>
      <c r="V25" s="775" t="s">
        <v>17</v>
      </c>
      <c r="W25" s="776">
        <f>J25</f>
        <v>100</v>
      </c>
      <c r="X25" s="1814"/>
      <c r="Y25" s="3178"/>
      <c r="Z25" s="1815" t="str">
        <f>Q25</f>
        <v>自然及人文环境状况</v>
      </c>
      <c r="AA25" s="1812">
        <f t="shared" si="3"/>
        <v>1</v>
      </c>
      <c r="AB25" s="1812">
        <f t="shared" si="4"/>
        <v>1</v>
      </c>
      <c r="AC25" s="1812">
        <f t="shared" si="5"/>
        <v>1</v>
      </c>
    </row>
    <row r="26" spans="1:29" ht="15">
      <c r="A26" s="405"/>
      <c r="B26" s="457"/>
      <c r="C26" s="448"/>
      <c r="D26" s="449"/>
      <c r="E26" s="2608"/>
      <c r="F26" s="449"/>
      <c r="G26" s="2608"/>
      <c r="H26" s="449"/>
      <c r="I26" s="448"/>
      <c r="J26" s="449"/>
      <c r="K26" s="673"/>
      <c r="L26" s="1140"/>
      <c r="M26" s="1131"/>
      <c r="N26" s="1131"/>
      <c r="O26" s="1139"/>
      <c r="P26" s="3178"/>
      <c r="Q26" s="1811"/>
      <c r="R26" s="775"/>
      <c r="S26" s="776"/>
      <c r="T26" s="775"/>
      <c r="U26" s="776"/>
      <c r="V26" s="775"/>
      <c r="W26" s="776"/>
      <c r="X26" s="1814"/>
      <c r="Y26" s="3178"/>
      <c r="Z26" s="1815"/>
      <c r="AA26" s="1812">
        <v>1</v>
      </c>
      <c r="AB26" s="1812">
        <v>1</v>
      </c>
      <c r="AC26" s="1812">
        <v>1</v>
      </c>
    </row>
    <row r="27" spans="1:29" s="117" customFormat="1" ht="71.25">
      <c r="A27" s="650"/>
      <c r="B27" s="1384" t="s">
        <v>2652</v>
      </c>
      <c r="C27" s="2604" t="str">
        <f>估价对象房地状况!C21</f>
        <v>估价对象所在区域公共配套设施较齐备；综合评价公用设施及基础设施水平较好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2"/>
      <c r="M27" s="1133"/>
      <c r="N27" s="1133"/>
      <c r="O27" s="1134"/>
      <c r="P27" s="3178"/>
      <c r="Q27" s="1796" t="str">
        <f t="shared" si="8"/>
        <v>公共配套设施</v>
      </c>
      <c r="R27" s="771" t="s">
        <v>17</v>
      </c>
      <c r="S27" s="772">
        <f>F27</f>
        <v>100</v>
      </c>
      <c r="T27" s="771" t="s">
        <v>17</v>
      </c>
      <c r="U27" s="772">
        <f>H27</f>
        <v>100</v>
      </c>
      <c r="V27" s="771" t="s">
        <v>17</v>
      </c>
      <c r="W27" s="772">
        <f>J27</f>
        <v>100</v>
      </c>
      <c r="X27" s="773"/>
      <c r="Y27" s="3178"/>
      <c r="Z27" s="55" t="str">
        <f>Q27</f>
        <v>公共配套设施</v>
      </c>
      <c r="AA27" s="1812">
        <f>D27/F27</f>
        <v>1</v>
      </c>
      <c r="AB27" s="1812">
        <f>D27/H27</f>
        <v>1</v>
      </c>
      <c r="AC27" s="1812">
        <f>D27/J27</f>
        <v>1</v>
      </c>
    </row>
    <row r="28" spans="1:29" s="117" customFormat="1" ht="15">
      <c r="A28" s="650"/>
      <c r="B28" s="457"/>
      <c r="C28" s="2697"/>
      <c r="D28" s="449"/>
      <c r="E28" s="2608"/>
      <c r="F28" s="449"/>
      <c r="G28" s="2608"/>
      <c r="H28" s="449"/>
      <c r="I28" s="448"/>
      <c r="J28" s="449"/>
      <c r="K28" s="673"/>
      <c r="L28" s="1132"/>
      <c r="M28" s="1133"/>
      <c r="N28" s="1133"/>
      <c r="O28" s="1134"/>
      <c r="P28" s="3178"/>
      <c r="Q28" s="1796"/>
      <c r="R28" s="771"/>
      <c r="S28" s="772"/>
      <c r="T28" s="771"/>
      <c r="U28" s="772"/>
      <c r="V28" s="771"/>
      <c r="W28" s="772"/>
      <c r="X28" s="773"/>
      <c r="Y28" s="3178"/>
      <c r="Z28" s="55"/>
      <c r="AA28" s="1812">
        <v>1</v>
      </c>
      <c r="AB28" s="1812">
        <v>1</v>
      </c>
      <c r="AC28" s="1812">
        <v>1</v>
      </c>
    </row>
    <row r="29" spans="1:29" s="117" customFormat="1" ht="28.5">
      <c r="A29" s="650"/>
      <c r="B29" s="1384" t="s">
        <v>2653</v>
      </c>
      <c r="C29" s="2604" t="str">
        <f>估价对象房地状况!C22</f>
        <v>基础设施水平七通一平；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2"/>
      <c r="M29" s="1133"/>
      <c r="N29" s="1133"/>
      <c r="O29" s="1134"/>
      <c r="P29" s="3178"/>
      <c r="Q29" s="1796" t="str">
        <f t="shared" ref="Q29" si="9">B29</f>
        <v>基础设施水平</v>
      </c>
      <c r="R29" s="771" t="s">
        <v>17</v>
      </c>
      <c r="S29" s="772">
        <f>F29</f>
        <v>100</v>
      </c>
      <c r="T29" s="771" t="s">
        <v>17</v>
      </c>
      <c r="U29" s="772">
        <f>H29</f>
        <v>100</v>
      </c>
      <c r="V29" s="771" t="s">
        <v>17</v>
      </c>
      <c r="W29" s="772">
        <f>J29</f>
        <v>100</v>
      </c>
      <c r="X29" s="773"/>
      <c r="Y29" s="3178"/>
      <c r="Z29" s="55" t="str">
        <f>Q29</f>
        <v>基础设施水平</v>
      </c>
      <c r="AA29" s="1812">
        <f>D29/F29</f>
        <v>1</v>
      </c>
      <c r="AB29" s="1812">
        <f>D29/H29</f>
        <v>1</v>
      </c>
      <c r="AC29" s="1812">
        <f>D29/J29</f>
        <v>1</v>
      </c>
    </row>
    <row r="30" spans="1:29" s="117" customFormat="1" ht="15">
      <c r="A30" s="650"/>
      <c r="B30" s="457"/>
      <c r="C30" s="2697"/>
      <c r="D30" s="449"/>
      <c r="E30" s="2698"/>
      <c r="F30" s="449"/>
      <c r="G30" s="2698"/>
      <c r="H30" s="449"/>
      <c r="I30" s="2698"/>
      <c r="J30" s="449"/>
      <c r="K30" s="673"/>
      <c r="L30" s="1132"/>
      <c r="M30" s="1133"/>
      <c r="N30" s="1133"/>
      <c r="O30" s="1134"/>
      <c r="P30" s="3178"/>
      <c r="Q30" s="1796"/>
      <c r="R30" s="771"/>
      <c r="S30" s="772"/>
      <c r="T30" s="771"/>
      <c r="U30" s="772"/>
      <c r="V30" s="771"/>
      <c r="W30" s="772"/>
      <c r="X30" s="773"/>
      <c r="Y30" s="3178"/>
      <c r="Z30" s="55"/>
      <c r="AA30" s="1812">
        <v>1</v>
      </c>
      <c r="AB30" s="1812">
        <v>1</v>
      </c>
      <c r="AC30" s="1812">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0"/>
      <c r="M31" s="1131"/>
      <c r="N31" s="1131"/>
      <c r="O31" s="1139"/>
      <c r="P31" s="3178"/>
      <c r="Q31" s="1811" t="str">
        <f t="shared" si="8"/>
        <v>临街状况</v>
      </c>
      <c r="R31" s="775" t="s">
        <v>17</v>
      </c>
      <c r="S31" s="776">
        <f t="shared" ref="S31:S45" si="10">F31</f>
        <v>100</v>
      </c>
      <c r="T31" s="775" t="s">
        <v>17</v>
      </c>
      <c r="U31" s="776">
        <f t="shared" ref="U31:U45" si="11">H31</f>
        <v>100</v>
      </c>
      <c r="V31" s="775" t="s">
        <v>17</v>
      </c>
      <c r="W31" s="776">
        <f t="shared" ref="W31:W45" si="12">J31</f>
        <v>100</v>
      </c>
      <c r="X31" s="1814"/>
      <c r="Y31" s="3178"/>
      <c r="Z31" s="1815" t="str">
        <f t="shared" ref="Z31:Z45" si="13">Q31</f>
        <v>临街状况</v>
      </c>
      <c r="AA31" s="1812">
        <f t="shared" si="3"/>
        <v>1</v>
      </c>
      <c r="AB31" s="1812">
        <f t="shared" si="4"/>
        <v>1</v>
      </c>
      <c r="AC31" s="1812">
        <f t="shared" si="5"/>
        <v>1</v>
      </c>
    </row>
    <row r="32" spans="1:29" ht="27">
      <c r="A32" s="429"/>
      <c r="B32" s="1384"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0"/>
      <c r="M32" s="1131"/>
      <c r="N32" s="1131"/>
      <c r="O32" s="1139"/>
      <c r="P32" s="3178"/>
      <c r="Q32" s="1811" t="str">
        <f t="shared" si="8"/>
        <v>毗邻道路的类型与等级</v>
      </c>
      <c r="R32" s="775" t="s">
        <v>17</v>
      </c>
      <c r="S32" s="776">
        <f t="shared" si="10"/>
        <v>100</v>
      </c>
      <c r="T32" s="775" t="s">
        <v>17</v>
      </c>
      <c r="U32" s="776">
        <f t="shared" si="11"/>
        <v>100</v>
      </c>
      <c r="V32" s="775" t="s">
        <v>17</v>
      </c>
      <c r="W32" s="776">
        <f t="shared" si="12"/>
        <v>100</v>
      </c>
      <c r="X32" s="1814"/>
      <c r="Y32" s="3178"/>
      <c r="Z32" s="1815" t="str">
        <f t="shared" si="13"/>
        <v>毗邻道路的类型与等级</v>
      </c>
      <c r="AA32" s="1812">
        <f t="shared" si="3"/>
        <v>1</v>
      </c>
      <c r="AB32" s="1812">
        <f t="shared" si="4"/>
        <v>1</v>
      </c>
      <c r="AC32" s="1812">
        <f t="shared" si="5"/>
        <v>1</v>
      </c>
    </row>
    <row r="33" spans="1:29" ht="15">
      <c r="A33" s="429"/>
      <c r="B33" s="457"/>
      <c r="C33" s="448"/>
      <c r="D33" s="449"/>
      <c r="E33" s="2608"/>
      <c r="F33" s="449"/>
      <c r="G33" s="2608"/>
      <c r="H33" s="449"/>
      <c r="I33" s="448"/>
      <c r="J33" s="449"/>
      <c r="K33" s="614"/>
      <c r="L33" s="1140"/>
      <c r="M33" s="1131"/>
      <c r="N33" s="1131"/>
      <c r="O33" s="1139"/>
      <c r="P33" s="3178"/>
      <c r="Q33" s="1811"/>
      <c r="R33" s="775"/>
      <c r="S33" s="776"/>
      <c r="T33" s="775"/>
      <c r="U33" s="776"/>
      <c r="V33" s="775"/>
      <c r="W33" s="776"/>
      <c r="X33" s="1814"/>
      <c r="Y33" s="3178"/>
      <c r="Z33" s="1815"/>
      <c r="AA33" s="1812">
        <v>1</v>
      </c>
      <c r="AB33" s="1812">
        <v>1</v>
      </c>
      <c r="AC33" s="1812">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178"/>
      <c r="Q34" s="1811" t="str">
        <f t="shared" si="8"/>
        <v>土地级别</v>
      </c>
      <c r="R34" s="775" t="s">
        <v>17</v>
      </c>
      <c r="S34" s="776">
        <f t="shared" si="10"/>
        <v>100</v>
      </c>
      <c r="T34" s="775" t="s">
        <v>17</v>
      </c>
      <c r="U34" s="776">
        <f t="shared" si="11"/>
        <v>100</v>
      </c>
      <c r="V34" s="775" t="s">
        <v>17</v>
      </c>
      <c r="W34" s="776">
        <f t="shared" si="12"/>
        <v>100</v>
      </c>
      <c r="X34" s="1814"/>
      <c r="Y34" s="3178"/>
      <c r="Z34" s="1815" t="str">
        <f t="shared" si="13"/>
        <v>土地级别</v>
      </c>
      <c r="AA34" s="1812">
        <f t="shared" si="3"/>
        <v>1</v>
      </c>
      <c r="AB34" s="1812">
        <f t="shared" si="4"/>
        <v>1</v>
      </c>
      <c r="AC34" s="1812">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178"/>
      <c r="Q35" s="1811">
        <f t="shared" si="8"/>
        <v>111</v>
      </c>
      <c r="R35" s="775" t="s">
        <v>17</v>
      </c>
      <c r="S35" s="776">
        <f t="shared" si="10"/>
        <v>100</v>
      </c>
      <c r="T35" s="775" t="s">
        <v>17</v>
      </c>
      <c r="U35" s="776">
        <f t="shared" si="11"/>
        <v>100</v>
      </c>
      <c r="V35" s="775" t="s">
        <v>17</v>
      </c>
      <c r="W35" s="776">
        <f t="shared" si="12"/>
        <v>100</v>
      </c>
      <c r="X35" s="1814"/>
      <c r="Y35" s="3178"/>
      <c r="Z35" s="1815">
        <f t="shared" si="13"/>
        <v>111</v>
      </c>
      <c r="AA35" s="1812">
        <f t="shared" si="3"/>
        <v>1</v>
      </c>
      <c r="AB35" s="1812">
        <f t="shared" si="4"/>
        <v>1</v>
      </c>
      <c r="AC35" s="1812">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33" t="s">
        <v>2563</v>
      </c>
      <c r="Q36" s="1811">
        <f t="shared" si="8"/>
        <v>111</v>
      </c>
      <c r="R36" s="775" t="s">
        <v>17</v>
      </c>
      <c r="S36" s="776">
        <f t="shared" si="10"/>
        <v>100</v>
      </c>
      <c r="T36" s="775" t="s">
        <v>17</v>
      </c>
      <c r="U36" s="776">
        <f t="shared" si="11"/>
        <v>100</v>
      </c>
      <c r="V36" s="775" t="s">
        <v>17</v>
      </c>
      <c r="W36" s="776">
        <f t="shared" si="12"/>
        <v>100</v>
      </c>
      <c r="X36" s="1814"/>
      <c r="Y36" s="3182" t="s">
        <v>2563</v>
      </c>
      <c r="Z36" s="1815">
        <f t="shared" si="13"/>
        <v>111</v>
      </c>
      <c r="AA36" s="1812">
        <f t="shared" si="3"/>
        <v>1</v>
      </c>
      <c r="AB36" s="1812">
        <f t="shared" si="4"/>
        <v>1</v>
      </c>
      <c r="AC36" s="1812">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182"/>
      <c r="Q37" s="1811">
        <f t="shared" si="8"/>
        <v>111</v>
      </c>
      <c r="R37" s="778" t="s">
        <v>17</v>
      </c>
      <c r="S37" s="779">
        <f t="shared" si="10"/>
        <v>100</v>
      </c>
      <c r="T37" s="778" t="s">
        <v>17</v>
      </c>
      <c r="U37" s="779">
        <f t="shared" si="11"/>
        <v>100</v>
      </c>
      <c r="V37" s="778" t="s">
        <v>17</v>
      </c>
      <c r="W37" s="779">
        <f t="shared" si="12"/>
        <v>100</v>
      </c>
      <c r="X37" s="780"/>
      <c r="Y37" s="3182"/>
      <c r="Z37" s="781">
        <f t="shared" si="13"/>
        <v>111</v>
      </c>
      <c r="AA37" s="1812">
        <f t="shared" si="3"/>
        <v>1</v>
      </c>
      <c r="AB37" s="1812">
        <f t="shared" si="4"/>
        <v>1</v>
      </c>
      <c r="AC37" s="1812">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0"/>
      <c r="M38" s="1131"/>
      <c r="N38" s="1131"/>
      <c r="O38" s="1139"/>
      <c r="P38" s="3182"/>
      <c r="Q38" s="1811" t="str">
        <f>B38</f>
        <v>宗地面积</v>
      </c>
      <c r="R38" s="775" t="s">
        <v>17</v>
      </c>
      <c r="S38" s="776" t="e">
        <f t="shared" si="10"/>
        <v>#N/A</v>
      </c>
      <c r="T38" s="775" t="s">
        <v>17</v>
      </c>
      <c r="U38" s="776" t="e">
        <f t="shared" si="11"/>
        <v>#N/A</v>
      </c>
      <c r="V38" s="775" t="s">
        <v>17</v>
      </c>
      <c r="W38" s="776" t="e">
        <f t="shared" si="12"/>
        <v>#N/A</v>
      </c>
      <c r="X38" s="1814"/>
      <c r="Y38" s="3182"/>
      <c r="Z38" s="1815" t="str">
        <f t="shared" si="13"/>
        <v>宗地面积</v>
      </c>
      <c r="AA38" s="1812" t="e">
        <f t="shared" si="3"/>
        <v>#N/A</v>
      </c>
      <c r="AB38" s="1812" t="e">
        <f t="shared" si="4"/>
        <v>#N/A</v>
      </c>
      <c r="AC38" s="1812" t="e">
        <f t="shared" si="5"/>
        <v>#N/A</v>
      </c>
    </row>
    <row r="39" spans="1:29" ht="15">
      <c r="A39" s="473"/>
      <c r="B39" s="423" t="s">
        <v>2750</v>
      </c>
      <c r="C39" s="2610"/>
      <c r="D39" s="436">
        <v>100</v>
      </c>
      <c r="E39" s="2610"/>
      <c r="F39" s="436">
        <f>SUMIF(119:119,E39,120:120)-SUMIF(119:119,C39,120:120)+100</f>
        <v>100</v>
      </c>
      <c r="G39" s="2610"/>
      <c r="H39" s="436">
        <f>SUMIF(119:119,G39,120:120)-SUMIF(119:119,C39,120:120)+100</f>
        <v>100</v>
      </c>
      <c r="I39" s="2610"/>
      <c r="J39" s="436">
        <f>SUMIF(119:119,I39,120:120)-SUMIF(119:119,C39,120:120)+100</f>
        <v>100</v>
      </c>
      <c r="K39" s="613"/>
      <c r="L39" s="1140"/>
      <c r="M39" s="1131"/>
      <c r="N39" s="1131"/>
      <c r="O39" s="1139"/>
      <c r="P39" s="3182"/>
      <c r="Q39" s="1811" t="str">
        <f t="shared" ref="Q39:Q45" si="14">B39</f>
        <v>宗地形状</v>
      </c>
      <c r="R39" s="775" t="s">
        <v>17</v>
      </c>
      <c r="S39" s="776">
        <f t="shared" si="10"/>
        <v>100</v>
      </c>
      <c r="T39" s="775" t="s">
        <v>17</v>
      </c>
      <c r="U39" s="776">
        <f t="shared" si="11"/>
        <v>100</v>
      </c>
      <c r="V39" s="775" t="s">
        <v>17</v>
      </c>
      <c r="W39" s="776">
        <f t="shared" si="12"/>
        <v>100</v>
      </c>
      <c r="X39" s="1814"/>
      <c r="Y39" s="3182"/>
      <c r="Z39" s="1815" t="str">
        <f t="shared" si="13"/>
        <v>宗地形状</v>
      </c>
      <c r="AA39" s="1812">
        <f t="shared" si="3"/>
        <v>1</v>
      </c>
      <c r="AB39" s="1812">
        <f t="shared" si="4"/>
        <v>1</v>
      </c>
      <c r="AC39" s="1812">
        <f t="shared" si="5"/>
        <v>1</v>
      </c>
    </row>
    <row r="40" spans="1:29" ht="15">
      <c r="A40" s="473"/>
      <c r="B40" s="423" t="s">
        <v>2751</v>
      </c>
      <c r="C40" s="2610"/>
      <c r="D40" s="436">
        <v>100</v>
      </c>
      <c r="E40" s="2610"/>
      <c r="F40" s="436">
        <f>SUMIF(121:121,E40,122:122)-SUMIF(121:121,C40,122:122)+100</f>
        <v>100</v>
      </c>
      <c r="G40" s="2610"/>
      <c r="H40" s="436">
        <f>SUMIF(121:121,G40,122:122)-SUMIF(121:121,C40,122:122)+100</f>
        <v>100</v>
      </c>
      <c r="I40" s="2610"/>
      <c r="J40" s="436">
        <f>SUMIF(121:121,I40,122:122)-SUMIF(121:121,C40,122:122)+100</f>
        <v>100</v>
      </c>
      <c r="K40" s="613"/>
      <c r="L40" s="1140"/>
      <c r="M40" s="1131"/>
      <c r="N40" s="1131"/>
      <c r="O40" s="1139"/>
      <c r="P40" s="3182"/>
      <c r="Q40" s="1811" t="str">
        <f t="shared" si="14"/>
        <v>临街宽度及深度</v>
      </c>
      <c r="R40" s="775" t="s">
        <v>17</v>
      </c>
      <c r="S40" s="776">
        <f t="shared" si="10"/>
        <v>100</v>
      </c>
      <c r="T40" s="775" t="s">
        <v>17</v>
      </c>
      <c r="U40" s="776">
        <f t="shared" si="11"/>
        <v>100</v>
      </c>
      <c r="V40" s="775" t="s">
        <v>17</v>
      </c>
      <c r="W40" s="776">
        <f t="shared" si="12"/>
        <v>100</v>
      </c>
      <c r="X40" s="1814"/>
      <c r="Y40" s="3182"/>
      <c r="Z40" s="1815" t="str">
        <f t="shared" si="13"/>
        <v>临街宽度及深度</v>
      </c>
      <c r="AA40" s="1812">
        <f t="shared" si="3"/>
        <v>1</v>
      </c>
      <c r="AB40" s="1812">
        <f t="shared" si="4"/>
        <v>1</v>
      </c>
      <c r="AC40" s="1812">
        <f t="shared" si="5"/>
        <v>1</v>
      </c>
    </row>
    <row r="41" spans="1:29" s="117" customFormat="1" ht="15">
      <c r="A41" s="474"/>
      <c r="B41" s="423" t="s">
        <v>2752</v>
      </c>
      <c r="C41" s="2699"/>
      <c r="D41" s="136">
        <v>100</v>
      </c>
      <c r="E41" s="2699"/>
      <c r="F41" s="436">
        <f>SUMIF(123:123,E41,124:124)-SUMIF(123:123,C41,124:124)+100</f>
        <v>100</v>
      </c>
      <c r="G41" s="2699"/>
      <c r="H41" s="436">
        <f>SUMIF(123:123,G41,124:124)-SUMIF(123:123,C41,124:124)+100</f>
        <v>100</v>
      </c>
      <c r="I41" s="2699"/>
      <c r="J41" s="436">
        <f>SUMIF(123:123,I41,124:124)-SUMIF(123:123,C41,124:124)+100</f>
        <v>100</v>
      </c>
      <c r="K41" s="613"/>
      <c r="L41" s="1132"/>
      <c r="M41" s="1133"/>
      <c r="N41" s="1133"/>
      <c r="O41" s="1134"/>
      <c r="P41" s="3182"/>
      <c r="Q41" s="1811" t="str">
        <f t="shared" si="14"/>
        <v>宗地开发程度</v>
      </c>
      <c r="R41" s="771" t="s">
        <v>17</v>
      </c>
      <c r="S41" s="772">
        <f t="shared" si="10"/>
        <v>100</v>
      </c>
      <c r="T41" s="771" t="s">
        <v>17</v>
      </c>
      <c r="U41" s="772">
        <f t="shared" si="11"/>
        <v>100</v>
      </c>
      <c r="V41" s="771" t="s">
        <v>17</v>
      </c>
      <c r="W41" s="772">
        <f t="shared" si="12"/>
        <v>100</v>
      </c>
      <c r="X41" s="773"/>
      <c r="Y41" s="3182"/>
      <c r="Z41" s="55" t="str">
        <f t="shared" si="13"/>
        <v>宗地开发程度</v>
      </c>
      <c r="AA41" s="774">
        <f t="shared" si="3"/>
        <v>1</v>
      </c>
      <c r="AB41" s="774">
        <f t="shared" si="4"/>
        <v>1</v>
      </c>
      <c r="AC41" s="774">
        <f t="shared" si="5"/>
        <v>1</v>
      </c>
    </row>
    <row r="42" spans="1:29" ht="15">
      <c r="A42" s="473"/>
      <c r="B42" s="423" t="s">
        <v>2753</v>
      </c>
      <c r="C42" s="2610"/>
      <c r="D42" s="436">
        <v>100</v>
      </c>
      <c r="E42" s="2610"/>
      <c r="F42" s="436">
        <f>SUMIF(125:125,E42,126:126)-SUMIF(125:125,C42,126:126)+100</f>
        <v>100</v>
      </c>
      <c r="G42" s="2610"/>
      <c r="H42" s="436">
        <f>SUMIF(125:125,G42,126:126)-SUMIF(125:125,C42,126:126)+100</f>
        <v>100</v>
      </c>
      <c r="I42" s="2610"/>
      <c r="J42" s="436">
        <f>SUMIF(125:125,I42,126:126)-SUMIF(125:125,C42,126:126)+100</f>
        <v>100</v>
      </c>
      <c r="K42" s="613"/>
      <c r="L42" s="1140"/>
      <c r="M42" s="1131"/>
      <c r="N42" s="1131"/>
      <c r="O42" s="1139"/>
      <c r="P42" s="3182" t="s">
        <v>2563</v>
      </c>
      <c r="Q42" s="1811" t="str">
        <f t="shared" si="14"/>
        <v>工程地质条件</v>
      </c>
      <c r="R42" s="775" t="s">
        <v>17</v>
      </c>
      <c r="S42" s="776">
        <f t="shared" si="10"/>
        <v>100</v>
      </c>
      <c r="T42" s="775" t="s">
        <v>17</v>
      </c>
      <c r="U42" s="776">
        <f t="shared" si="11"/>
        <v>100</v>
      </c>
      <c r="V42" s="775" t="s">
        <v>17</v>
      </c>
      <c r="W42" s="776">
        <f t="shared" si="12"/>
        <v>100</v>
      </c>
      <c r="X42" s="1814"/>
      <c r="Y42" s="3182" t="s">
        <v>2563</v>
      </c>
      <c r="Z42" s="1815" t="str">
        <f t="shared" si="13"/>
        <v>工程地质条件</v>
      </c>
      <c r="AA42" s="1812">
        <f t="shared" si="3"/>
        <v>1</v>
      </c>
      <c r="AB42" s="1812">
        <f t="shared" si="4"/>
        <v>1</v>
      </c>
      <c r="AC42" s="1812">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182"/>
      <c r="Q43" s="1811">
        <f t="shared" si="14"/>
        <v>111</v>
      </c>
      <c r="R43" s="775" t="s">
        <v>17</v>
      </c>
      <c r="S43" s="776">
        <f t="shared" si="10"/>
        <v>100</v>
      </c>
      <c r="T43" s="775" t="s">
        <v>17</v>
      </c>
      <c r="U43" s="776">
        <f t="shared" si="11"/>
        <v>100</v>
      </c>
      <c r="V43" s="775" t="s">
        <v>17</v>
      </c>
      <c r="W43" s="776">
        <f t="shared" si="12"/>
        <v>100</v>
      </c>
      <c r="X43" s="1814"/>
      <c r="Y43" s="3182"/>
      <c r="Z43" s="1815">
        <f t="shared" si="13"/>
        <v>111</v>
      </c>
      <c r="AA43" s="1812">
        <f t="shared" si="3"/>
        <v>1</v>
      </c>
      <c r="AB43" s="1812">
        <f t="shared" si="4"/>
        <v>1</v>
      </c>
      <c r="AC43" s="1812">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182"/>
      <c r="Q44" s="1811">
        <f t="shared" si="14"/>
        <v>111</v>
      </c>
      <c r="R44" s="775" t="s">
        <v>17</v>
      </c>
      <c r="S44" s="776">
        <f t="shared" si="10"/>
        <v>100</v>
      </c>
      <c r="T44" s="775" t="s">
        <v>17</v>
      </c>
      <c r="U44" s="776">
        <f t="shared" si="11"/>
        <v>100</v>
      </c>
      <c r="V44" s="775" t="s">
        <v>17</v>
      </c>
      <c r="W44" s="776">
        <f t="shared" si="12"/>
        <v>100</v>
      </c>
      <c r="X44" s="1814"/>
      <c r="Y44" s="3182"/>
      <c r="Z44" s="1815">
        <f t="shared" si="13"/>
        <v>111</v>
      </c>
      <c r="AA44" s="1812">
        <f t="shared" si="3"/>
        <v>1</v>
      </c>
      <c r="AB44" s="1812">
        <f t="shared" si="4"/>
        <v>1</v>
      </c>
      <c r="AC44" s="1812">
        <f t="shared" si="5"/>
        <v>1</v>
      </c>
    </row>
    <row r="45" spans="1:29" s="472" customFormat="1" ht="15.75" thickBot="1">
      <c r="A45" s="469"/>
      <c r="B45" s="1387">
        <v>111</v>
      </c>
      <c r="C45" s="2700"/>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182"/>
      <c r="Q45" s="1811">
        <f t="shared" si="14"/>
        <v>111</v>
      </c>
      <c r="R45" s="778" t="s">
        <v>17</v>
      </c>
      <c r="S45" s="779">
        <f t="shared" si="10"/>
        <v>100</v>
      </c>
      <c r="T45" s="778" t="s">
        <v>17</v>
      </c>
      <c r="U45" s="779">
        <f t="shared" si="11"/>
        <v>100</v>
      </c>
      <c r="V45" s="778" t="s">
        <v>17</v>
      </c>
      <c r="W45" s="779">
        <f t="shared" si="12"/>
        <v>100</v>
      </c>
      <c r="X45" s="780"/>
      <c r="Y45" s="3182"/>
      <c r="Z45" s="781">
        <f t="shared" si="13"/>
        <v>111</v>
      </c>
      <c r="AA45" s="1812">
        <f t="shared" si="3"/>
        <v>1</v>
      </c>
      <c r="AB45" s="1812">
        <f t="shared" si="4"/>
        <v>1</v>
      </c>
      <c r="AC45" s="1812">
        <f t="shared" si="5"/>
        <v>1</v>
      </c>
    </row>
    <row r="46" spans="1:29" ht="15">
      <c r="A46" s="480" t="s">
        <v>2718</v>
      </c>
      <c r="B46" s="2701" t="s">
        <v>2754</v>
      </c>
      <c r="C46" s="683" t="s">
        <v>1</v>
      </c>
      <c r="D46" s="482"/>
      <c r="E46" s="483"/>
      <c r="F46" s="484"/>
      <c r="G46" s="485"/>
      <c r="H46" s="486"/>
      <c r="I46" s="483"/>
      <c r="J46" s="486"/>
      <c r="K46" s="784"/>
      <c r="L46" s="1143"/>
      <c r="M46" s="1144"/>
      <c r="N46" s="1131"/>
      <c r="O46" s="1144"/>
      <c r="P46" s="3175" t="str">
        <f>A46</f>
        <v>成交单价</v>
      </c>
      <c r="Q46" s="3175"/>
      <c r="R46" s="3206">
        <f>E46</f>
        <v>0</v>
      </c>
      <c r="S46" s="3206"/>
      <c r="T46" s="3206">
        <f>G46</f>
        <v>0</v>
      </c>
      <c r="U46" s="3206"/>
      <c r="V46" s="3206">
        <f>I46</f>
        <v>0</v>
      </c>
      <c r="W46" s="3206"/>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3"/>
      <c r="M47" s="1144"/>
      <c r="N47" s="1144"/>
      <c r="O47" s="1144"/>
      <c r="P47" s="3175" t="str">
        <f>A47</f>
        <v>比较价值（元/平方米）</v>
      </c>
      <c r="Q47" s="3175"/>
      <c r="R47" s="3234" t="e">
        <f>ROUND(PRODUCT(R46,AA7:AA45),0)</f>
        <v>#DIV/0!</v>
      </c>
      <c r="S47" s="3234"/>
      <c r="T47" s="3234" t="e">
        <f>ROUND(PRODUCT(T46,AB7:AB45),0)</f>
        <v>#DIV/0!</v>
      </c>
      <c r="U47" s="3234"/>
      <c r="V47" s="3234" t="e">
        <f>ROUND(PRODUCT(V46,AC7:AC45),0)</f>
        <v>#DIV/0!</v>
      </c>
      <c r="W47" s="3234"/>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3"/>
      <c r="M48" s="1144"/>
      <c r="N48" s="1144"/>
      <c r="O48" s="1144"/>
      <c r="P48" s="3172" t="str">
        <f>A48</f>
        <v>估价对象XX用房的比较价值（楼面单价，元/平方米）</v>
      </c>
      <c r="Q48" s="3173"/>
      <c r="R48" s="3235" t="e">
        <f>ROUND(AVERAGE(R47:V47),0)</f>
        <v>#DIV/0!</v>
      </c>
      <c r="S48" s="3235"/>
      <c r="T48" s="3235"/>
      <c r="U48" s="3235"/>
      <c r="V48" s="3235"/>
      <c r="W48" s="3235"/>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5"/>
      <c r="L51" s="1106"/>
      <c r="M51" s="1144"/>
      <c r="N51" s="1144"/>
      <c r="O51" s="1144"/>
    </row>
    <row r="52" spans="1:15" ht="13.5" customHeight="1">
      <c r="A52" s="1144"/>
      <c r="B52" s="1144"/>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5"/>
      <c r="L52" s="1106"/>
      <c r="M52" s="1144"/>
      <c r="N52" s="1144"/>
      <c r="O52" s="1144"/>
    </row>
    <row r="53" spans="1:15" s="503" customFormat="1" ht="13.5" customHeight="1">
      <c r="A53" s="1145"/>
      <c r="B53" s="1145"/>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2756</v>
      </c>
      <c r="B55" s="686" t="s">
        <v>2757</v>
      </c>
      <c r="C55" s="2702" t="s">
        <v>2758</v>
      </c>
      <c r="D55" s="2703" t="s">
        <v>2759</v>
      </c>
      <c r="E55" s="687" t="s">
        <v>2760</v>
      </c>
      <c r="F55" s="1107" t="s">
        <v>2761</v>
      </c>
      <c r="G55" s="3190" t="s">
        <v>2762</v>
      </c>
      <c r="H55" s="3236"/>
      <c r="I55" s="144" t="s">
        <v>2763</v>
      </c>
      <c r="J55" s="2704">
        <f>项目基本情况!F35</f>
        <v>0</v>
      </c>
      <c r="K55" s="2705" t="s">
        <v>2764</v>
      </c>
      <c r="L55" s="1106"/>
      <c r="M55" s="1144"/>
      <c r="N55" s="1144"/>
      <c r="O55" s="1144"/>
    </row>
    <row r="56" spans="1:15" s="693" customFormat="1">
      <c r="A56" s="689" t="s">
        <v>2765</v>
      </c>
      <c r="B56" s="690" t="e">
        <f>C48</f>
        <v>#DIV/0!</v>
      </c>
      <c r="C56" s="691">
        <v>1</v>
      </c>
      <c r="D56" s="1163">
        <v>1</v>
      </c>
      <c r="E56" s="691">
        <f>'数据-汇总表'!E8+'数据-汇总表'!E9</f>
        <v>38627.68</v>
      </c>
      <c r="F56" s="1103" t="e">
        <f t="shared" ref="F56:F65" si="15">ROUND(B56*E56/10000,0)</f>
        <v>#DIV/0!</v>
      </c>
      <c r="G56" s="3186"/>
      <c r="H56" s="3175"/>
      <c r="I56" s="1108">
        <v>1</v>
      </c>
      <c r="J56" s="1111">
        <v>1</v>
      </c>
      <c r="K56" s="1145"/>
      <c r="L56" s="941"/>
      <c r="M56" s="941"/>
      <c r="N56" s="941"/>
      <c r="O56" s="941"/>
    </row>
    <row r="57" spans="1:15" s="693" customFormat="1">
      <c r="A57" s="694" t="s">
        <v>2766</v>
      </c>
      <c r="B57" s="263" t="e">
        <f>ROUND($C$48*C57*D57,0)</f>
        <v>#DIV/0!</v>
      </c>
      <c r="C57" s="201">
        <f t="shared" ref="C57:C65" si="16">IF($C$55="北京市系数",I57,J57)</f>
        <v>0.7</v>
      </c>
      <c r="D57" s="1164">
        <v>0.25</v>
      </c>
      <c r="E57" s="695"/>
      <c r="F57" s="1103" t="e">
        <f t="shared" si="15"/>
        <v>#DIV/0!</v>
      </c>
      <c r="G57" s="3237" t="s">
        <v>2767</v>
      </c>
      <c r="H57" s="1104" t="str">
        <f>项目基本情况!B37</f>
        <v>六级</v>
      </c>
      <c r="I57" s="1108">
        <f>SUMIF(修正!A45:A56,H57,修正!B45:B56)</f>
        <v>0.7</v>
      </c>
      <c r="J57" s="1112"/>
      <c r="K57" s="1144"/>
      <c r="L57" s="941"/>
      <c r="M57" s="941"/>
      <c r="N57" s="941"/>
      <c r="O57" s="941"/>
    </row>
    <row r="58" spans="1:15" s="693" customFormat="1">
      <c r="A58" s="694" t="s">
        <v>2768</v>
      </c>
      <c r="B58" s="263" t="e">
        <f t="shared" ref="B58:B65" si="17">ROUND($C$48*C58*D58,0)</f>
        <v>#DIV/0!</v>
      </c>
      <c r="C58" s="201">
        <f t="shared" si="16"/>
        <v>0.4</v>
      </c>
      <c r="D58" s="1164">
        <v>0.25</v>
      </c>
      <c r="E58" s="695"/>
      <c r="F58" s="1103" t="e">
        <f t="shared" si="15"/>
        <v>#DIV/0!</v>
      </c>
      <c r="G58" s="3237"/>
      <c r="H58" s="1104" t="str">
        <f>项目基本情况!B37</f>
        <v>六级</v>
      </c>
      <c r="I58" s="1108">
        <f>SUMIF(修正!A45:A56,H58,修正!C45:C56)</f>
        <v>0.4</v>
      </c>
      <c r="J58" s="1112"/>
      <c r="K58" s="1145"/>
      <c r="L58" s="941"/>
      <c r="M58" s="941"/>
      <c r="N58" s="941"/>
      <c r="O58" s="941"/>
    </row>
    <row r="59" spans="1:15" s="693" customFormat="1">
      <c r="A59" s="694" t="s">
        <v>2769</v>
      </c>
      <c r="B59" s="263" t="e">
        <f t="shared" si="17"/>
        <v>#DIV/0!</v>
      </c>
      <c r="C59" s="201">
        <f t="shared" si="16"/>
        <v>0.28000000000000003</v>
      </c>
      <c r="D59" s="1164">
        <v>0.25</v>
      </c>
      <c r="E59" s="695"/>
      <c r="F59" s="1103" t="e">
        <f t="shared" si="15"/>
        <v>#DIV/0!</v>
      </c>
      <c r="G59" s="3237"/>
      <c r="H59" s="1104" t="str">
        <f>项目基本情况!B37</f>
        <v>六级</v>
      </c>
      <c r="I59" s="1108">
        <f>SUMIF(修正!A45:A56,H59,修正!D45:D56)</f>
        <v>0.28000000000000003</v>
      </c>
      <c r="J59" s="1112"/>
      <c r="K59" s="1144"/>
      <c r="L59" s="941"/>
      <c r="M59" s="941"/>
      <c r="N59" s="941"/>
      <c r="O59" s="941"/>
    </row>
    <row r="60" spans="1:15" s="693" customFormat="1">
      <c r="A60" s="694" t="s">
        <v>2770</v>
      </c>
      <c r="B60" s="263" t="e">
        <f t="shared" si="17"/>
        <v>#DIV/0!</v>
      </c>
      <c r="C60" s="201">
        <f t="shared" si="16"/>
        <v>0.25</v>
      </c>
      <c r="D60" s="1164">
        <v>0.25</v>
      </c>
      <c r="E60" s="695"/>
      <c r="F60" s="1103" t="e">
        <f t="shared" si="15"/>
        <v>#DIV/0!</v>
      </c>
      <c r="G60" s="3237"/>
      <c r="H60" s="1104" t="str">
        <f>项目基本情况!B37</f>
        <v>六级</v>
      </c>
      <c r="I60" s="1108">
        <f>SUMIF(修正!A45:A56,H60,修正!E45:E56)</f>
        <v>0.25</v>
      </c>
      <c r="J60" s="1112"/>
      <c r="K60" s="1145"/>
      <c r="L60" s="941"/>
      <c r="M60" s="941"/>
      <c r="N60" s="941"/>
      <c r="O60" s="941"/>
    </row>
    <row r="61" spans="1:15" s="693" customFormat="1">
      <c r="A61" s="694" t="s">
        <v>2771</v>
      </c>
      <c r="B61" s="263" t="e">
        <f t="shared" si="17"/>
        <v>#DIV/0!</v>
      </c>
      <c r="C61" s="201">
        <f t="shared" si="16"/>
        <v>0</v>
      </c>
      <c r="D61" s="1164">
        <v>0.25</v>
      </c>
      <c r="E61" s="262">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3" customFormat="1">
      <c r="A62" s="694" t="s">
        <v>2773</v>
      </c>
      <c r="B62" s="263" t="e">
        <f t="shared" si="17"/>
        <v>#DIV/0!</v>
      </c>
      <c r="C62" s="201">
        <f t="shared" si="16"/>
        <v>0</v>
      </c>
      <c r="D62" s="1164">
        <v>0.25</v>
      </c>
      <c r="E62" s="262">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3" customFormat="1">
      <c r="A63" s="694" t="s">
        <v>2775</v>
      </c>
      <c r="B63" s="263" t="e">
        <f t="shared" si="17"/>
        <v>#DIV/0!</v>
      </c>
      <c r="C63" s="201">
        <f t="shared" si="16"/>
        <v>0</v>
      </c>
      <c r="D63" s="1164">
        <v>0.25</v>
      </c>
      <c r="E63" s="262">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3" customFormat="1">
      <c r="A64" s="694" t="s">
        <v>2777</v>
      </c>
      <c r="B64" s="263" t="e">
        <f t="shared" si="17"/>
        <v>#DIV/0!</v>
      </c>
      <c r="C64" s="201">
        <f t="shared" si="16"/>
        <v>0.2</v>
      </c>
      <c r="D64" s="1164">
        <v>0.25</v>
      </c>
      <c r="E64" s="262">
        <f>'数据-汇总表'!E14</f>
        <v>12362.01</v>
      </c>
      <c r="F64" s="1103" t="e">
        <f t="shared" si="15"/>
        <v>#DIV/0!</v>
      </c>
      <c r="G64" s="2706" t="s">
        <v>2767</v>
      </c>
      <c r="H64" s="1104" t="str">
        <f>项目基本情况!B37</f>
        <v>六级</v>
      </c>
      <c r="I64" s="1108">
        <f>SUMIF(修正!A45:A56,H64,修正!H45:H56)</f>
        <v>0.2</v>
      </c>
      <c r="J64" s="1112"/>
      <c r="K64" s="1145"/>
      <c r="L64" s="941"/>
      <c r="M64" s="941"/>
      <c r="N64" s="941"/>
      <c r="O64" s="941"/>
    </row>
    <row r="65" spans="1:17" s="693" customFormat="1" ht="15" thickBot="1">
      <c r="A65" s="694" t="s">
        <v>2778</v>
      </c>
      <c r="B65" s="263" t="e">
        <f t="shared" si="17"/>
        <v>#DIV/0!</v>
      </c>
      <c r="C65" s="201">
        <f t="shared" si="16"/>
        <v>0</v>
      </c>
      <c r="D65" s="1164">
        <v>0.25</v>
      </c>
      <c r="E65" s="262">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3" customFormat="1" ht="13.5" thickBot="1">
      <c r="A66" s="696" t="s">
        <v>2779</v>
      </c>
      <c r="B66" s="697" t="s">
        <v>28</v>
      </c>
      <c r="C66" s="697" t="s">
        <v>29</v>
      </c>
      <c r="D66" s="697" t="s">
        <v>1029</v>
      </c>
      <c r="E66" s="697">
        <f>IF(B46="楼面地价",SUM(E56:E65),'数据-汇总表'!D3)</f>
        <v>50989.69</v>
      </c>
      <c r="F66" s="698" t="e">
        <f>IF(B46="楼面地价",SUM(F56:F65),ROUND(C48*E66/10000,0))</f>
        <v>#DIV/0!</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2672</v>
      </c>
      <c r="B69" s="760"/>
      <c r="C69" s="765"/>
      <c r="D69" s="765"/>
      <c r="E69" s="765"/>
      <c r="F69" s="766"/>
      <c r="G69" s="766"/>
      <c r="H69" s="765"/>
      <c r="I69" s="765"/>
      <c r="J69" s="1159"/>
      <c r="K69" s="1160"/>
      <c r="L69" s="1161"/>
      <c r="M69" s="1159"/>
      <c r="N69" s="1159"/>
      <c r="O69" s="1159"/>
      <c r="P69" s="504"/>
      <c r="Q69" s="505"/>
    </row>
    <row r="70" spans="1:17" s="509" customFormat="1" ht="15">
      <c r="A70" s="2708" t="s">
        <v>2780</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8"/>
    </row>
    <row r="71" spans="1:17" s="117" customFormat="1" ht="30" customHeight="1">
      <c r="A71" s="2709"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8"/>
      <c r="N71" s="596"/>
      <c r="O71" s="1569"/>
      <c r="P71" s="505"/>
    </row>
    <row r="72" spans="1:17" s="117" customFormat="1" ht="15.75" thickBot="1">
      <c r="A72" s="516" t="s">
        <v>2583</v>
      </c>
      <c r="B72" s="517"/>
      <c r="C72" s="518"/>
      <c r="D72" s="519"/>
      <c r="E72" s="519"/>
      <c r="F72" s="519"/>
      <c r="G72" s="519"/>
      <c r="H72" s="519"/>
      <c r="I72" s="519"/>
      <c r="J72" s="519"/>
      <c r="K72" s="519"/>
      <c r="L72" s="519"/>
      <c r="M72" s="520"/>
      <c r="N72" s="519"/>
      <c r="O72" s="1162"/>
      <c r="P72" s="505"/>
      <c r="Q72" s="505"/>
    </row>
    <row r="73" spans="1:17" s="117" customFormat="1" ht="15">
      <c r="A73" s="522" t="s">
        <v>2548</v>
      </c>
      <c r="B73" s="511"/>
      <c r="C73" s="523" t="s">
        <v>2650</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2586</v>
      </c>
      <c r="B75" s="529" t="s">
        <v>2552</v>
      </c>
      <c r="C75" s="531"/>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2555</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c r="D80" s="550"/>
      <c r="E80" s="550"/>
      <c r="F80" s="550"/>
      <c r="G80" s="550"/>
      <c r="H80" s="550"/>
      <c r="I80" s="550"/>
      <c r="J80" s="550"/>
      <c r="K80" s="551"/>
      <c r="L80" s="552"/>
      <c r="M80" s="553"/>
      <c r="N80" s="1152"/>
      <c r="O80" s="1152"/>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3"/>
      <c r="O81" s="1153"/>
      <c r="P81" s="45"/>
      <c r="Q81" s="505"/>
    </row>
    <row r="82" spans="1:17" s="472" customFormat="1" ht="15.75" thickTop="1">
      <c r="A82" s="554"/>
      <c r="B82" s="539" t="str">
        <f>B12</f>
        <v>配建</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111</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111</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2"/>
      <c r="O90" s="1152"/>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3"/>
      <c r="O91" s="1153"/>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2"/>
      <c r="O92" s="1152"/>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3"/>
      <c r="O93" s="1153"/>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2"/>
      <c r="O94" s="1152"/>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3"/>
      <c r="O95" s="1153"/>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1"/>
      <c r="O96" s="1151"/>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3"/>
      <c r="O97" s="1153"/>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1"/>
      <c r="O98" s="1151"/>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3"/>
      <c r="O99" s="1153"/>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4"/>
      <c r="O100" s="1154"/>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4"/>
      <c r="O101" s="1154"/>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5"/>
      <c r="N102" s="1154"/>
      <c r="O102" s="1154"/>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4"/>
      <c r="O103" s="1154"/>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2"/>
      <c r="O104" s="1152"/>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3"/>
      <c r="O105" s="1153"/>
      <c r="P105" s="45"/>
      <c r="Q105" s="505"/>
    </row>
    <row r="106" spans="1:17" ht="27.75" thickTop="1">
      <c r="A106" s="535"/>
      <c r="B106" s="539" t="s">
        <v>2689</v>
      </c>
      <c r="C106" s="555"/>
      <c r="D106" s="555"/>
      <c r="E106" s="555"/>
      <c r="F106" s="555"/>
      <c r="G106" s="555"/>
      <c r="H106" s="584"/>
      <c r="I106" s="584"/>
      <c r="J106" s="584"/>
      <c r="K106" s="585"/>
      <c r="L106" s="586"/>
      <c r="M106" s="587"/>
      <c r="N106" s="1152"/>
      <c r="O106" s="1152"/>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3"/>
      <c r="O107" s="1153"/>
      <c r="P107" s="45"/>
      <c r="Q107" s="505"/>
    </row>
    <row r="108" spans="1:17" ht="15.75" thickTop="1">
      <c r="A108" s="535"/>
      <c r="B108" s="539" t="s">
        <v>2748</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111</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111</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111</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2"/>
      <c r="O116" s="1152"/>
      <c r="P116" s="45"/>
      <c r="Q116" s="505"/>
    </row>
    <row r="117" spans="1:17" ht="15">
      <c r="A117" s="535"/>
      <c r="B117" s="547"/>
      <c r="C117" s="596"/>
      <c r="D117" s="596"/>
      <c r="E117" s="596"/>
      <c r="F117" s="596"/>
      <c r="G117" s="596"/>
      <c r="H117" s="596"/>
      <c r="I117" s="596"/>
      <c r="J117" s="597"/>
      <c r="K117" s="597"/>
      <c r="L117" s="598"/>
      <c r="M117" s="599"/>
      <c r="N117" s="1152"/>
      <c r="O117" s="1152"/>
      <c r="P117" s="45"/>
      <c r="Q117" s="505"/>
    </row>
    <row r="118" spans="1:17" ht="15.75" thickBot="1">
      <c r="A118" s="535"/>
      <c r="B118" s="544"/>
      <c r="C118" s="571"/>
      <c r="D118" s="592"/>
      <c r="E118" s="592"/>
      <c r="F118" s="592"/>
      <c r="G118" s="592"/>
      <c r="H118" s="592"/>
      <c r="I118" s="592"/>
      <c r="J118" s="592"/>
      <c r="K118" s="592"/>
      <c r="L118" s="592"/>
      <c r="M118" s="593"/>
      <c r="N118" s="1153"/>
      <c r="O118" s="1153"/>
      <c r="P118" s="45"/>
      <c r="Q118" s="505"/>
    </row>
    <row r="119" spans="1:17" ht="15" thickTop="1">
      <c r="A119" s="600"/>
      <c r="B119" s="539" t="s">
        <v>2790</v>
      </c>
      <c r="C119" s="584"/>
      <c r="D119" s="584"/>
      <c r="E119" s="584"/>
      <c r="F119" s="584"/>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3"/>
      <c r="O120" s="1153"/>
      <c r="P120" s="45"/>
      <c r="Q120" s="505"/>
    </row>
    <row r="121" spans="1:17" ht="15" thickTop="1">
      <c r="A121" s="600"/>
      <c r="B121" s="539" t="s">
        <v>2791</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2792</v>
      </c>
      <c r="C123" s="555"/>
      <c r="D123" s="555"/>
      <c r="E123" s="555"/>
      <c r="F123" s="555"/>
      <c r="G123" s="555"/>
      <c r="H123" s="584"/>
      <c r="I123" s="584"/>
      <c r="J123" s="584"/>
      <c r="K123" s="585"/>
      <c r="L123" s="586"/>
      <c r="M123" s="587"/>
      <c r="N123" s="1154"/>
      <c r="O123" s="1154"/>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4"/>
      <c r="O124" s="1154"/>
      <c r="P124" s="559"/>
      <c r="Q124" s="560"/>
    </row>
    <row r="125" spans="1:17" ht="15" thickTop="1">
      <c r="A125" s="600"/>
      <c r="B125" s="539" t="s">
        <v>2793</v>
      </c>
      <c r="C125" s="555"/>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3"/>
      <c r="O126" s="1153"/>
      <c r="P126" s="45"/>
      <c r="Q126" s="505"/>
    </row>
    <row r="127" spans="1:17" ht="15" thickTop="1">
      <c r="A127" s="600"/>
      <c r="B127" s="539">
        <f>B43</f>
        <v>111</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111</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111</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4"/>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0" t="s">
        <v>2644</v>
      </c>
      <c r="D4" s="3191"/>
      <c r="E4" s="3192" t="s">
        <v>2645</v>
      </c>
      <c r="F4" s="3193"/>
      <c r="G4" s="3190" t="s">
        <v>2646</v>
      </c>
      <c r="H4" s="3191"/>
      <c r="I4" s="3190" t="s">
        <v>2647</v>
      </c>
      <c r="J4" s="3191"/>
      <c r="K4" s="611" t="s">
        <v>2648</v>
      </c>
      <c r="L4" s="1130"/>
      <c r="M4" s="1131"/>
      <c r="N4" s="1131"/>
      <c r="O4" s="1131"/>
      <c r="P4" s="3194" t="s">
        <v>2649</v>
      </c>
      <c r="Q4" s="3195"/>
      <c r="R4" s="3200" t="s">
        <v>2645</v>
      </c>
      <c r="S4" s="3201"/>
      <c r="T4" s="3200" t="s">
        <v>2646</v>
      </c>
      <c r="U4" s="3201"/>
      <c r="V4" s="3206" t="s">
        <v>2647</v>
      </c>
      <c r="W4" s="3206"/>
      <c r="X4" s="1814"/>
      <c r="Y4" s="3200" t="s">
        <v>2649</v>
      </c>
      <c r="Z4" s="3201"/>
      <c r="AA4" s="3187" t="s">
        <v>2645</v>
      </c>
      <c r="AB4" s="3188" t="s">
        <v>2646</v>
      </c>
      <c r="AC4" s="3187" t="s">
        <v>2647</v>
      </c>
    </row>
    <row r="5" spans="1:29" ht="15">
      <c r="A5" s="405"/>
      <c r="B5" s="406"/>
      <c r="C5" s="3209" t="s">
        <v>2540</v>
      </c>
      <c r="D5" s="3210"/>
      <c r="E5" s="3216" t="s">
        <v>2541</v>
      </c>
      <c r="F5" s="3217"/>
      <c r="G5" s="3209" t="s">
        <v>2542</v>
      </c>
      <c r="H5" s="3210"/>
      <c r="I5" s="3209" t="s">
        <v>2543</v>
      </c>
      <c r="J5" s="3210"/>
      <c r="K5" s="611"/>
      <c r="L5" s="1130"/>
      <c r="M5" s="1131"/>
      <c r="N5" s="1131"/>
      <c r="O5" s="1131"/>
      <c r="P5" s="3196"/>
      <c r="Q5" s="3197"/>
      <c r="R5" s="3202"/>
      <c r="S5" s="3203"/>
      <c r="T5" s="3202"/>
      <c r="U5" s="3203"/>
      <c r="V5" s="3206"/>
      <c r="W5" s="3206"/>
      <c r="X5" s="1814"/>
      <c r="Y5" s="3202"/>
      <c r="Z5" s="3203"/>
      <c r="AA5" s="3188"/>
      <c r="AB5" s="3188"/>
      <c r="AC5" s="3188"/>
    </row>
    <row r="6" spans="1:29" ht="15.75" thickBot="1">
      <c r="A6" s="407"/>
      <c r="B6" s="408"/>
      <c r="C6" s="3238" t="s">
        <v>2795</v>
      </c>
      <c r="D6" s="3239"/>
      <c r="E6" s="3240" t="s">
        <v>2795</v>
      </c>
      <c r="F6" s="3241"/>
      <c r="G6" s="3238" t="s">
        <v>2795</v>
      </c>
      <c r="H6" s="3239"/>
      <c r="I6" s="3238" t="s">
        <v>2795</v>
      </c>
      <c r="J6" s="3239"/>
      <c r="K6" s="611" t="s">
        <v>2545</v>
      </c>
      <c r="L6" s="1130"/>
      <c r="M6" s="1131"/>
      <c r="N6" s="1131"/>
      <c r="O6" s="1131"/>
      <c r="P6" s="3198"/>
      <c r="Q6" s="3199"/>
      <c r="R6" s="3202"/>
      <c r="S6" s="3203"/>
      <c r="T6" s="3204"/>
      <c r="U6" s="3205"/>
      <c r="V6" s="3206"/>
      <c r="W6" s="3206"/>
      <c r="X6" s="1814"/>
      <c r="Y6" s="3204"/>
      <c r="Z6" s="3205"/>
      <c r="AA6" s="3189"/>
      <c r="AB6" s="3189"/>
      <c r="AC6" s="3189"/>
    </row>
    <row r="7" spans="1:29" s="117" customFormat="1" ht="15.75" thickBot="1">
      <c r="A7" s="409" t="s">
        <v>2546</v>
      </c>
      <c r="B7" s="410"/>
      <c r="C7" s="411">
        <f>'数据-取费表'!B2</f>
        <v>43039</v>
      </c>
      <c r="D7" s="412">
        <v>100</v>
      </c>
      <c r="E7" s="413"/>
      <c r="F7" s="414">
        <f>SUMIF(65:65,YEAR(E7)&amp;"-"&amp;INT((MONTH(E7)+2)/3),66:66)</f>
        <v>0</v>
      </c>
      <c r="G7" s="2693"/>
      <c r="H7" s="412">
        <f>SUMIF(65:65,YEAR(G7)&amp;"-"&amp;INT((MONTH(G7)+2)/3),66:66)</f>
        <v>0</v>
      </c>
      <c r="I7" s="2693"/>
      <c r="J7" s="412">
        <f>SUMIF(65:65,YEAR(I7)&amp;"-"&amp;INT((MONTH(I7)+2)/3),66:66)</f>
        <v>0</v>
      </c>
      <c r="K7" s="612"/>
      <c r="L7" s="1132"/>
      <c r="M7" s="1133"/>
      <c r="N7" s="1133"/>
      <c r="O7" s="1133"/>
      <c r="P7" s="3211" t="s">
        <v>2547</v>
      </c>
      <c r="Q7" s="3213"/>
      <c r="R7" s="771" t="s">
        <v>17</v>
      </c>
      <c r="S7" s="772">
        <f t="shared" ref="S7:S15" si="0">F7</f>
        <v>0</v>
      </c>
      <c r="T7" s="771" t="s">
        <v>17</v>
      </c>
      <c r="U7" s="772">
        <f t="shared" ref="U7:U15" si="1">H7</f>
        <v>0</v>
      </c>
      <c r="V7" s="771" t="s">
        <v>17</v>
      </c>
      <c r="W7" s="772">
        <f t="shared" ref="W7:W15" si="2">J7</f>
        <v>0</v>
      </c>
      <c r="X7" s="773"/>
      <c r="Y7" s="3211" t="s">
        <v>2547</v>
      </c>
      <c r="Z7" s="3212"/>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11" t="s">
        <v>2550</v>
      </c>
      <c r="Q8" s="3212"/>
      <c r="R8" s="771" t="s">
        <v>17</v>
      </c>
      <c r="S8" s="772">
        <f t="shared" si="0"/>
        <v>0</v>
      </c>
      <c r="T8" s="771" t="s">
        <v>17</v>
      </c>
      <c r="U8" s="772">
        <f t="shared" si="1"/>
        <v>0</v>
      </c>
      <c r="V8" s="771" t="s">
        <v>17</v>
      </c>
      <c r="W8" s="772">
        <f t="shared" si="2"/>
        <v>0</v>
      </c>
      <c r="X8" s="773"/>
      <c r="Y8" s="3211" t="s">
        <v>2550</v>
      </c>
      <c r="Z8" s="3212"/>
      <c r="AA8" s="774" t="e">
        <f t="shared" ref="AA8:AA40" si="3">D8/F8</f>
        <v>#DIV/0!</v>
      </c>
      <c r="AB8" s="774" t="e">
        <f t="shared" ref="AB8:AB40" si="4">D8/H8</f>
        <v>#DIV/0!</v>
      </c>
      <c r="AC8" s="774" t="e">
        <f t="shared" ref="AC8:AC40" si="5">D8/J8</f>
        <v>#DIV/0!</v>
      </c>
    </row>
    <row r="9" spans="1:29" s="117" customFormat="1">
      <c r="A9" s="416" t="s">
        <v>2551</v>
      </c>
      <c r="B9" s="71" t="s">
        <v>2552</v>
      </c>
      <c r="C9" s="2696"/>
      <c r="D9" s="135">
        <v>100</v>
      </c>
      <c r="E9" s="2696"/>
      <c r="F9" s="135">
        <f>SUMIF(70:70,E9,71:71)-SUMIF(70:70,C9,71:71)+100</f>
        <v>100</v>
      </c>
      <c r="G9" s="2696"/>
      <c r="H9" s="135">
        <f>SUMIF(70:70,G9,71:71)-SUMIF(70:70,C9,71:71)+100</f>
        <v>100</v>
      </c>
      <c r="I9" s="2696"/>
      <c r="J9" s="135">
        <f>SUMIF(70:70,I9,71:71)-SUMIF(70:70,C9,71:71)+100</f>
        <v>100</v>
      </c>
      <c r="K9" s="612"/>
      <c r="L9" s="1132"/>
      <c r="M9" s="1133"/>
      <c r="N9" s="1133"/>
      <c r="O9" s="1134"/>
      <c r="P9" s="3175" t="s">
        <v>2553</v>
      </c>
      <c r="Q9" s="1796" t="str">
        <f t="shared" ref="Q9:Q15" si="6">B9</f>
        <v>用途</v>
      </c>
      <c r="R9" s="771" t="s">
        <v>17</v>
      </c>
      <c r="S9" s="772">
        <f t="shared" si="0"/>
        <v>100</v>
      </c>
      <c r="T9" s="771" t="s">
        <v>17</v>
      </c>
      <c r="U9" s="772">
        <f t="shared" si="1"/>
        <v>100</v>
      </c>
      <c r="V9" s="771" t="s">
        <v>17</v>
      </c>
      <c r="W9" s="772">
        <f t="shared" si="2"/>
        <v>100</v>
      </c>
      <c r="X9" s="773"/>
      <c r="Y9" s="3000"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110</v>
      </c>
      <c r="G10" s="433"/>
      <c r="H10" s="136">
        <f>ROUND(100/'数据-取费表'!G16,0)</f>
        <v>110</v>
      </c>
      <c r="I10" s="433"/>
      <c r="J10" s="136">
        <f>ROUND(100/'数据-取费表'!G16,0)</f>
        <v>110</v>
      </c>
      <c r="K10" s="673"/>
      <c r="L10" s="1135"/>
      <c r="M10" s="1136"/>
      <c r="N10" s="1136"/>
      <c r="O10" s="1137"/>
      <c r="P10" s="3175"/>
      <c r="Q10" s="1796" t="str">
        <f t="shared" si="6"/>
        <v>土地使用年限（年）</v>
      </c>
      <c r="R10" s="771" t="s">
        <v>17</v>
      </c>
      <c r="S10" s="772">
        <f t="shared" si="0"/>
        <v>110</v>
      </c>
      <c r="T10" s="771" t="s">
        <v>17</v>
      </c>
      <c r="U10" s="772">
        <f t="shared" si="1"/>
        <v>110</v>
      </c>
      <c r="V10" s="771" t="s">
        <v>17</v>
      </c>
      <c r="W10" s="772">
        <f t="shared" si="2"/>
        <v>110</v>
      </c>
      <c r="X10" s="773"/>
      <c r="Y10" s="3000"/>
      <c r="Z10" s="55" t="str">
        <f t="shared" si="7"/>
        <v>土地使用年限（年）</v>
      </c>
      <c r="AA10" s="774">
        <f t="shared" si="3"/>
        <v>0.90909090909090906</v>
      </c>
      <c r="AB10" s="774">
        <f t="shared" si="4"/>
        <v>0.90909090909090906</v>
      </c>
      <c r="AC10" s="774">
        <f t="shared" si="5"/>
        <v>0.90909090909090906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175"/>
      <c r="Q11" s="1796" t="str">
        <f t="shared" si="6"/>
        <v>容积率</v>
      </c>
      <c r="R11" s="771" t="s">
        <v>17</v>
      </c>
      <c r="S11" s="772" t="e">
        <f t="shared" si="0"/>
        <v>#N/A</v>
      </c>
      <c r="T11" s="771" t="s">
        <v>17</v>
      </c>
      <c r="U11" s="772" t="e">
        <f t="shared" si="1"/>
        <v>#N/A</v>
      </c>
      <c r="V11" s="771" t="s">
        <v>17</v>
      </c>
      <c r="W11" s="772" t="e">
        <f t="shared" si="2"/>
        <v>#N/A</v>
      </c>
      <c r="X11" s="773"/>
      <c r="Y11" s="3000"/>
      <c r="Z11" s="55" t="str">
        <f t="shared" si="7"/>
        <v>容积率</v>
      </c>
      <c r="AA11" s="774" t="e">
        <f t="shared" si="3"/>
        <v>#N/A</v>
      </c>
      <c r="AB11" s="774" t="e">
        <f t="shared" si="4"/>
        <v>#N/A</v>
      </c>
      <c r="AC11" s="774" t="e">
        <f t="shared" si="5"/>
        <v>#N/A</v>
      </c>
    </row>
    <row r="12" spans="1:29" s="117" customFormat="1" ht="15">
      <c r="A12" s="432"/>
      <c r="B12" s="2597">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175"/>
      <c r="Q12" s="1796">
        <f t="shared" si="6"/>
        <v>111</v>
      </c>
      <c r="R12" s="771" t="s">
        <v>17</v>
      </c>
      <c r="S12" s="772">
        <f t="shared" si="0"/>
        <v>100</v>
      </c>
      <c r="T12" s="771" t="s">
        <v>17</v>
      </c>
      <c r="U12" s="772">
        <f t="shared" si="1"/>
        <v>100</v>
      </c>
      <c r="V12" s="771" t="s">
        <v>17</v>
      </c>
      <c r="W12" s="772">
        <f t="shared" si="2"/>
        <v>100</v>
      </c>
      <c r="X12" s="773"/>
      <c r="Y12" s="3000"/>
      <c r="Z12" s="55">
        <f t="shared" si="7"/>
        <v>111</v>
      </c>
      <c r="AA12" s="774">
        <f>D12/F12</f>
        <v>1</v>
      </c>
      <c r="AB12" s="774">
        <f>D12/H12</f>
        <v>1</v>
      </c>
      <c r="AC12" s="774">
        <f>D12/J12</f>
        <v>1</v>
      </c>
    </row>
    <row r="13" spans="1:29" ht="15">
      <c r="A13" s="429"/>
      <c r="B13" s="2597">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175"/>
      <c r="Q13" s="1796">
        <f t="shared" si="6"/>
        <v>111</v>
      </c>
      <c r="R13" s="771" t="s">
        <v>17</v>
      </c>
      <c r="S13" s="772">
        <f t="shared" si="0"/>
        <v>100</v>
      </c>
      <c r="T13" s="771" t="s">
        <v>17</v>
      </c>
      <c r="U13" s="772">
        <f t="shared" si="1"/>
        <v>100</v>
      </c>
      <c r="V13" s="771" t="s">
        <v>17</v>
      </c>
      <c r="W13" s="772">
        <f t="shared" si="2"/>
        <v>100</v>
      </c>
      <c r="X13" s="773"/>
      <c r="Y13" s="3000"/>
      <c r="Z13" s="55">
        <f t="shared" si="7"/>
        <v>111</v>
      </c>
      <c r="AA13" s="774">
        <f t="shared" si="3"/>
        <v>1</v>
      </c>
      <c r="AB13" s="774">
        <f t="shared" si="4"/>
        <v>1</v>
      </c>
      <c r="AC13" s="774">
        <f t="shared" si="5"/>
        <v>1</v>
      </c>
    </row>
    <row r="14" spans="1:29" ht="15.75" thickBot="1">
      <c r="A14" s="437"/>
      <c r="B14" s="2599">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175"/>
      <c r="Q14" s="1796">
        <f t="shared" si="6"/>
        <v>111</v>
      </c>
      <c r="R14" s="771" t="s">
        <v>17</v>
      </c>
      <c r="S14" s="772">
        <f t="shared" si="0"/>
        <v>100</v>
      </c>
      <c r="T14" s="771" t="s">
        <v>17</v>
      </c>
      <c r="U14" s="772">
        <f t="shared" si="1"/>
        <v>100</v>
      </c>
      <c r="V14" s="771" t="s">
        <v>17</v>
      </c>
      <c r="W14" s="772">
        <f t="shared" si="2"/>
        <v>100</v>
      </c>
      <c r="X14" s="773"/>
      <c r="Y14" s="3000"/>
      <c r="Z14" s="55">
        <f t="shared" si="7"/>
        <v>111</v>
      </c>
      <c r="AA14" s="774">
        <f t="shared" si="3"/>
        <v>1</v>
      </c>
      <c r="AB14" s="774">
        <f t="shared" si="4"/>
        <v>1</v>
      </c>
      <c r="AC14" s="774">
        <f t="shared" si="5"/>
        <v>1</v>
      </c>
    </row>
    <row r="15" spans="1:29" ht="57">
      <c r="A15" s="441" t="s">
        <v>2557</v>
      </c>
      <c r="B15" s="630" t="s">
        <v>2796</v>
      </c>
      <c r="C15" s="269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177" t="s">
        <v>2558</v>
      </c>
      <c r="Q15" s="1811" t="str">
        <f t="shared" si="6"/>
        <v>产业集聚程度</v>
      </c>
      <c r="R15" s="775" t="s">
        <v>17</v>
      </c>
      <c r="S15" s="776">
        <f t="shared" si="0"/>
        <v>100</v>
      </c>
      <c r="T15" s="775" t="s">
        <v>17</v>
      </c>
      <c r="U15" s="776">
        <f t="shared" si="1"/>
        <v>100</v>
      </c>
      <c r="V15" s="775" t="s">
        <v>17</v>
      </c>
      <c r="W15" s="776">
        <f t="shared" si="2"/>
        <v>100</v>
      </c>
      <c r="X15" s="1814"/>
      <c r="Y15" s="3177" t="s">
        <v>2558</v>
      </c>
      <c r="Z15" s="1815" t="str">
        <f t="shared" si="7"/>
        <v>产业集聚程度</v>
      </c>
      <c r="AA15" s="1812">
        <f t="shared" si="3"/>
        <v>1</v>
      </c>
      <c r="AB15" s="1812">
        <f t="shared" si="4"/>
        <v>1</v>
      </c>
      <c r="AC15" s="1812">
        <f t="shared" si="5"/>
        <v>1</v>
      </c>
    </row>
    <row r="16" spans="1:29" ht="15">
      <c r="A16" s="429"/>
      <c r="B16" s="631"/>
      <c r="C16" s="448"/>
      <c r="D16" s="449"/>
      <c r="E16" s="2608"/>
      <c r="F16" s="449"/>
      <c r="G16" s="2608"/>
      <c r="H16" s="451"/>
      <c r="I16" s="2608"/>
      <c r="J16" s="449"/>
      <c r="K16" s="673"/>
      <c r="L16" s="1140"/>
      <c r="M16" s="1131"/>
      <c r="N16" s="1131"/>
      <c r="O16" s="1139"/>
      <c r="P16" s="3178"/>
      <c r="Q16" s="1811"/>
      <c r="R16" s="775"/>
      <c r="S16" s="776"/>
      <c r="T16" s="775"/>
      <c r="U16" s="776"/>
      <c r="V16" s="775"/>
      <c r="W16" s="776"/>
      <c r="X16" s="1814"/>
      <c r="Y16" s="3178"/>
      <c r="Z16" s="1815"/>
      <c r="AA16" s="1812">
        <v>1</v>
      </c>
      <c r="AB16" s="1812">
        <v>1</v>
      </c>
      <c r="AC16" s="1812">
        <v>1</v>
      </c>
    </row>
    <row r="17" spans="1:29" ht="85.5">
      <c r="A17" s="429"/>
      <c r="B17" s="632" t="s">
        <v>2707</v>
      </c>
      <c r="C17" s="260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178"/>
      <c r="Q17" s="1811" t="str">
        <f>B17</f>
        <v>交通便捷度</v>
      </c>
      <c r="R17" s="775" t="s">
        <v>17</v>
      </c>
      <c r="S17" s="776">
        <f>F17</f>
        <v>100</v>
      </c>
      <c r="T17" s="775" t="s">
        <v>17</v>
      </c>
      <c r="U17" s="776">
        <f>H17</f>
        <v>100</v>
      </c>
      <c r="V17" s="775" t="s">
        <v>17</v>
      </c>
      <c r="W17" s="776">
        <f>J17</f>
        <v>100</v>
      </c>
      <c r="X17" s="1814"/>
      <c r="Y17" s="3178"/>
      <c r="Z17" s="1815" t="str">
        <f>Q17</f>
        <v>交通便捷度</v>
      </c>
      <c r="AA17" s="1812">
        <f t="shared" si="3"/>
        <v>1</v>
      </c>
      <c r="AB17" s="1812">
        <f t="shared" si="4"/>
        <v>1</v>
      </c>
      <c r="AC17" s="1812">
        <f t="shared" si="5"/>
        <v>1</v>
      </c>
    </row>
    <row r="18" spans="1:29" ht="15">
      <c r="A18" s="429"/>
      <c r="B18" s="633"/>
      <c r="C18" s="448"/>
      <c r="D18" s="449"/>
      <c r="E18" s="2602"/>
      <c r="F18" s="449"/>
      <c r="G18" s="2602"/>
      <c r="H18" s="449"/>
      <c r="I18" s="2601"/>
      <c r="J18" s="449"/>
      <c r="K18" s="673"/>
      <c r="L18" s="1140"/>
      <c r="M18" s="1131"/>
      <c r="N18" s="1131"/>
      <c r="O18" s="1139"/>
      <c r="P18" s="3178"/>
      <c r="Q18" s="1811"/>
      <c r="R18" s="775"/>
      <c r="S18" s="776"/>
      <c r="T18" s="775"/>
      <c r="U18" s="776"/>
      <c r="V18" s="775"/>
      <c r="W18" s="776"/>
      <c r="X18" s="1814"/>
      <c r="Y18" s="3178"/>
      <c r="Z18" s="1815"/>
      <c r="AA18" s="1812">
        <v>1</v>
      </c>
      <c r="AB18" s="1812">
        <v>1</v>
      </c>
      <c r="AC18" s="1812">
        <v>1</v>
      </c>
    </row>
    <row r="19" spans="1:29" ht="15">
      <c r="A19" s="429"/>
      <c r="B19" s="632" t="s">
        <v>2746</v>
      </c>
      <c r="C19" s="260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178"/>
      <c r="Q19" s="1811" t="str">
        <f t="shared" ref="Q19:Q33" si="8">B19</f>
        <v>区域土地利用方向</v>
      </c>
      <c r="R19" s="775" t="s">
        <v>17</v>
      </c>
      <c r="S19" s="776">
        <f>F19</f>
        <v>100</v>
      </c>
      <c r="T19" s="775" t="s">
        <v>17</v>
      </c>
      <c r="U19" s="776">
        <f>H19</f>
        <v>100</v>
      </c>
      <c r="V19" s="775" t="s">
        <v>17</v>
      </c>
      <c r="W19" s="776">
        <f>J19</f>
        <v>100</v>
      </c>
      <c r="X19" s="1814"/>
      <c r="Y19" s="3178"/>
      <c r="Z19" s="1815" t="str">
        <f>Q19</f>
        <v>区域土地利用方向</v>
      </c>
      <c r="AA19" s="1812">
        <f t="shared" si="3"/>
        <v>1</v>
      </c>
      <c r="AB19" s="1812">
        <f t="shared" si="4"/>
        <v>1</v>
      </c>
      <c r="AC19" s="1812">
        <f t="shared" si="5"/>
        <v>1</v>
      </c>
    </row>
    <row r="20" spans="1:29" ht="15">
      <c r="A20" s="405"/>
      <c r="B20" s="633"/>
      <c r="C20" s="448"/>
      <c r="D20" s="449"/>
      <c r="E20" s="2602"/>
      <c r="F20" s="449"/>
      <c r="G20" s="2602"/>
      <c r="H20" s="449"/>
      <c r="I20" s="2602"/>
      <c r="J20" s="449"/>
      <c r="K20" s="809"/>
      <c r="L20" s="1140"/>
      <c r="M20" s="1131"/>
      <c r="N20" s="1131"/>
      <c r="O20" s="1139"/>
      <c r="P20" s="3178"/>
      <c r="Q20" s="1811"/>
      <c r="R20" s="775"/>
      <c r="S20" s="776"/>
      <c r="T20" s="775"/>
      <c r="U20" s="776"/>
      <c r="V20" s="775"/>
      <c r="W20" s="776"/>
      <c r="X20" s="1814"/>
      <c r="Y20" s="3178"/>
      <c r="Z20" s="1815"/>
      <c r="AA20" s="1812"/>
      <c r="AB20" s="1812"/>
      <c r="AC20" s="1812"/>
    </row>
    <row r="21" spans="1:29" ht="71.25">
      <c r="A21" s="405"/>
      <c r="B21" s="632" t="s">
        <v>2797</v>
      </c>
      <c r="C21" s="260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178"/>
      <c r="Q21" s="1811" t="str">
        <f t="shared" si="8"/>
        <v>环境状况</v>
      </c>
      <c r="R21" s="775" t="s">
        <v>17</v>
      </c>
      <c r="S21" s="776">
        <f>F21</f>
        <v>100</v>
      </c>
      <c r="T21" s="775" t="s">
        <v>17</v>
      </c>
      <c r="U21" s="776">
        <f>H21</f>
        <v>100</v>
      </c>
      <c r="V21" s="775" t="s">
        <v>17</v>
      </c>
      <c r="W21" s="776">
        <f>J21</f>
        <v>100</v>
      </c>
      <c r="X21" s="1814"/>
      <c r="Y21" s="3178"/>
      <c r="Z21" s="1815" t="str">
        <f>Q21</f>
        <v>环境状况</v>
      </c>
      <c r="AA21" s="1812">
        <f t="shared" si="3"/>
        <v>1</v>
      </c>
      <c r="AB21" s="1812">
        <f t="shared" si="4"/>
        <v>1</v>
      </c>
      <c r="AC21" s="1812">
        <f t="shared" si="5"/>
        <v>1</v>
      </c>
    </row>
    <row r="22" spans="1:29" ht="15">
      <c r="A22" s="405"/>
      <c r="B22" s="633"/>
      <c r="C22" s="448"/>
      <c r="D22" s="449"/>
      <c r="E22" s="2608"/>
      <c r="F22" s="449"/>
      <c r="G22" s="2608"/>
      <c r="H22" s="449"/>
      <c r="I22" s="448"/>
      <c r="J22" s="449"/>
      <c r="K22" s="673"/>
      <c r="L22" s="1140"/>
      <c r="M22" s="1131"/>
      <c r="N22" s="1131"/>
      <c r="O22" s="1139"/>
      <c r="P22" s="3178"/>
      <c r="Q22" s="1811"/>
      <c r="R22" s="775"/>
      <c r="S22" s="776"/>
      <c r="T22" s="775"/>
      <c r="U22" s="776"/>
      <c r="V22" s="775"/>
      <c r="W22" s="776"/>
      <c r="X22" s="1814"/>
      <c r="Y22" s="3178"/>
      <c r="Z22" s="1815"/>
      <c r="AA22" s="1812">
        <v>1</v>
      </c>
      <c r="AB22" s="1812">
        <v>1</v>
      </c>
      <c r="AC22" s="1812">
        <v>1</v>
      </c>
    </row>
    <row r="23" spans="1:29" s="117" customFormat="1" ht="42.75">
      <c r="A23" s="650"/>
      <c r="B23" s="634" t="s">
        <v>2652</v>
      </c>
      <c r="C23" s="260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178"/>
      <c r="Q23" s="1796" t="str">
        <f t="shared" si="8"/>
        <v>公共配套设施</v>
      </c>
      <c r="R23" s="771" t="s">
        <v>17</v>
      </c>
      <c r="S23" s="772">
        <f>F23</f>
        <v>100</v>
      </c>
      <c r="T23" s="771" t="s">
        <v>17</v>
      </c>
      <c r="U23" s="772">
        <f>H23</f>
        <v>100</v>
      </c>
      <c r="V23" s="771" t="s">
        <v>17</v>
      </c>
      <c r="W23" s="772">
        <f>J23</f>
        <v>100</v>
      </c>
      <c r="X23" s="773"/>
      <c r="Y23" s="3178"/>
      <c r="Z23" s="55" t="str">
        <f>Q23</f>
        <v>公共配套设施</v>
      </c>
      <c r="AA23" s="1812">
        <f>D23/F23</f>
        <v>1</v>
      </c>
      <c r="AB23" s="1812">
        <f>D23/H23</f>
        <v>1</v>
      </c>
      <c r="AC23" s="1812">
        <f>D23/J23</f>
        <v>1</v>
      </c>
    </row>
    <row r="24" spans="1:29" s="117" customFormat="1" ht="15">
      <c r="A24" s="650"/>
      <c r="B24" s="633"/>
      <c r="C24" s="2697"/>
      <c r="D24" s="449"/>
      <c r="E24" s="2608"/>
      <c r="F24" s="449"/>
      <c r="G24" s="2608"/>
      <c r="H24" s="449"/>
      <c r="I24" s="448"/>
      <c r="J24" s="449"/>
      <c r="K24" s="673"/>
      <c r="L24" s="1132"/>
      <c r="M24" s="1133"/>
      <c r="N24" s="1133"/>
      <c r="O24" s="1134"/>
      <c r="P24" s="3178"/>
      <c r="Q24" s="1796"/>
      <c r="R24" s="771"/>
      <c r="S24" s="772"/>
      <c r="T24" s="771"/>
      <c r="U24" s="772"/>
      <c r="V24" s="771"/>
      <c r="W24" s="772"/>
      <c r="X24" s="773"/>
      <c r="Y24" s="3178"/>
      <c r="Z24" s="55"/>
      <c r="AA24" s="774">
        <v>1</v>
      </c>
      <c r="AB24" s="774">
        <v>1</v>
      </c>
      <c r="AC24" s="774">
        <v>1</v>
      </c>
    </row>
    <row r="25" spans="1:29" s="117" customFormat="1" ht="28.5">
      <c r="A25" s="650"/>
      <c r="B25" s="634" t="s">
        <v>2653</v>
      </c>
      <c r="C25" s="260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178"/>
      <c r="Q25" s="1796" t="str">
        <f t="shared" ref="Q25" si="9">B25</f>
        <v>基础设施水平</v>
      </c>
      <c r="R25" s="771" t="s">
        <v>17</v>
      </c>
      <c r="S25" s="772">
        <f>F25</f>
        <v>100</v>
      </c>
      <c r="T25" s="771" t="s">
        <v>17</v>
      </c>
      <c r="U25" s="772">
        <f>H25</f>
        <v>100</v>
      </c>
      <c r="V25" s="771" t="s">
        <v>17</v>
      </c>
      <c r="W25" s="772">
        <f>J25</f>
        <v>100</v>
      </c>
      <c r="X25" s="773"/>
      <c r="Y25" s="3178"/>
      <c r="Z25" s="55" t="str">
        <f>Q25</f>
        <v>基础设施水平</v>
      </c>
      <c r="AA25" s="1812">
        <f>D25/F25</f>
        <v>1</v>
      </c>
      <c r="AB25" s="1812">
        <f>D25/H25</f>
        <v>1</v>
      </c>
      <c r="AC25" s="1812">
        <f>D25/J25</f>
        <v>1</v>
      </c>
    </row>
    <row r="26" spans="1:29" s="117" customFormat="1" ht="15">
      <c r="A26" s="650"/>
      <c r="B26" s="633"/>
      <c r="C26" s="2697"/>
      <c r="D26" s="449"/>
      <c r="E26" s="2698"/>
      <c r="F26" s="449"/>
      <c r="G26" s="2698"/>
      <c r="H26" s="449"/>
      <c r="I26" s="2698"/>
      <c r="J26" s="449"/>
      <c r="K26" s="673"/>
      <c r="L26" s="1132"/>
      <c r="M26" s="1133"/>
      <c r="N26" s="1133"/>
      <c r="O26" s="1134"/>
      <c r="P26" s="3178"/>
      <c r="Q26" s="1796"/>
      <c r="R26" s="771"/>
      <c r="S26" s="772"/>
      <c r="T26" s="771"/>
      <c r="U26" s="772"/>
      <c r="V26" s="771"/>
      <c r="W26" s="772"/>
      <c r="X26" s="773"/>
      <c r="Y26" s="3178"/>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178"/>
      <c r="Q27" s="1811" t="str">
        <f t="shared" si="8"/>
        <v>临街状况</v>
      </c>
      <c r="R27" s="775" t="s">
        <v>17</v>
      </c>
      <c r="S27" s="776">
        <f t="shared" ref="S27:S40" si="10">F27</f>
        <v>100</v>
      </c>
      <c r="T27" s="775" t="s">
        <v>17</v>
      </c>
      <c r="U27" s="776">
        <f t="shared" ref="U27:U40" si="11">H27</f>
        <v>100</v>
      </c>
      <c r="V27" s="775" t="s">
        <v>17</v>
      </c>
      <c r="W27" s="776">
        <f t="shared" ref="W27:W40" si="12">J27</f>
        <v>100</v>
      </c>
      <c r="X27" s="1814"/>
      <c r="Y27" s="3178"/>
      <c r="Z27" s="1815" t="str">
        <f t="shared" ref="Z27:Z40" si="13">Q27</f>
        <v>临街状况</v>
      </c>
      <c r="AA27" s="1812">
        <f t="shared" si="3"/>
        <v>1</v>
      </c>
      <c r="AB27" s="1812">
        <f t="shared" si="4"/>
        <v>1</v>
      </c>
      <c r="AC27" s="1812">
        <f t="shared" si="5"/>
        <v>1</v>
      </c>
    </row>
    <row r="28" spans="1:29" ht="28.5">
      <c r="A28" s="429"/>
      <c r="B28" s="634" t="s">
        <v>2689</v>
      </c>
      <c r="C28" s="2710" t="str">
        <f>估价对象房地状况!G22</f>
        <v>城市支路——裕民中路</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178"/>
      <c r="Q28" s="1811" t="str">
        <f t="shared" si="8"/>
        <v>毗邻道路的类型与等级</v>
      </c>
      <c r="R28" s="775" t="s">
        <v>17</v>
      </c>
      <c r="S28" s="776">
        <f t="shared" si="10"/>
        <v>100</v>
      </c>
      <c r="T28" s="775" t="s">
        <v>17</v>
      </c>
      <c r="U28" s="776">
        <f t="shared" si="11"/>
        <v>100</v>
      </c>
      <c r="V28" s="775" t="s">
        <v>17</v>
      </c>
      <c r="W28" s="776">
        <f t="shared" si="12"/>
        <v>100</v>
      </c>
      <c r="X28" s="1814"/>
      <c r="Y28" s="3178"/>
      <c r="Z28" s="1815" t="str">
        <f t="shared" si="13"/>
        <v>毗邻道路的类型与等级</v>
      </c>
      <c r="AA28" s="1812">
        <f t="shared" si="3"/>
        <v>1</v>
      </c>
      <c r="AB28" s="1812">
        <f t="shared" si="4"/>
        <v>1</v>
      </c>
      <c r="AC28" s="1812">
        <f t="shared" si="5"/>
        <v>1</v>
      </c>
    </row>
    <row r="29" spans="1:29" ht="15">
      <c r="A29" s="429"/>
      <c r="B29" s="633"/>
      <c r="C29" s="448"/>
      <c r="D29" s="449"/>
      <c r="E29" s="2608"/>
      <c r="F29" s="449"/>
      <c r="G29" s="2608"/>
      <c r="H29" s="449"/>
      <c r="I29" s="2608"/>
      <c r="J29" s="449"/>
      <c r="K29" s="614"/>
      <c r="L29" s="1140"/>
      <c r="M29" s="1131"/>
      <c r="N29" s="1131"/>
      <c r="O29" s="1139"/>
      <c r="P29" s="3178"/>
      <c r="Q29" s="1811"/>
      <c r="R29" s="775"/>
      <c r="S29" s="776"/>
      <c r="T29" s="775"/>
      <c r="U29" s="776"/>
      <c r="V29" s="775"/>
      <c r="W29" s="776"/>
      <c r="X29" s="1814"/>
      <c r="Y29" s="3178"/>
      <c r="Z29" s="1815"/>
      <c r="AA29" s="1812">
        <v>1</v>
      </c>
      <c r="AB29" s="1812">
        <v>1</v>
      </c>
      <c r="AC29" s="1812">
        <v>1</v>
      </c>
    </row>
    <row r="30" spans="1:29" ht="15">
      <c r="A30" s="429"/>
      <c r="B30" s="655" t="s">
        <v>2748</v>
      </c>
      <c r="C30" s="1389" t="str">
        <f>估价对象房地状况!G23</f>
        <v>3级</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178"/>
      <c r="Q30" s="1811" t="str">
        <f t="shared" si="8"/>
        <v>土地级别</v>
      </c>
      <c r="R30" s="775" t="s">
        <v>17</v>
      </c>
      <c r="S30" s="776">
        <f t="shared" si="10"/>
        <v>100</v>
      </c>
      <c r="T30" s="775" t="s">
        <v>17</v>
      </c>
      <c r="U30" s="776">
        <f t="shared" si="11"/>
        <v>100</v>
      </c>
      <c r="V30" s="775" t="s">
        <v>17</v>
      </c>
      <c r="W30" s="776">
        <f t="shared" si="12"/>
        <v>100</v>
      </c>
      <c r="X30" s="1814"/>
      <c r="Y30" s="3178"/>
      <c r="Z30" s="1815" t="str">
        <f t="shared" si="13"/>
        <v>土地级别</v>
      </c>
      <c r="AA30" s="1812">
        <f t="shared" si="3"/>
        <v>1</v>
      </c>
      <c r="AB30" s="1812">
        <f t="shared" si="4"/>
        <v>1</v>
      </c>
      <c r="AC30" s="1812">
        <f t="shared" si="5"/>
        <v>1</v>
      </c>
    </row>
    <row r="31" spans="1:29" ht="15">
      <c r="A31" s="405"/>
      <c r="B31" s="267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178"/>
      <c r="Q31" s="1811">
        <f t="shared" si="8"/>
        <v>111</v>
      </c>
      <c r="R31" s="775" t="s">
        <v>17</v>
      </c>
      <c r="S31" s="776">
        <f t="shared" si="10"/>
        <v>100</v>
      </c>
      <c r="T31" s="775" t="s">
        <v>17</v>
      </c>
      <c r="U31" s="776">
        <f t="shared" si="11"/>
        <v>100</v>
      </c>
      <c r="V31" s="775" t="s">
        <v>17</v>
      </c>
      <c r="W31" s="776">
        <f t="shared" si="12"/>
        <v>100</v>
      </c>
      <c r="X31" s="1814"/>
      <c r="Y31" s="3178"/>
      <c r="Z31" s="1815">
        <f t="shared" si="13"/>
        <v>111</v>
      </c>
      <c r="AA31" s="1812">
        <f t="shared" si="3"/>
        <v>1</v>
      </c>
      <c r="AB31" s="1812">
        <f t="shared" si="4"/>
        <v>1</v>
      </c>
      <c r="AC31" s="1812">
        <f t="shared" si="5"/>
        <v>1</v>
      </c>
    </row>
    <row r="32" spans="1:29" ht="15">
      <c r="A32" s="676"/>
      <c r="B32" s="271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33" t="s">
        <v>2563</v>
      </c>
      <c r="Q32" s="1811">
        <f t="shared" si="8"/>
        <v>111</v>
      </c>
      <c r="R32" s="775" t="s">
        <v>17</v>
      </c>
      <c r="S32" s="776">
        <f t="shared" si="10"/>
        <v>100</v>
      </c>
      <c r="T32" s="775" t="s">
        <v>17</v>
      </c>
      <c r="U32" s="776">
        <f t="shared" si="11"/>
        <v>100</v>
      </c>
      <c r="V32" s="775" t="s">
        <v>17</v>
      </c>
      <c r="W32" s="776">
        <f t="shared" si="12"/>
        <v>100</v>
      </c>
      <c r="X32" s="1814"/>
      <c r="Y32" s="3182" t="s">
        <v>2563</v>
      </c>
      <c r="Z32" s="1815">
        <f t="shared" si="13"/>
        <v>111</v>
      </c>
      <c r="AA32" s="1812">
        <f t="shared" si="3"/>
        <v>1</v>
      </c>
      <c r="AB32" s="1812">
        <f t="shared" si="4"/>
        <v>1</v>
      </c>
      <c r="AC32" s="1812">
        <f t="shared" si="5"/>
        <v>1</v>
      </c>
    </row>
    <row r="33" spans="1:29" s="472" customFormat="1" ht="15.75" thickBot="1">
      <c r="A33" s="677"/>
      <c r="B33" s="271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182"/>
      <c r="Q33" s="1811">
        <f t="shared" si="8"/>
        <v>111</v>
      </c>
      <c r="R33" s="778" t="s">
        <v>17</v>
      </c>
      <c r="S33" s="779">
        <f t="shared" si="10"/>
        <v>100</v>
      </c>
      <c r="T33" s="778" t="s">
        <v>17</v>
      </c>
      <c r="U33" s="779">
        <f t="shared" si="11"/>
        <v>100</v>
      </c>
      <c r="V33" s="778" t="s">
        <v>17</v>
      </c>
      <c r="W33" s="779">
        <f t="shared" si="12"/>
        <v>100</v>
      </c>
      <c r="X33" s="780"/>
      <c r="Y33" s="3182"/>
      <c r="Z33" s="781">
        <f t="shared" si="13"/>
        <v>111</v>
      </c>
      <c r="AA33" s="1812">
        <f t="shared" si="3"/>
        <v>1</v>
      </c>
      <c r="AB33" s="1812">
        <f t="shared" si="4"/>
        <v>1</v>
      </c>
      <c r="AC33" s="1812">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182"/>
      <c r="Q34" s="1811" t="str">
        <f>B34</f>
        <v>宗地面积</v>
      </c>
      <c r="R34" s="775" t="s">
        <v>17</v>
      </c>
      <c r="S34" s="776" t="e">
        <f t="shared" si="10"/>
        <v>#N/A</v>
      </c>
      <c r="T34" s="775" t="s">
        <v>17</v>
      </c>
      <c r="U34" s="776" t="e">
        <f t="shared" si="11"/>
        <v>#N/A</v>
      </c>
      <c r="V34" s="775" t="s">
        <v>17</v>
      </c>
      <c r="W34" s="776" t="e">
        <f t="shared" si="12"/>
        <v>#N/A</v>
      </c>
      <c r="X34" s="1814"/>
      <c r="Y34" s="3182"/>
      <c r="Z34" s="1815" t="str">
        <f t="shared" si="13"/>
        <v>宗地面积</v>
      </c>
      <c r="AA34" s="1812" t="e">
        <f t="shared" si="3"/>
        <v>#N/A</v>
      </c>
      <c r="AB34" s="1812" t="e">
        <f t="shared" si="4"/>
        <v>#N/A</v>
      </c>
      <c r="AC34" s="1812" t="e">
        <f t="shared" si="5"/>
        <v>#N/A</v>
      </c>
    </row>
    <row r="35" spans="1:29" ht="15">
      <c r="A35" s="473"/>
      <c r="B35" s="423" t="s">
        <v>2750</v>
      </c>
      <c r="C35" s="2610"/>
      <c r="D35" s="436">
        <v>100</v>
      </c>
      <c r="E35" s="2610"/>
      <c r="F35" s="436">
        <f>SUMIF(110:110,E35,111:111)-SUMIF(110:110,C35,111:111)+100</f>
        <v>100</v>
      </c>
      <c r="G35" s="2610"/>
      <c r="H35" s="436">
        <f>SUMIF(110:110,G35,111:111)-SUMIF(110:110,C35,111:111)+100</f>
        <v>100</v>
      </c>
      <c r="I35" s="2610"/>
      <c r="J35" s="436">
        <f>SUMIF(110:110,I35,111:111)-SUMIF(110:110,C35,111:111)+100</f>
        <v>100</v>
      </c>
      <c r="K35" s="613"/>
      <c r="L35" s="1140"/>
      <c r="M35" s="1131"/>
      <c r="N35" s="1131"/>
      <c r="O35" s="1139"/>
      <c r="P35" s="3182"/>
      <c r="Q35" s="1811" t="str">
        <f t="shared" ref="Q35:Q40" si="14">B35</f>
        <v>宗地形状</v>
      </c>
      <c r="R35" s="775" t="s">
        <v>17</v>
      </c>
      <c r="S35" s="776">
        <f t="shared" si="10"/>
        <v>100</v>
      </c>
      <c r="T35" s="775" t="s">
        <v>17</v>
      </c>
      <c r="U35" s="776">
        <f t="shared" si="11"/>
        <v>100</v>
      </c>
      <c r="V35" s="775" t="s">
        <v>17</v>
      </c>
      <c r="W35" s="776">
        <f t="shared" si="12"/>
        <v>100</v>
      </c>
      <c r="X35" s="1814"/>
      <c r="Y35" s="3182"/>
      <c r="Z35" s="1815" t="str">
        <f t="shared" si="13"/>
        <v>宗地形状</v>
      </c>
      <c r="AA35" s="1812">
        <f t="shared" si="3"/>
        <v>1</v>
      </c>
      <c r="AB35" s="1812">
        <f t="shared" si="4"/>
        <v>1</v>
      </c>
      <c r="AC35" s="1812">
        <f t="shared" si="5"/>
        <v>1</v>
      </c>
    </row>
    <row r="36" spans="1:29" s="117" customFormat="1" ht="15">
      <c r="A36" s="474"/>
      <c r="B36" s="423" t="s">
        <v>2752</v>
      </c>
      <c r="C36" s="2699"/>
      <c r="D36" s="136">
        <v>100</v>
      </c>
      <c r="E36" s="2699"/>
      <c r="F36" s="436">
        <f>SUMIF(112:112,E36,113:113)-SUMIF(112:112,C36,113:113)+100</f>
        <v>100</v>
      </c>
      <c r="G36" s="2699"/>
      <c r="H36" s="436">
        <f>SUMIF(112:112,G36,113:113)-SUMIF(112:112,C36,113:113)+100</f>
        <v>100</v>
      </c>
      <c r="I36" s="2699"/>
      <c r="J36" s="436">
        <f>SUMIF(112:112,I36,113:113)-SUMIF(112:112,C36,113:113)+100</f>
        <v>100</v>
      </c>
      <c r="K36" s="613"/>
      <c r="L36" s="1132"/>
      <c r="M36" s="1133"/>
      <c r="N36" s="1133"/>
      <c r="O36" s="1134"/>
      <c r="P36" s="3182"/>
      <c r="Q36" s="1811" t="str">
        <f t="shared" si="14"/>
        <v>宗地开发程度</v>
      </c>
      <c r="R36" s="771" t="s">
        <v>17</v>
      </c>
      <c r="S36" s="772">
        <f t="shared" si="10"/>
        <v>100</v>
      </c>
      <c r="T36" s="771" t="s">
        <v>17</v>
      </c>
      <c r="U36" s="772">
        <f t="shared" si="11"/>
        <v>100</v>
      </c>
      <c r="V36" s="771" t="s">
        <v>17</v>
      </c>
      <c r="W36" s="772">
        <f t="shared" si="12"/>
        <v>100</v>
      </c>
      <c r="X36" s="773"/>
      <c r="Y36" s="3182"/>
      <c r="Z36" s="55" t="str">
        <f t="shared" si="13"/>
        <v>宗地开发程度</v>
      </c>
      <c r="AA36" s="774">
        <f t="shared" si="3"/>
        <v>1</v>
      </c>
      <c r="AB36" s="774">
        <f t="shared" si="4"/>
        <v>1</v>
      </c>
      <c r="AC36" s="774">
        <f t="shared" si="5"/>
        <v>1</v>
      </c>
    </row>
    <row r="37" spans="1:29" ht="15">
      <c r="A37" s="473"/>
      <c r="B37" s="423" t="s">
        <v>2753</v>
      </c>
      <c r="C37" s="2610"/>
      <c r="D37" s="436">
        <v>100</v>
      </c>
      <c r="E37" s="2610"/>
      <c r="F37" s="436">
        <f>SUMIF(114:114,E37,115:115)-SUMIF(114:114,C37,115:115)+100</f>
        <v>100</v>
      </c>
      <c r="G37" s="2610"/>
      <c r="H37" s="436">
        <f>SUMIF(114:114,G37,115:115)-SUMIF(114:114,C37,115:115)+100</f>
        <v>100</v>
      </c>
      <c r="I37" s="2610"/>
      <c r="J37" s="436">
        <f>SUMIF(114:114,I37,115:115)-SUMIF(114:114,C37,115:115)+100</f>
        <v>100</v>
      </c>
      <c r="K37" s="613"/>
      <c r="L37" s="1140"/>
      <c r="M37" s="1131"/>
      <c r="N37" s="1131"/>
      <c r="O37" s="1139"/>
      <c r="P37" s="3182" t="s">
        <v>2563</v>
      </c>
      <c r="Q37" s="1811" t="str">
        <f t="shared" si="14"/>
        <v>工程地质条件</v>
      </c>
      <c r="R37" s="775" t="s">
        <v>17</v>
      </c>
      <c r="S37" s="776">
        <f t="shared" si="10"/>
        <v>100</v>
      </c>
      <c r="T37" s="775" t="s">
        <v>17</v>
      </c>
      <c r="U37" s="776">
        <f t="shared" si="11"/>
        <v>100</v>
      </c>
      <c r="V37" s="775" t="s">
        <v>17</v>
      </c>
      <c r="W37" s="776">
        <f t="shared" si="12"/>
        <v>100</v>
      </c>
      <c r="X37" s="1814"/>
      <c r="Y37" s="3182" t="s">
        <v>2563</v>
      </c>
      <c r="Z37" s="1815" t="str">
        <f t="shared" si="13"/>
        <v>工程地质条件</v>
      </c>
      <c r="AA37" s="1812">
        <f t="shared" si="3"/>
        <v>1</v>
      </c>
      <c r="AB37" s="1812">
        <f t="shared" si="4"/>
        <v>1</v>
      </c>
      <c r="AC37" s="1812">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182"/>
      <c r="Q38" s="1811">
        <f t="shared" si="14"/>
        <v>111</v>
      </c>
      <c r="R38" s="775" t="s">
        <v>17</v>
      </c>
      <c r="S38" s="776">
        <f t="shared" si="10"/>
        <v>100</v>
      </c>
      <c r="T38" s="775" t="s">
        <v>17</v>
      </c>
      <c r="U38" s="776">
        <f t="shared" si="11"/>
        <v>100</v>
      </c>
      <c r="V38" s="775" t="s">
        <v>17</v>
      </c>
      <c r="W38" s="776">
        <f t="shared" si="12"/>
        <v>100</v>
      </c>
      <c r="X38" s="1814"/>
      <c r="Y38" s="3182"/>
      <c r="Z38" s="1815">
        <f t="shared" si="13"/>
        <v>111</v>
      </c>
      <c r="AA38" s="1812">
        <f t="shared" si="3"/>
        <v>1</v>
      </c>
      <c r="AB38" s="1812">
        <f t="shared" si="4"/>
        <v>1</v>
      </c>
      <c r="AC38" s="1812">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182"/>
      <c r="Q39" s="1811">
        <f t="shared" si="14"/>
        <v>111</v>
      </c>
      <c r="R39" s="775" t="s">
        <v>17</v>
      </c>
      <c r="S39" s="776">
        <f t="shared" si="10"/>
        <v>100</v>
      </c>
      <c r="T39" s="775" t="s">
        <v>17</v>
      </c>
      <c r="U39" s="776">
        <f t="shared" si="11"/>
        <v>100</v>
      </c>
      <c r="V39" s="775" t="s">
        <v>17</v>
      </c>
      <c r="W39" s="776">
        <f t="shared" si="12"/>
        <v>100</v>
      </c>
      <c r="X39" s="1814"/>
      <c r="Y39" s="3182"/>
      <c r="Z39" s="1815">
        <f t="shared" si="13"/>
        <v>111</v>
      </c>
      <c r="AA39" s="1812">
        <f t="shared" si="3"/>
        <v>1</v>
      </c>
      <c r="AB39" s="1812">
        <f t="shared" si="4"/>
        <v>1</v>
      </c>
      <c r="AC39" s="1812">
        <f t="shared" si="5"/>
        <v>1</v>
      </c>
    </row>
    <row r="40" spans="1:29" s="472" customFormat="1" ht="15.75" thickBot="1">
      <c r="A40" s="469"/>
      <c r="B40" s="1387">
        <v>111</v>
      </c>
      <c r="C40" s="2700"/>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182"/>
      <c r="Q40" s="1811">
        <f t="shared" si="14"/>
        <v>111</v>
      </c>
      <c r="R40" s="778" t="s">
        <v>17</v>
      </c>
      <c r="S40" s="779">
        <f t="shared" si="10"/>
        <v>100</v>
      </c>
      <c r="T40" s="778" t="s">
        <v>17</v>
      </c>
      <c r="U40" s="779">
        <f t="shared" si="11"/>
        <v>100</v>
      </c>
      <c r="V40" s="778" t="s">
        <v>17</v>
      </c>
      <c r="W40" s="779">
        <f t="shared" si="12"/>
        <v>100</v>
      </c>
      <c r="X40" s="780"/>
      <c r="Y40" s="3182"/>
      <c r="Z40" s="781">
        <f t="shared" si="13"/>
        <v>111</v>
      </c>
      <c r="AA40" s="1812">
        <f t="shared" si="3"/>
        <v>1</v>
      </c>
      <c r="AB40" s="1812">
        <f t="shared" si="4"/>
        <v>1</v>
      </c>
      <c r="AC40" s="1812">
        <f t="shared" si="5"/>
        <v>1</v>
      </c>
    </row>
    <row r="41" spans="1:29" ht="15">
      <c r="A41" s="480" t="s">
        <v>2718</v>
      </c>
      <c r="B41" s="2701" t="s">
        <v>2798</v>
      </c>
      <c r="C41" s="683" t="s">
        <v>1</v>
      </c>
      <c r="D41" s="482"/>
      <c r="E41" s="483"/>
      <c r="F41" s="484"/>
      <c r="G41" s="485"/>
      <c r="H41" s="486"/>
      <c r="I41" s="483"/>
      <c r="J41" s="486"/>
      <c r="K41" s="784"/>
      <c r="L41" s="1143"/>
      <c r="M41" s="1131"/>
      <c r="N41" s="1131"/>
      <c r="O41" s="1144"/>
      <c r="P41" s="3175" t="str">
        <f>A41</f>
        <v>成交单价</v>
      </c>
      <c r="Q41" s="3175"/>
      <c r="R41" s="3206">
        <f>E41</f>
        <v>0</v>
      </c>
      <c r="S41" s="3206"/>
      <c r="T41" s="3206">
        <f>G41</f>
        <v>0</v>
      </c>
      <c r="U41" s="3206"/>
      <c r="V41" s="3206">
        <f>I41</f>
        <v>0</v>
      </c>
      <c r="W41" s="3206"/>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3"/>
      <c r="M42" s="1131"/>
      <c r="N42" s="1131"/>
      <c r="O42" s="1144"/>
      <c r="P42" s="3175" t="str">
        <f>A42</f>
        <v>比较价值（元/平方米）</v>
      </c>
      <c r="Q42" s="3175"/>
      <c r="R42" s="3234" t="e">
        <f>ROUND(PRODUCT(R41,AA7:AA40),0)</f>
        <v>#DIV/0!</v>
      </c>
      <c r="S42" s="3234"/>
      <c r="T42" s="3234" t="e">
        <f>ROUND(PRODUCT(T41,AB7:AB40),0)</f>
        <v>#DIV/0!</v>
      </c>
      <c r="U42" s="3234"/>
      <c r="V42" s="3234" t="e">
        <f>ROUND(PRODUCT(V41,AC7:AC40),0)</f>
        <v>#DIV/0!</v>
      </c>
      <c r="W42" s="3234"/>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3"/>
      <c r="M43" s="1131"/>
      <c r="N43" s="1131"/>
      <c r="O43" s="1144"/>
      <c r="P43" s="3172" t="str">
        <f>A43</f>
        <v>估价对象XX用房的比较价值（楼面单价，元/平方米）</v>
      </c>
      <c r="Q43" s="3173"/>
      <c r="R43" s="3235" t="e">
        <f>ROUND(AVERAGE(R42:V42),0)</f>
        <v>#DIV/0!</v>
      </c>
      <c r="S43" s="3235"/>
      <c r="T43" s="3235"/>
      <c r="U43" s="3235"/>
      <c r="V43" s="3235"/>
      <c r="W43" s="3235"/>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2756</v>
      </c>
      <c r="B50" s="686" t="s">
        <v>2757</v>
      </c>
      <c r="C50" s="2702" t="s">
        <v>2758</v>
      </c>
      <c r="D50" s="2703" t="s">
        <v>2759</v>
      </c>
      <c r="E50" s="687" t="s">
        <v>2760</v>
      </c>
      <c r="F50" s="688" t="s">
        <v>2761</v>
      </c>
      <c r="G50" s="3190" t="s">
        <v>2762</v>
      </c>
      <c r="H50" s="3236"/>
      <c r="I50" s="1815" t="s">
        <v>2799</v>
      </c>
      <c r="J50" s="1815">
        <f>项目基本情况!F35</f>
        <v>0</v>
      </c>
      <c r="K50" s="2705" t="s">
        <v>2764</v>
      </c>
      <c r="L50" s="1106"/>
      <c r="M50" s="1144"/>
      <c r="N50" s="1144"/>
      <c r="O50" s="1144"/>
    </row>
    <row r="51" spans="1:17" s="693" customFormat="1">
      <c r="A51" s="689" t="s">
        <v>2765</v>
      </c>
      <c r="B51" s="690" t="e">
        <f>C43</f>
        <v>#DIV/0!</v>
      </c>
      <c r="C51" s="691">
        <v>1</v>
      </c>
      <c r="D51" s="1163">
        <v>1</v>
      </c>
      <c r="E51" s="691">
        <f>'数据-汇总表'!E8+'数据-汇总表'!E9</f>
        <v>38627.68</v>
      </c>
      <c r="F51" s="692" t="e">
        <f t="shared" ref="F51:F60" si="15">ROUND(B51*E51/10000,0)</f>
        <v>#DIV/0!</v>
      </c>
      <c r="G51" s="3186"/>
      <c r="H51" s="3175"/>
      <c r="I51" s="942">
        <v>1</v>
      </c>
      <c r="J51" s="942">
        <v>1</v>
      </c>
      <c r="K51" s="1145"/>
      <c r="L51" s="941"/>
      <c r="M51" s="941"/>
      <c r="N51" s="941"/>
      <c r="O51" s="941"/>
    </row>
    <row r="52" spans="1:17" s="693" customFormat="1">
      <c r="A52" s="694" t="s">
        <v>2766</v>
      </c>
      <c r="B52" s="263" t="e">
        <f>ROUND($C$43*C52*D52,0)</f>
        <v>#DIV/0!</v>
      </c>
      <c r="C52" s="201">
        <f t="shared" ref="C52:C60" si="16">IF($C$50="北京市系数",I52,J52)</f>
        <v>0.7</v>
      </c>
      <c r="D52" s="1164">
        <v>0.25</v>
      </c>
      <c r="E52" s="695"/>
      <c r="F52" s="692" t="e">
        <f t="shared" si="15"/>
        <v>#DIV/0!</v>
      </c>
      <c r="G52" s="3237" t="s">
        <v>2767</v>
      </c>
      <c r="H52" s="1104" t="str">
        <f>项目基本情况!B37</f>
        <v>六级</v>
      </c>
      <c r="I52" s="942">
        <f>SUMIF(修正!A45:A56,H52,修正!B45:B56)</f>
        <v>0.7</v>
      </c>
      <c r="J52" s="943"/>
      <c r="K52" s="1144"/>
      <c r="L52" s="941"/>
      <c r="M52" s="941"/>
      <c r="N52" s="941"/>
      <c r="O52" s="941"/>
    </row>
    <row r="53" spans="1:17" s="693" customFormat="1">
      <c r="A53" s="694" t="s">
        <v>2768</v>
      </c>
      <c r="B53" s="263" t="e">
        <f t="shared" ref="B53:B60" si="17">ROUND($C$43*C53*D53,0)</f>
        <v>#DIV/0!</v>
      </c>
      <c r="C53" s="201">
        <f t="shared" si="16"/>
        <v>0.4</v>
      </c>
      <c r="D53" s="1164">
        <v>0.25</v>
      </c>
      <c r="E53" s="695"/>
      <c r="F53" s="692" t="e">
        <f t="shared" si="15"/>
        <v>#DIV/0!</v>
      </c>
      <c r="G53" s="3237"/>
      <c r="H53" s="1104" t="str">
        <f>项目基本情况!B37</f>
        <v>六级</v>
      </c>
      <c r="I53" s="942">
        <f>SUMIF(修正!A45:A56,H53,修正!C45:C56)</f>
        <v>0.4</v>
      </c>
      <c r="J53" s="943"/>
      <c r="K53" s="1145"/>
      <c r="L53" s="941"/>
      <c r="M53" s="941"/>
      <c r="N53" s="941"/>
      <c r="O53" s="941"/>
    </row>
    <row r="54" spans="1:17" s="693" customFormat="1">
      <c r="A54" s="694" t="s">
        <v>2769</v>
      </c>
      <c r="B54" s="263" t="e">
        <f t="shared" si="17"/>
        <v>#DIV/0!</v>
      </c>
      <c r="C54" s="201">
        <f t="shared" si="16"/>
        <v>0.28000000000000003</v>
      </c>
      <c r="D54" s="1164">
        <v>0.25</v>
      </c>
      <c r="E54" s="695"/>
      <c r="F54" s="692" t="e">
        <f t="shared" si="15"/>
        <v>#DIV/0!</v>
      </c>
      <c r="G54" s="3237"/>
      <c r="H54" s="1104" t="str">
        <f>项目基本情况!B37</f>
        <v>六级</v>
      </c>
      <c r="I54" s="942">
        <f>SUMIF(修正!A45:A56,H54,修正!D45:D56)</f>
        <v>0.28000000000000003</v>
      </c>
      <c r="J54" s="943"/>
      <c r="K54" s="1144"/>
      <c r="L54" s="941"/>
      <c r="M54" s="941"/>
      <c r="N54" s="941"/>
      <c r="O54" s="941"/>
    </row>
    <row r="55" spans="1:17" s="693" customFormat="1">
      <c r="A55" s="694" t="s">
        <v>2770</v>
      </c>
      <c r="B55" s="263" t="e">
        <f t="shared" si="17"/>
        <v>#DIV/0!</v>
      </c>
      <c r="C55" s="201">
        <f t="shared" si="16"/>
        <v>0.25</v>
      </c>
      <c r="D55" s="1164">
        <v>0.25</v>
      </c>
      <c r="E55" s="695"/>
      <c r="F55" s="692" t="e">
        <f t="shared" si="15"/>
        <v>#DIV/0!</v>
      </c>
      <c r="G55" s="3237"/>
      <c r="H55" s="1104" t="str">
        <f>项目基本情况!B37</f>
        <v>六级</v>
      </c>
      <c r="I55" s="942">
        <f>SUMIF(修正!A45:A56,H55,修正!E45:E56)</f>
        <v>0.25</v>
      </c>
      <c r="J55" s="943"/>
      <c r="K55" s="1145"/>
      <c r="L55" s="941"/>
      <c r="M55" s="941"/>
      <c r="N55" s="941"/>
      <c r="O55" s="941"/>
    </row>
    <row r="56" spans="1:17" s="693" customFormat="1">
      <c r="A56" s="694" t="s">
        <v>2771</v>
      </c>
      <c r="B56" s="263" t="e">
        <f t="shared" si="17"/>
        <v>#DIV/0!</v>
      </c>
      <c r="C56" s="201">
        <f t="shared" si="16"/>
        <v>0</v>
      </c>
      <c r="D56" s="1164">
        <v>0.25</v>
      </c>
      <c r="E56" s="262">
        <f>'数据-汇总表'!E11</f>
        <v>0</v>
      </c>
      <c r="F56" s="692" t="e">
        <f t="shared" si="15"/>
        <v>#DIV/0!</v>
      </c>
      <c r="G56" s="2706" t="s">
        <v>2772</v>
      </c>
      <c r="H56" s="1104">
        <f>项目基本情况!C37</f>
        <v>0</v>
      </c>
      <c r="I56" s="942">
        <f>SUMIF(修正!A45:A56,H56,修正!F45:F56)</f>
        <v>0</v>
      </c>
      <c r="J56" s="943"/>
      <c r="K56" s="1144"/>
      <c r="L56" s="941"/>
      <c r="M56" s="941"/>
      <c r="N56" s="941"/>
      <c r="O56" s="941"/>
    </row>
    <row r="57" spans="1:17" s="693" customFormat="1">
      <c r="A57" s="694" t="s">
        <v>2773</v>
      </c>
      <c r="B57" s="263" t="e">
        <f t="shared" si="17"/>
        <v>#DIV/0!</v>
      </c>
      <c r="C57" s="201">
        <f t="shared" si="16"/>
        <v>0</v>
      </c>
      <c r="D57" s="1164">
        <v>0.25</v>
      </c>
      <c r="E57" s="262">
        <f>'数据-汇总表'!E12</f>
        <v>0</v>
      </c>
      <c r="F57" s="692"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3" customFormat="1">
      <c r="A58" s="694" t="s">
        <v>2775</v>
      </c>
      <c r="B58" s="263" t="e">
        <f t="shared" si="17"/>
        <v>#DIV/0!</v>
      </c>
      <c r="C58" s="201">
        <f t="shared" si="16"/>
        <v>0</v>
      </c>
      <c r="D58" s="1164">
        <v>0.25</v>
      </c>
      <c r="E58" s="262">
        <f>'数据-汇总表'!E13</f>
        <v>0</v>
      </c>
      <c r="F58" s="692"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3" customFormat="1">
      <c r="A59" s="694" t="s">
        <v>2777</v>
      </c>
      <c r="B59" s="263" t="e">
        <f t="shared" si="17"/>
        <v>#DIV/0!</v>
      </c>
      <c r="C59" s="201">
        <f t="shared" si="16"/>
        <v>0.2</v>
      </c>
      <c r="D59" s="1164">
        <v>0.25</v>
      </c>
      <c r="E59" s="262">
        <f>'数据-汇总表'!E14</f>
        <v>12362.01</v>
      </c>
      <c r="F59" s="692" t="e">
        <f t="shared" si="15"/>
        <v>#DIV/0!</v>
      </c>
      <c r="G59" s="2706" t="s">
        <v>2767</v>
      </c>
      <c r="H59" s="1104" t="str">
        <f>项目基本情况!B37</f>
        <v>六级</v>
      </c>
      <c r="I59" s="942">
        <f>SUMIF(修正!A45:A56,H59,修正!H45:H56)</f>
        <v>0.2</v>
      </c>
      <c r="J59" s="943"/>
      <c r="K59" s="1145"/>
      <c r="L59" s="941"/>
      <c r="M59" s="941"/>
      <c r="N59" s="941"/>
      <c r="O59" s="941"/>
    </row>
    <row r="60" spans="1:17" s="693" customFormat="1" ht="15" thickBot="1">
      <c r="A60" s="694" t="s">
        <v>2778</v>
      </c>
      <c r="B60" s="263" t="e">
        <f t="shared" si="17"/>
        <v>#DIV/0!</v>
      </c>
      <c r="C60" s="201">
        <f t="shared" si="16"/>
        <v>0</v>
      </c>
      <c r="D60" s="1164">
        <v>0.25</v>
      </c>
      <c r="E60" s="262">
        <f>'数据-汇总表'!E15</f>
        <v>0</v>
      </c>
      <c r="F60" s="692" t="e">
        <f t="shared" si="15"/>
        <v>#DIV/0!</v>
      </c>
      <c r="G60" s="2707" t="s">
        <v>2772</v>
      </c>
      <c r="H60" s="1114">
        <f>项目基本情况!C37</f>
        <v>0</v>
      </c>
      <c r="I60" s="942">
        <f>SUMIF(修正!A45:A56,H60,修正!H45:H56)</f>
        <v>0</v>
      </c>
      <c r="J60" s="943"/>
      <c r="K60" s="1144"/>
      <c r="L60" s="941"/>
      <c r="M60" s="941"/>
      <c r="N60" s="941"/>
      <c r="O60" s="941"/>
    </row>
    <row r="61" spans="1:17" s="693" customFormat="1" ht="15" thickBot="1">
      <c r="A61" s="696" t="s">
        <v>2779</v>
      </c>
      <c r="B61" s="697" t="s">
        <v>28</v>
      </c>
      <c r="C61" s="697" t="s">
        <v>29</v>
      </c>
      <c r="D61" s="697" t="s">
        <v>1029</v>
      </c>
      <c r="E61" s="697">
        <f>IF(B41="楼面地价",SUM(E51:E60),'数据-汇总表'!D3)</f>
        <v>17111.18</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2672</v>
      </c>
      <c r="B64" s="760"/>
      <c r="C64" s="765"/>
      <c r="D64" s="765"/>
      <c r="E64" s="765"/>
      <c r="F64" s="766"/>
      <c r="G64" s="766"/>
      <c r="H64" s="765"/>
      <c r="I64" s="765"/>
      <c r="J64" s="765"/>
      <c r="K64" s="767"/>
      <c r="L64" s="768"/>
      <c r="M64" s="765"/>
      <c r="N64" s="765"/>
      <c r="O64" s="1159"/>
      <c r="P64" s="504"/>
      <c r="Q64" s="505"/>
    </row>
    <row r="65" spans="1:17" s="509" customFormat="1" ht="15">
      <c r="A65" s="2708" t="s">
        <v>2780</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8"/>
    </row>
    <row r="66" spans="1:17" s="117" customFormat="1" ht="30.75" customHeight="1">
      <c r="A66" s="2713" t="s">
        <v>2800</v>
      </c>
      <c r="B66" s="333" t="str">
        <f>"北京市平均增长率"&amp;TEXT(基准地价修正!P24,"0.00%")</f>
        <v>北京市平均增长率1.39%</v>
      </c>
      <c r="C66" s="604">
        <v>100</v>
      </c>
      <c r="D66" s="596"/>
      <c r="E66" s="596"/>
      <c r="F66" s="596"/>
      <c r="G66" s="596"/>
      <c r="H66" s="596"/>
      <c r="I66" s="596"/>
      <c r="J66" s="596"/>
      <c r="K66" s="596"/>
      <c r="L66" s="596"/>
      <c r="M66" s="1568"/>
      <c r="N66" s="1568"/>
      <c r="O66" s="1570"/>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2586</v>
      </c>
      <c r="B70" s="529" t="s">
        <v>2552</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2555</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4"/>
      <c r="O94" s="1154"/>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2689</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2748</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7" t="str">
        <f t="shared" si="25"/>
        <v>(含)-</v>
      </c>
      <c r="L107" s="1767" t="str">
        <f t="shared" si="25"/>
        <v>(含)-</v>
      </c>
      <c r="M107" s="1768"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2790</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2792</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2793</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topLeftCell="O1" zoomScale="80" zoomScaleNormal="80" zoomScaleSheetLayoutView="96" workbookViewId="0">
      <selection activeCell="W5" sqref="W5"/>
    </sheetView>
  </sheetViews>
  <sheetFormatPr defaultColWidth="12" defaultRowHeight="12.75"/>
  <cols>
    <col min="1" max="1" width="9.75" style="2789" customWidth="1"/>
    <col min="2" max="2" width="19.25" style="2895" customWidth="1"/>
    <col min="3" max="4" width="12" style="2717"/>
    <col min="5" max="5" width="14.625" style="2717" customWidth="1"/>
    <col min="6" max="8" width="12" style="2717"/>
    <col min="9" max="9" width="12.25" style="2717" bestFit="1" customWidth="1"/>
    <col min="10" max="10" width="12" style="2717"/>
    <col min="11" max="11" width="8.125" style="2781" customWidth="1"/>
    <col min="12" max="12" width="12" style="2717"/>
    <col min="13" max="13" width="8.5" style="2717" customWidth="1"/>
    <col min="14" max="14" width="9.75" style="2717" customWidth="1"/>
    <col min="15" max="25" width="12" style="2717"/>
    <col min="26" max="26" width="9.375" style="2789" customWidth="1"/>
    <col min="27" max="32" width="9.375" style="1372" customWidth="1"/>
    <col min="33" max="36" width="9.375" style="2789" customWidth="1"/>
    <col min="37" max="38" width="9.375" style="2717" customWidth="1"/>
    <col min="39" max="16384" width="12" style="2717"/>
  </cols>
  <sheetData>
    <row r="1" spans="1:36" ht="28.5">
      <c r="A1" s="241" t="s">
        <v>2802</v>
      </c>
      <c r="B1" s="242"/>
      <c r="C1" s="246" t="s">
        <v>2803</v>
      </c>
      <c r="D1" s="389">
        <f>SUM(D29:D30,D33:D39)</f>
        <v>38294.160000000003</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6" t="s">
        <v>2810</v>
      </c>
      <c r="B2" s="249">
        <f ca="1">C26</f>
        <v>41226</v>
      </c>
      <c r="C2" s="2718" t="s">
        <v>2811</v>
      </c>
      <c r="D2" s="2719" t="s">
        <v>2812</v>
      </c>
      <c r="E2" s="2720" t="s">
        <v>1378</v>
      </c>
      <c r="F2" s="2719" t="s">
        <v>2813</v>
      </c>
      <c r="G2" s="2721" t="str">
        <f>IF(E2="商业",项目基本情况!B37,IF(E2="办公",项目基本情况!C37,IF(E2="住宅",项目基本情况!D37,项目基本情况!E37)))</f>
        <v>六级</v>
      </c>
      <c r="H2" s="2719" t="s">
        <v>2814</v>
      </c>
      <c r="I2" s="2721" t="str">
        <f>IF(E2="商业",项目基本情况!B38,IF(E2="办公",项目基本情况!C38,IF(E2="住宅",项目基本情况!D38,项目基本情况!E38)))</f>
        <v>Ⅵ-昌2</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22351</v>
      </c>
      <c r="U2" s="1604">
        <f>'数据-基础表'!I13</f>
        <v>11810.92</v>
      </c>
      <c r="V2" s="1603">
        <f ca="1">ROUND(T2*U2/10000,0)</f>
        <v>26399</v>
      </c>
      <c r="W2" s="1607"/>
      <c r="X2" s="1607"/>
      <c r="Y2" s="1607"/>
      <c r="Z2" s="1607"/>
      <c r="AA2" s="1607"/>
      <c r="AB2" s="1607"/>
      <c r="AC2" s="1608"/>
      <c r="AD2" s="1609"/>
      <c r="AE2" s="1609"/>
      <c r="AF2" s="1609"/>
      <c r="AG2" s="1609"/>
      <c r="AH2" s="1609"/>
      <c r="AI2" s="1609"/>
      <c r="AJ2" s="1610"/>
    </row>
    <row r="3" spans="1:36" ht="15.75">
      <c r="A3" s="248" t="s">
        <v>2816</v>
      </c>
      <c r="B3" s="249">
        <f ca="1">ROUND(B2*10000/D1,0)</f>
        <v>10766</v>
      </c>
      <c r="C3" s="2718" t="s">
        <v>2817</v>
      </c>
      <c r="D3" s="2719" t="s">
        <v>2818</v>
      </c>
      <c r="E3" s="2724" t="s">
        <v>3091</v>
      </c>
      <c r="F3" s="2725" t="s">
        <v>3092</v>
      </c>
      <c r="G3" s="913">
        <f>IF(F3="宗地容积率",'数据-汇总表'!I4,IF(F3="估价对象容积率",'数据-汇总表'!I6,'数据-汇总表'!I7))</f>
        <v>2.2599999999999998</v>
      </c>
      <c r="H3" s="199" t="s">
        <v>2819</v>
      </c>
      <c r="I3" s="944">
        <v>1</v>
      </c>
      <c r="J3" s="2722" t="s">
        <v>2820</v>
      </c>
      <c r="K3" s="1370"/>
      <c r="L3" s="2723" t="s">
        <v>2821</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16044</v>
      </c>
      <c r="U3" s="1604">
        <f>'数据-基础表'!I14</f>
        <v>12045.64</v>
      </c>
      <c r="V3" s="1603">
        <f t="shared" ref="V3:V16" ca="1" si="1">ROUND(T3*U3/10000,0)</f>
        <v>19326</v>
      </c>
      <c r="W3" s="1607"/>
      <c r="X3" s="1607"/>
      <c r="Y3" s="1607"/>
      <c r="Z3" s="1607"/>
      <c r="AA3" s="1607"/>
      <c r="AB3" s="1607"/>
      <c r="AC3" s="1608"/>
      <c r="AD3" s="1609"/>
      <c r="AE3" s="1609"/>
      <c r="AF3" s="1609"/>
      <c r="AG3" s="1609"/>
      <c r="AH3" s="1609"/>
      <c r="AI3" s="1609"/>
      <c r="AJ3" s="1610"/>
    </row>
    <row r="4" spans="1:36" ht="15.75">
      <c r="A4" s="3245"/>
      <c r="B4" s="3246"/>
      <c r="C4" s="3246"/>
      <c r="D4" s="3247"/>
      <c r="E4" s="3247"/>
      <c r="F4" s="3247"/>
      <c r="G4" s="3247"/>
      <c r="H4" s="3247"/>
      <c r="I4" s="3247"/>
      <c r="J4" s="3248"/>
      <c r="K4" s="1370"/>
      <c r="L4" s="2723" t="s">
        <v>2822</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1.0788</v>
      </c>
      <c r="T4" s="1603">
        <f t="shared" ca="1" si="0"/>
        <v>12944</v>
      </c>
      <c r="U4" s="1604">
        <f>'数据-基础表'!I15</f>
        <v>12019.87</v>
      </c>
      <c r="V4" s="1603">
        <f t="shared" ca="1" si="1"/>
        <v>15559</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2823</v>
      </c>
      <c r="C5" s="914">
        <f>ROUND(IF(E2="商业",IF(F16="增加",C6*C7+C16,C6*C7-C16),IF(E2="住宅",IF(F16="增加",C6*C12+C16,C6*C12-C16),IF(F16="增加",C6+C16,C6-C16))),0)</f>
        <v>9790</v>
      </c>
      <c r="D5" s="1788">
        <f>ROUND(IF(E2="商业",IF(F16="增加",C6+C16,C6-C16)),0)</f>
        <v>9790</v>
      </c>
      <c r="E5" s="2728"/>
      <c r="F5" s="2728"/>
      <c r="G5" s="2729"/>
      <c r="H5" s="2729"/>
      <c r="I5" s="2729"/>
      <c r="J5" s="2730"/>
      <c r="K5" s="2731"/>
      <c r="L5" s="2723" t="s">
        <v>2824</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10386</v>
      </c>
      <c r="U5" s="1604">
        <f>'数据-基础表'!I16</f>
        <v>2751.25</v>
      </c>
      <c r="V5" s="1603">
        <f t="shared" ca="1" si="1"/>
        <v>2857</v>
      </c>
      <c r="W5" s="1607">
        <f ca="1">V2+V3+V4+V5</f>
        <v>64141</v>
      </c>
      <c r="X5" s="1607"/>
      <c r="Y5" s="1607"/>
      <c r="Z5" s="1607"/>
      <c r="AA5" s="1607"/>
      <c r="AB5" s="1607"/>
      <c r="AC5" s="2732"/>
      <c r="AD5" s="2733"/>
      <c r="AE5" s="2733"/>
      <c r="AF5" s="2733"/>
      <c r="AG5" s="2733"/>
      <c r="AH5" s="2733"/>
      <c r="AI5" s="2733"/>
      <c r="AJ5" s="2734"/>
    </row>
    <row r="6" spans="1:36" ht="15.75" thickBot="1">
      <c r="A6" s="2736" t="s">
        <v>2825</v>
      </c>
      <c r="B6" s="2737" t="s">
        <v>2826</v>
      </c>
      <c r="C6" s="915">
        <f>SUMIF(L1:L12,G2,M1:M12)</f>
        <v>9810</v>
      </c>
      <c r="D6" s="2738" t="s">
        <v>2827</v>
      </c>
      <c r="E6" s="2739"/>
      <c r="F6" s="2739"/>
      <c r="G6" s="2740"/>
      <c r="H6" s="2740"/>
      <c r="I6" s="2740"/>
      <c r="J6" s="2741"/>
      <c r="K6" s="1843"/>
      <c r="L6" s="2723" t="s">
        <v>2828</v>
      </c>
      <c r="M6" s="1081">
        <f>SUMPRODUCT((区片价!B110:B157=I2)*(区片价!C3:F3=E2)*(区片价!C110:F157))</f>
        <v>9810</v>
      </c>
      <c r="N6" s="1083">
        <f>SUMPRODUCT((因素修正幅度!B110:B157=I2)*(因素修正幅度!C3:F3=E2)*(因素修正幅度!C110:F157))</f>
        <v>0.125</v>
      </c>
      <c r="O6" s="1370"/>
      <c r="P6" s="1370"/>
      <c r="Q6" s="1370"/>
      <c r="R6" s="1603">
        <v>5</v>
      </c>
      <c r="S6" s="1603">
        <f>ROUND(IF(G3&gt;1,IF(R6&lt;7,SUMPRODUCT((B93:B98=R6)*(C92:N92=G2)*(C93:N98)),SUMIF(C92:N92,G2,C100:N100)),IF(R6&lt;7,SUMPRODUCT((B102:B107=R6)*(C92:N92=G2)*(C102:N107)),SUMIF(C92:N92,G2,C109:N109))),4)</f>
        <v>0.73709999999999998</v>
      </c>
      <c r="T6" s="1603">
        <f t="shared" ca="1" si="0"/>
        <v>8844</v>
      </c>
      <c r="U6" s="1604"/>
      <c r="V6" s="1603">
        <f t="shared" ca="1" si="1"/>
        <v>0</v>
      </c>
      <c r="W6" s="1607"/>
      <c r="X6" s="1607"/>
      <c r="Y6" s="1607"/>
      <c r="Z6" s="1607"/>
      <c r="AA6" s="1607"/>
      <c r="AB6" s="1607"/>
      <c r="AC6" s="2732"/>
      <c r="AD6" s="2733"/>
      <c r="AE6" s="2733"/>
      <c r="AF6" s="2733"/>
      <c r="AG6" s="2733"/>
      <c r="AH6" s="2733"/>
      <c r="AI6" s="2733"/>
      <c r="AJ6" s="2734"/>
    </row>
    <row r="7" spans="1:36" ht="24">
      <c r="A7" s="3249" t="str">
        <f>IF(E2="商业",IF(C8="不临58条商业街","",2),"")</f>
        <v/>
      </c>
      <c r="B7" s="2742" t="s">
        <v>2829</v>
      </c>
      <c r="C7" s="916">
        <f>IF(C8="不临58条商业街",1,ROUND(1+(1.6*E8+1.2*E9+0.8*E10+0.4*E11)*C9,4))</f>
        <v>1</v>
      </c>
      <c r="D7" s="2743" t="s">
        <v>2830</v>
      </c>
      <c r="E7" s="945">
        <v>210</v>
      </c>
      <c r="F7" s="2744"/>
      <c r="G7" s="2745"/>
      <c r="H7" s="2745"/>
      <c r="I7" s="2745"/>
      <c r="J7" s="2746"/>
      <c r="K7" s="1843"/>
      <c r="L7" s="2723" t="s">
        <v>2831</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7777</v>
      </c>
      <c r="U7" s="1604"/>
      <c r="V7" s="1603">
        <f t="shared" ca="1" si="1"/>
        <v>0</v>
      </c>
      <c r="W7" s="1817" t="s">
        <v>2832</v>
      </c>
      <c r="X7" s="1605" t="str">
        <f>G2</f>
        <v>六级</v>
      </c>
      <c r="Y7" s="1605" t="s">
        <v>2833</v>
      </c>
      <c r="Z7" s="1606">
        <f>G3</f>
        <v>2.2599999999999998</v>
      </c>
      <c r="AA7" s="1607"/>
      <c r="AB7" s="1607"/>
      <c r="AC7" s="1608"/>
      <c r="AD7" s="1609"/>
      <c r="AE7" s="1609"/>
      <c r="AF7" s="1609"/>
      <c r="AG7" s="1609"/>
      <c r="AH7" s="1609"/>
      <c r="AI7" s="1609"/>
      <c r="AJ7" s="1610"/>
    </row>
    <row r="8" spans="1:36" ht="25.5">
      <c r="A8" s="3250"/>
      <c r="B8" s="199" t="s">
        <v>2834</v>
      </c>
      <c r="C8" s="2747" t="s">
        <v>3093</v>
      </c>
      <c r="D8" s="917" t="s">
        <v>139</v>
      </c>
      <c r="E8" s="918">
        <f>ROUND(C11/E7,4)</f>
        <v>0</v>
      </c>
      <c r="F8" s="2748" t="s">
        <v>2835</v>
      </c>
      <c r="G8" s="2749"/>
      <c r="H8" s="2749"/>
      <c r="I8" s="2749"/>
      <c r="J8" s="2750"/>
      <c r="K8" s="1370"/>
      <c r="L8" s="2723" t="s">
        <v>2836</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42" t="s">
        <v>2837</v>
      </c>
      <c r="X8" s="3243"/>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50"/>
      <c r="B9" s="199" t="s">
        <v>2850</v>
      </c>
      <c r="C9" s="919">
        <f>SUMIF(修正!C59:C119,C8,修正!E59:E119)</f>
        <v>0</v>
      </c>
      <c r="D9" s="201" t="s">
        <v>140</v>
      </c>
      <c r="E9" s="201">
        <f>ROUND(C11/E7,4)</f>
        <v>0</v>
      </c>
      <c r="F9" s="2748" t="s">
        <v>2851</v>
      </c>
      <c r="G9" s="2749"/>
      <c r="H9" s="2749"/>
      <c r="I9" s="2749"/>
      <c r="J9" s="2750"/>
      <c r="K9" s="1370"/>
      <c r="L9" s="2723" t="s">
        <v>2852</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44"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0"/>
      <c r="B10" s="199" t="s">
        <v>2855</v>
      </c>
      <c r="C10" s="201">
        <f>SUMIF(修正!C59:C119,C8,修正!F59:F119)</f>
        <v>0</v>
      </c>
      <c r="D10" s="201" t="s">
        <v>141</v>
      </c>
      <c r="E10" s="201">
        <f>ROUND(C11/E7,4)</f>
        <v>0</v>
      </c>
      <c r="F10" s="2748" t="s">
        <v>2856</v>
      </c>
      <c r="G10" s="2749"/>
      <c r="H10" s="2749"/>
      <c r="I10" s="2749"/>
      <c r="J10" s="2750"/>
      <c r="K10" s="1370"/>
      <c r="L10" s="2723" t="s">
        <v>2857</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4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0"/>
      <c r="B11" s="2751" t="s">
        <v>2858</v>
      </c>
      <c r="C11" s="920">
        <f>C10/4</f>
        <v>0</v>
      </c>
      <c r="D11" s="920" t="s">
        <v>142</v>
      </c>
      <c r="E11" s="920">
        <f>ROUND(C11/E7,4)</f>
        <v>0</v>
      </c>
      <c r="F11" s="2752" t="s">
        <v>2859</v>
      </c>
      <c r="G11" s="2753"/>
      <c r="H11" s="2753"/>
      <c r="I11" s="2753"/>
      <c r="J11" s="2754"/>
      <c r="K11" s="1370"/>
      <c r="L11" s="2723" t="s">
        <v>2860</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44" t="s">
        <v>2861</v>
      </c>
      <c r="X11" s="1615" t="s">
        <v>2862</v>
      </c>
      <c r="Y11" s="1616">
        <f>$G$3</f>
        <v>2.2599999999999998</v>
      </c>
      <c r="Z11" s="1616">
        <f t="shared" ref="Z11:AJ11" si="3">$G$3</f>
        <v>2.2599999999999998</v>
      </c>
      <c r="AA11" s="1616">
        <f t="shared" si="3"/>
        <v>2.2599999999999998</v>
      </c>
      <c r="AB11" s="1616">
        <f t="shared" si="3"/>
        <v>2.2599999999999998</v>
      </c>
      <c r="AC11" s="1616">
        <f t="shared" si="3"/>
        <v>2.2599999999999998</v>
      </c>
      <c r="AD11" s="1616">
        <f t="shared" si="3"/>
        <v>2.2599999999999998</v>
      </c>
      <c r="AE11" s="1616">
        <f t="shared" si="3"/>
        <v>2.2599999999999998</v>
      </c>
      <c r="AF11" s="1616">
        <f t="shared" si="3"/>
        <v>2.2599999999999998</v>
      </c>
      <c r="AG11" s="1616">
        <f t="shared" si="3"/>
        <v>2.2599999999999998</v>
      </c>
      <c r="AH11" s="1616">
        <f t="shared" si="3"/>
        <v>2.2599999999999998</v>
      </c>
      <c r="AI11" s="1616">
        <f t="shared" si="3"/>
        <v>2.2599999999999998</v>
      </c>
      <c r="AJ11" s="1616">
        <f t="shared" si="3"/>
        <v>2.2599999999999998</v>
      </c>
    </row>
    <row r="12" spans="1:36" ht="25.5" thickBot="1">
      <c r="A12" s="3249" t="s">
        <v>2863</v>
      </c>
      <c r="B12" s="2755" t="s">
        <v>2864</v>
      </c>
      <c r="C12" s="916">
        <f>ROUND(C15*D15*E15*F15*G15*H15*I15*J15,4)</f>
        <v>1.21</v>
      </c>
      <c r="D12" s="2756" t="s">
        <v>2865</v>
      </c>
      <c r="E12" s="2757"/>
      <c r="F12" s="2757"/>
      <c r="G12" s="2758"/>
      <c r="H12" s="2758"/>
      <c r="I12" s="2758"/>
      <c r="J12" s="2759"/>
      <c r="K12" s="1370"/>
      <c r="L12" s="2760" t="s">
        <v>2866</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44"/>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1"/>
      <c r="B13" s="2761" t="s">
        <v>2868</v>
      </c>
      <c r="C13" s="2762" t="s">
        <v>2869</v>
      </c>
      <c r="D13" s="1809" t="s">
        <v>2870</v>
      </c>
      <c r="E13" s="1809" t="s">
        <v>2871</v>
      </c>
      <c r="F13" s="30" t="s">
        <v>2872</v>
      </c>
      <c r="G13" s="2763" t="s">
        <v>2873</v>
      </c>
      <c r="H13" s="2763" t="s">
        <v>2873</v>
      </c>
      <c r="I13" s="2763" t="s">
        <v>2873</v>
      </c>
      <c r="J13" s="2764" t="s">
        <v>2873</v>
      </c>
      <c r="K13" s="1370"/>
      <c r="L13" s="1370"/>
      <c r="M13" s="1370"/>
      <c r="N13" s="1370"/>
      <c r="O13" s="1370"/>
      <c r="P13" s="1370"/>
      <c r="Q13" s="1370"/>
      <c r="R13" s="1603">
        <v>12</v>
      </c>
      <c r="S13" s="1604"/>
      <c r="T13" s="1603">
        <f t="shared" ca="1" si="0"/>
        <v>0</v>
      </c>
      <c r="U13" s="1604"/>
      <c r="V13" s="1603">
        <f t="shared" ca="1" si="1"/>
        <v>0</v>
      </c>
      <c r="W13" s="3244"/>
      <c r="X13" s="1617"/>
      <c r="Y13" s="1614">
        <f>(-0.163*(Y12^2)-0.59*Y12+7617)*(10^(-4))/Y11</f>
        <v>0.33703539823008855</v>
      </c>
      <c r="Z13" s="1614">
        <f t="shared" ref="Z13:AJ13" si="5">(-0.163*(Z12^2)-0.59*Z12+7617)*(10^(-4))/Z11</f>
        <v>0.33703539823008855</v>
      </c>
      <c r="AA13" s="1614">
        <f t="shared" si="5"/>
        <v>0.33703539823008855</v>
      </c>
      <c r="AB13" s="1614">
        <f t="shared" si="5"/>
        <v>0.33703539823008855</v>
      </c>
      <c r="AC13" s="1614">
        <f t="shared" si="5"/>
        <v>0.33703539823008855</v>
      </c>
      <c r="AD13" s="1614">
        <f t="shared" si="5"/>
        <v>0.33703539823008855</v>
      </c>
      <c r="AE13" s="1614">
        <f t="shared" si="5"/>
        <v>0.33703539823008855</v>
      </c>
      <c r="AF13" s="1614">
        <f t="shared" si="5"/>
        <v>0.33703539823008855</v>
      </c>
      <c r="AG13" s="1614">
        <f t="shared" si="5"/>
        <v>0.33703539823008855</v>
      </c>
      <c r="AH13" s="1614">
        <f t="shared" si="5"/>
        <v>0.33703539823008855</v>
      </c>
      <c r="AI13" s="1614">
        <f t="shared" si="5"/>
        <v>0.33703539823008855</v>
      </c>
      <c r="AJ13" s="1614">
        <f t="shared" si="5"/>
        <v>0.33703539823008855</v>
      </c>
    </row>
    <row r="14" spans="1:36" ht="15">
      <c r="A14" s="3251"/>
      <c r="B14" s="2765"/>
      <c r="C14" s="2946" t="s">
        <v>3094</v>
      </c>
      <c r="D14" s="2947" t="s">
        <v>3054</v>
      </c>
      <c r="E14" s="2947" t="s">
        <v>3054</v>
      </c>
      <c r="F14" s="2948" t="s">
        <v>3095</v>
      </c>
      <c r="G14" s="2767" t="s">
        <v>2874</v>
      </c>
      <c r="H14" s="2768"/>
      <c r="I14" s="2769"/>
      <c r="J14" s="2770"/>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44.25" customHeight="1" thickBot="1">
      <c r="A15" s="3252"/>
      <c r="B15" s="2771" t="s">
        <v>2875</v>
      </c>
      <c r="C15" s="230">
        <f>IF(C14="有",1.1,1)</f>
        <v>1.1000000000000001</v>
      </c>
      <c r="D15" s="230">
        <f>IF(D14="有",1.1,1)</f>
        <v>1</v>
      </c>
      <c r="E15" s="230">
        <f>IF(E14="有",1.1,1)</f>
        <v>1</v>
      </c>
      <c r="F15" s="230">
        <f>IF(F14="500米范围内",1.2,IF(F14="500-1000米",1.1,1))</f>
        <v>1.1000000000000001</v>
      </c>
      <c r="G15" s="946">
        <v>1</v>
      </c>
      <c r="H15" s="946">
        <v>1</v>
      </c>
      <c r="I15" s="946">
        <v>1</v>
      </c>
      <c r="J15" s="947">
        <v>1</v>
      </c>
      <c r="K15" s="1370"/>
      <c r="L15" s="2772" t="s">
        <v>2812</v>
      </c>
      <c r="M15" s="917" t="s">
        <v>2876</v>
      </c>
      <c r="N15" s="917" t="s">
        <v>2877</v>
      </c>
      <c r="O15" s="917" t="s">
        <v>2878</v>
      </c>
      <c r="P15" s="2773" t="s">
        <v>2879</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9" t="s">
        <v>2880</v>
      </c>
      <c r="B16" s="2742" t="s">
        <v>2881</v>
      </c>
      <c r="C16" s="1802">
        <f>ROUND(SUM(G17:J17)/C17,0)</f>
        <v>20</v>
      </c>
      <c r="D16" s="2774" t="s">
        <v>2882</v>
      </c>
      <c r="E16" s="2949" t="s">
        <v>3096</v>
      </c>
      <c r="F16" s="2950" t="s">
        <v>3097</v>
      </c>
      <c r="G16" s="2951" t="s">
        <v>3098</v>
      </c>
      <c r="H16" s="2775"/>
      <c r="I16" s="2775"/>
      <c r="J16" s="2776"/>
      <c r="K16" s="1370"/>
      <c r="L16" s="2777" t="s">
        <v>2883</v>
      </c>
      <c r="M16" s="919">
        <v>0.25</v>
      </c>
      <c r="N16" s="919">
        <v>0.2</v>
      </c>
      <c r="O16" s="919">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0"/>
      <c r="B17" s="2778" t="s">
        <v>2884</v>
      </c>
      <c r="C17" s="921">
        <f>SUMPRODUCT((修正!A2:A5=E2)*(修正!B1:M1=G2)*(修正!B2:M5))</f>
        <v>2.5</v>
      </c>
      <c r="D17" s="2779" t="s">
        <v>2885</v>
      </c>
      <c r="E17" s="920" t="str">
        <f>IF(OR(G2="八级",G2="九级",G2="十级",G2="十一级",G2="十二级"),"五通一平","七通一平")</f>
        <v>七通一平</v>
      </c>
      <c r="F17" s="921" t="s">
        <v>2886</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0" t="s">
        <v>2887</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81"/>
      <c r="AF17" s="2781"/>
      <c r="AG17" s="2717"/>
      <c r="AH17" s="2717"/>
      <c r="AI17" s="2717"/>
      <c r="AJ17" s="2717"/>
    </row>
    <row r="18" spans="1:37" s="2735" customFormat="1" ht="15.75" thickBot="1">
      <c r="A18" s="2782" t="s">
        <v>808</v>
      </c>
      <c r="B18" s="2783" t="s">
        <v>2888</v>
      </c>
      <c r="C18" s="923">
        <f>SUMIF(修正!C18:C39,E3,修正!E18:E39)</f>
        <v>1</v>
      </c>
      <c r="D18" s="2784"/>
      <c r="E18" s="2785"/>
      <c r="F18" s="2786"/>
      <c r="G18" s="2787"/>
      <c r="H18" s="2787"/>
      <c r="I18" s="2787"/>
      <c r="J18" s="2788"/>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5" customFormat="1" ht="29.25" thickBot="1">
      <c r="A19" s="2782" t="s">
        <v>809</v>
      </c>
      <c r="B19" s="2783" t="s">
        <v>2889</v>
      </c>
      <c r="C19" s="924">
        <f>ROUND(IF(H19="按公示增长率计算",SUMPRODUCT((地价!A3:A20=YEAR(G19)&amp;"-"&amp;ROUNDUP(MONTH(G19)/3,0))*(地价!X2:AB2=E2)*(地价!X3:AB20)),IF(H19="地价指数",M20/M19,(1+I19)^O19)),4)</f>
        <v>1.2667999999999999</v>
      </c>
      <c r="D19" s="2790" t="s">
        <v>2890</v>
      </c>
      <c r="E19" s="925">
        <v>41640</v>
      </c>
      <c r="F19" s="2790" t="s">
        <v>2891</v>
      </c>
      <c r="G19" s="926">
        <f>'数据-取费表'!B2</f>
        <v>43039</v>
      </c>
      <c r="H19" s="2791" t="s">
        <v>3099</v>
      </c>
      <c r="I19" s="927" t="str">
        <f>IF(H19="季度增幅（自定义）",SUMIF(N21:N24,E2,O21:O24),"")</f>
        <v/>
      </c>
      <c r="J19" s="2788"/>
      <c r="K19" s="1377"/>
      <c r="L19" s="2792" t="s">
        <v>2892</v>
      </c>
      <c r="M19" s="1735">
        <f>ROUND(SUMIF(地价!B2:F2,E2,地价!B20:F20),0)</f>
        <v>258</v>
      </c>
      <c r="N19" s="2793" t="s">
        <v>2893</v>
      </c>
      <c r="O19" s="928">
        <f>ROUNDDOWN(DATEDIF(E19,G19,"M")/3,0)</f>
        <v>15</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5" customFormat="1" ht="27.75" thickBot="1">
      <c r="A20" s="2797" t="s">
        <v>810</v>
      </c>
      <c r="B20" s="2798" t="s">
        <v>2894</v>
      </c>
      <c r="C20" s="929">
        <f ca="1">ROUND(POWER(1+G20,J20-I20)*(POWER(1+G20,I20)-1)/(POWER(1+G20,J20)-1),4)</f>
        <v>0.91439999999999999</v>
      </c>
      <c r="D20" s="2799" t="s">
        <v>2895</v>
      </c>
      <c r="E20" s="1769">
        <f ca="1">存贷款利率!D4/100</f>
        <v>4.3499999999999997E-2</v>
      </c>
      <c r="F20" s="2799" t="s">
        <v>2887</v>
      </c>
      <c r="G20" s="934">
        <f ca="1">SUMIF(M15:P15,E2,M17:P17)</f>
        <v>5.3999999999999999E-2</v>
      </c>
      <c r="H20" s="2799" t="s">
        <v>2896</v>
      </c>
      <c r="I20" s="935">
        <f>SUMIF('数据-取费表'!C6:C15,E2,'数据-取费表'!F6:F15)/COUNTIF('数据-取费表'!C6:C15,E2)</f>
        <v>30.87</v>
      </c>
      <c r="J20" s="936">
        <f>IF(E2="住宅",70,IF(E2="商业",40,50))</f>
        <v>40</v>
      </c>
      <c r="K20" s="1377"/>
      <c r="L20" s="2800" t="s">
        <v>2897</v>
      </c>
      <c r="M20" s="1736">
        <f>ROUND(SUMPRODUCT((地价!A5:A20=YEAR(G19)&amp;"-"&amp;ROUNDUP(MONTH(G19)/3,0))*(地价!B2:F2=E2)*(地价!B5:F20)),0)</f>
        <v>326</v>
      </c>
      <c r="N20" s="2801" t="s">
        <v>2898</v>
      </c>
      <c r="O20" s="2802" t="s">
        <v>2899</v>
      </c>
      <c r="P20" s="2803" t="s">
        <v>2900</v>
      </c>
      <c r="R20" s="1376"/>
      <c r="S20" s="1376"/>
      <c r="T20" s="1371"/>
      <c r="U20" s="1371"/>
      <c r="V20" s="1371"/>
      <c r="W20" s="1370"/>
      <c r="X20" s="1370"/>
      <c r="Y20" s="1370"/>
      <c r="Z20" s="1377"/>
      <c r="AA20" s="1378"/>
      <c r="AB20" s="1378"/>
      <c r="AC20" s="1378"/>
      <c r="AD20" s="1378"/>
      <c r="AE20" s="1378"/>
      <c r="AF20" s="1378"/>
    </row>
    <row r="21" spans="1:37" s="2735" customFormat="1" ht="15">
      <c r="A21" s="2804" t="s">
        <v>811</v>
      </c>
      <c r="B21" s="2805" t="s">
        <v>2901</v>
      </c>
      <c r="C21" s="937">
        <f>IF(B21="容积率修正",IF(G3&lt;=10,D22,J22),C23)</f>
        <v>1.8629</v>
      </c>
      <c r="D21" s="2806"/>
      <c r="E21" s="2806"/>
      <c r="F21" s="2806"/>
      <c r="G21" s="2806"/>
      <c r="H21" s="2806"/>
      <c r="I21" s="2806"/>
      <c r="J21" s="2807"/>
      <c r="K21" s="1377"/>
      <c r="N21" s="2808" t="s">
        <v>2902</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2903</v>
      </c>
      <c r="B22" s="2809" t="s">
        <v>2904</v>
      </c>
      <c r="C22" s="1811" t="s">
        <v>2905</v>
      </c>
      <c r="D22" s="1811">
        <f>IF(E22=G22,F22,IF(G3&lt;=10,ROUND(F22+(H22-F22)*(G3-E22)/(G22-E22),4),"——"))</f>
        <v>1.0390999999999999</v>
      </c>
      <c r="E22" s="913">
        <f>ROUNDDOWN(G3,1)</f>
        <v>2.2000000000000002</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3">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11" t="s">
        <v>155</v>
      </c>
      <c r="J22" s="938" t="str">
        <f>IF(G3&gt;10,D113,"——")</f>
        <v>——</v>
      </c>
      <c r="K22" s="1377"/>
      <c r="N22" s="2808" t="s">
        <v>2906</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1" t="s">
        <v>2907</v>
      </c>
      <c r="B23" s="2810" t="s">
        <v>2908</v>
      </c>
      <c r="C23" s="1013">
        <f>ROUND(IF(G3&gt;1,IF(I3&lt;7,SUMPRODUCT((B93:B98=I3)*(C92:N92=G2)*(C93:N98)),SUMIF(C92:N92,G2,C100:N100)),IF(I3&lt;7,SUMPRODUCT((B102:B107=I3)*(C92:N92=G2)*(C102:N107)),SUMIF(C92:N92,G2,C109:N109))),4)</f>
        <v>1.8629</v>
      </c>
      <c r="D23" s="2768"/>
      <c r="E23" s="2768"/>
      <c r="F23" s="2811"/>
      <c r="G23" s="2812"/>
      <c r="H23" s="2813"/>
      <c r="I23" s="2814"/>
      <c r="J23" s="2815"/>
      <c r="K23" s="1370"/>
      <c r="N23" s="2808" t="s">
        <v>2909</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89"/>
    </row>
    <row r="24" spans="1:37" s="2735" customFormat="1" ht="15.75" thickBot="1">
      <c r="A24" s="2797" t="s">
        <v>812</v>
      </c>
      <c r="B24" s="2783" t="s">
        <v>2910</v>
      </c>
      <c r="C24" s="924">
        <f>SUMIF(A45:A88,E2,B45:B88)</f>
        <v>1.0580000000000001</v>
      </c>
      <c r="D24" s="2786"/>
      <c r="E24" s="2816"/>
      <c r="F24" s="2816"/>
      <c r="G24" s="2816"/>
      <c r="H24" s="2816"/>
      <c r="I24" s="2816"/>
      <c r="J24" s="2817"/>
      <c r="K24" s="1377"/>
      <c r="N24" s="2818" t="s">
        <v>2911</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2912</v>
      </c>
      <c r="C25" s="930"/>
      <c r="D25" s="2745"/>
      <c r="E25" s="2745"/>
      <c r="F25" s="2820"/>
      <c r="G25" s="2745"/>
      <c r="H25" s="2745"/>
      <c r="I25" s="2745"/>
      <c r="J25" s="2746"/>
      <c r="K25" s="1370"/>
      <c r="N25" s="2821" t="s">
        <v>2913</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2"/>
      <c r="B26" s="2809" t="s">
        <v>2914</v>
      </c>
      <c r="C26" s="207">
        <f ca="1">E29+SUM(E33:E39)</f>
        <v>41226</v>
      </c>
      <c r="D26" s="2823"/>
      <c r="E26" s="2768"/>
      <c r="F26" s="2824"/>
      <c r="G26" s="2768"/>
      <c r="H26" s="2768"/>
      <c r="I26" s="2768"/>
      <c r="J26" s="2825"/>
      <c r="K26" s="1370"/>
      <c r="R26" s="1376"/>
      <c r="S26" s="1376"/>
      <c r="T26" s="1371"/>
      <c r="U26" s="1371"/>
      <c r="V26" s="1371"/>
      <c r="W26" s="1370"/>
      <c r="X26" s="1370"/>
      <c r="Y26" s="1370"/>
      <c r="Z26" s="1377"/>
      <c r="AA26" s="1378"/>
      <c r="AB26" s="1378"/>
      <c r="AC26" s="1378"/>
      <c r="AD26" s="1378"/>
    </row>
    <row r="27" spans="1:37" ht="15.75" thickBot="1">
      <c r="A27" s="2822"/>
      <c r="B27" s="2826" t="s">
        <v>2915</v>
      </c>
      <c r="C27" s="931">
        <f ca="1">E30+SUM(I33:I39)</f>
        <v>3707</v>
      </c>
      <c r="D27" s="2827"/>
      <c r="E27" s="2828"/>
      <c r="F27" s="2829"/>
      <c r="G27" s="2828"/>
      <c r="H27" s="2828"/>
      <c r="I27" s="2828"/>
      <c r="J27" s="283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1"/>
      <c r="B28" s="2832" t="s">
        <v>2916</v>
      </c>
      <c r="C28" s="2833" t="s">
        <v>2917</v>
      </c>
      <c r="D28" s="2833" t="s">
        <v>2918</v>
      </c>
      <c r="E28" s="2834" t="s">
        <v>2919</v>
      </c>
      <c r="F28" s="2835"/>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6"/>
      <c r="B29" s="2837" t="s">
        <v>2920</v>
      </c>
      <c r="C29" s="207">
        <f ca="1">ROUND(C5*C18*C19*C20*C21*C24,0)</f>
        <v>22351</v>
      </c>
      <c r="D29" s="2838">
        <f>'数据-基础表'!I13</f>
        <v>11810.92</v>
      </c>
      <c r="E29" s="942">
        <f ca="1">ROUND(C29*D29/10000,0)</f>
        <v>26399</v>
      </c>
      <c r="F29" s="2839" t="s">
        <v>2921</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7"/>
      <c r="AH29" s="2717"/>
      <c r="AI29" s="2717"/>
      <c r="AJ29" s="2717"/>
    </row>
    <row r="30" spans="1:37" ht="25.5" thickBot="1">
      <c r="A30" s="2842"/>
      <c r="B30" s="2843" t="s">
        <v>2922</v>
      </c>
      <c r="C30" s="230">
        <f ca="1">ROUND(IF(E2="工业",C29*M39,C29*M38),0)</f>
        <v>5588</v>
      </c>
      <c r="D30" s="2844"/>
      <c r="E30" s="942">
        <f ca="1">ROUND(C30*D30/10000,0)</f>
        <v>0</v>
      </c>
      <c r="F30" s="2845" t="s">
        <v>2923</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7"/>
      <c r="AH30" s="2717"/>
      <c r="AI30" s="2717"/>
      <c r="AJ30" s="2717"/>
    </row>
    <row r="31" spans="1:37" ht="14.25">
      <c r="A31" s="2848"/>
      <c r="B31" s="2849" t="s">
        <v>2924</v>
      </c>
      <c r="C31" s="2850" t="s">
        <v>2925</v>
      </c>
      <c r="D31" s="2758"/>
      <c r="E31" s="2850"/>
      <c r="F31" s="2850"/>
      <c r="G31" s="2756" t="s">
        <v>2926</v>
      </c>
      <c r="H31" s="2758"/>
      <c r="I31" s="2851"/>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7"/>
      <c r="AH31" s="2717"/>
      <c r="AI31" s="2717"/>
      <c r="AJ31" s="2717"/>
    </row>
    <row r="32" spans="1:37" ht="24">
      <c r="A32" s="2836"/>
      <c r="B32" s="2852"/>
      <c r="C32" s="502" t="s">
        <v>2917</v>
      </c>
      <c r="D32" s="499" t="s">
        <v>2918</v>
      </c>
      <c r="E32" s="499" t="s">
        <v>2919</v>
      </c>
      <c r="F32" s="389" t="s">
        <v>2927</v>
      </c>
      <c r="G32" s="2853" t="s">
        <v>2917</v>
      </c>
      <c r="H32" s="2853" t="s">
        <v>2918</v>
      </c>
      <c r="I32" s="2853" t="s">
        <v>2919</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7"/>
      <c r="AH32" s="2717"/>
      <c r="AI32" s="2717"/>
      <c r="AJ32" s="2717"/>
    </row>
    <row r="33" spans="1:37" ht="36" customHeight="1">
      <c r="A33" s="3259" t="s">
        <v>2928</v>
      </c>
      <c r="B33" s="2854" t="s">
        <v>2929</v>
      </c>
      <c r="C33" s="207">
        <f ca="1">ROUND(D5*C19*C20*C24*F33,0)</f>
        <v>8399</v>
      </c>
      <c r="D33" s="2838">
        <f>'数据-基础表'!K5</f>
        <v>14121.230000000001</v>
      </c>
      <c r="E33" s="201">
        <f ca="1">ROUND(C33*D33/10000,0)</f>
        <v>11860</v>
      </c>
      <c r="F33" s="201">
        <f>SUMIF(修正!A45:A56,G2,修正!B45:B56)</f>
        <v>0.7</v>
      </c>
      <c r="G33" s="201">
        <f t="shared" ref="G33:G39" ca="1" si="6">ROUND(IF(E2="工业",C33*$M$39,C33*$M$38),0)</f>
        <v>2100</v>
      </c>
      <c r="H33" s="201">
        <f>D33</f>
        <v>14121.230000000001</v>
      </c>
      <c r="I33" s="201">
        <f ca="1">ROUND(G33*H33/10000,0)</f>
        <v>2965</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0"/>
      <c r="B34" s="2762" t="s">
        <v>2930</v>
      </c>
      <c r="C34" s="207">
        <f ca="1">ROUND(D5*C19*C20*C24*F34,0)</f>
        <v>4799</v>
      </c>
      <c r="D34" s="2838"/>
      <c r="E34" s="201">
        <f t="shared" ref="E34:E39" ca="1" si="7">ROUND(C34*D34/10000,0)</f>
        <v>0</v>
      </c>
      <c r="F34" s="201">
        <f>SUMIF(修正!A45:A56,G2,修正!C45:C56)</f>
        <v>0.4</v>
      </c>
      <c r="G34" s="201">
        <f t="shared" ca="1" si="6"/>
        <v>1200</v>
      </c>
      <c r="H34" s="201">
        <f t="shared" ref="H34:H39" si="8">D34</f>
        <v>0</v>
      </c>
      <c r="I34" s="201">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2" t="s">
        <v>2931</v>
      </c>
      <c r="C35" s="207">
        <f ca="1">ROUND(D5*C19*C20*C24*F35,0)</f>
        <v>3359</v>
      </c>
      <c r="D35" s="2838"/>
      <c r="E35" s="201">
        <f t="shared" ca="1" si="7"/>
        <v>0</v>
      </c>
      <c r="F35" s="201">
        <f>SUMIF(修正!A45:A56,G2,修正!D45:D56)</f>
        <v>0.28000000000000003</v>
      </c>
      <c r="G35" s="201">
        <f t="shared" ca="1" si="6"/>
        <v>840</v>
      </c>
      <c r="H35" s="201">
        <f t="shared" si="8"/>
        <v>0</v>
      </c>
      <c r="I35" s="201">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61"/>
      <c r="B36" s="2762" t="s">
        <v>2932</v>
      </c>
      <c r="C36" s="207">
        <f ca="1">ROUND(D5*C19*C20*C24*F36,0)</f>
        <v>3000</v>
      </c>
      <c r="D36" s="2838"/>
      <c r="E36" s="201">
        <f t="shared" ca="1" si="7"/>
        <v>0</v>
      </c>
      <c r="F36" s="201">
        <f>SUMIF(修正!A45:A56,G2,修正!E45:E56)</f>
        <v>0.25</v>
      </c>
      <c r="G36" s="201">
        <f t="shared" ca="1" si="6"/>
        <v>750</v>
      </c>
      <c r="H36" s="201">
        <f t="shared" si="8"/>
        <v>0</v>
      </c>
      <c r="I36" s="201">
        <f t="shared" ca="1" si="9"/>
        <v>0</v>
      </c>
      <c r="J36" s="2855"/>
      <c r="K36" s="1370"/>
      <c r="L36" s="2716"/>
      <c r="M36" s="2716"/>
      <c r="N36" s="1370"/>
      <c r="O36" s="1370"/>
      <c r="P36" s="1370"/>
      <c r="Q36" s="1370"/>
      <c r="R36" s="1370"/>
      <c r="S36" s="1370"/>
      <c r="T36" s="1370"/>
      <c r="U36" s="1370"/>
      <c r="V36" s="1370"/>
      <c r="W36" s="1370"/>
      <c r="X36" s="1370"/>
      <c r="Y36" s="1370"/>
      <c r="Z36" s="1371"/>
    </row>
    <row r="37" spans="1:37">
      <c r="A37" s="2856"/>
      <c r="B37" s="2762" t="s">
        <v>2933</v>
      </c>
      <c r="C37" s="201">
        <f ca="1">ROUND(C5*C19*C20*C24*F37,0)</f>
        <v>3000</v>
      </c>
      <c r="D37" s="2838"/>
      <c r="E37" s="201">
        <f t="shared" ca="1" si="7"/>
        <v>0</v>
      </c>
      <c r="F37" s="207">
        <f>SUMIF(修正!A45:A56,G2,修正!F45:F56)</f>
        <v>0.25</v>
      </c>
      <c r="G37" s="201">
        <f t="shared" ca="1" si="6"/>
        <v>750</v>
      </c>
      <c r="H37" s="201">
        <f t="shared" si="8"/>
        <v>0</v>
      </c>
      <c r="I37" s="201">
        <f t="shared" ca="1" si="9"/>
        <v>0</v>
      </c>
      <c r="J37" s="2855"/>
      <c r="K37" s="1370"/>
      <c r="L37" s="2857" t="s">
        <v>2934</v>
      </c>
      <c r="M37" s="2858"/>
      <c r="N37" s="1370"/>
      <c r="O37" s="1370"/>
      <c r="P37" s="1370"/>
      <c r="Q37" s="1370"/>
      <c r="R37" s="1370"/>
      <c r="S37" s="1370"/>
      <c r="T37" s="1370"/>
      <c r="U37" s="1370"/>
      <c r="V37" s="1370"/>
      <c r="W37" s="1370"/>
      <c r="X37" s="1370"/>
      <c r="Y37" s="1370"/>
      <c r="Z37" s="1371"/>
    </row>
    <row r="38" spans="1:37">
      <c r="A38" s="2856"/>
      <c r="B38" s="2762" t="s">
        <v>2935</v>
      </c>
      <c r="C38" s="201">
        <f ca="1">ROUND(C5*C19*C20*C24*F38,0)</f>
        <v>3000</v>
      </c>
      <c r="D38" s="2838"/>
      <c r="E38" s="201">
        <f t="shared" ca="1" si="7"/>
        <v>0</v>
      </c>
      <c r="F38" s="207">
        <f>SUMIF(修正!A45:A56,G2,修正!G45:G56)</f>
        <v>0.25</v>
      </c>
      <c r="G38" s="201">
        <f t="shared" ca="1" si="6"/>
        <v>750</v>
      </c>
      <c r="H38" s="201">
        <f t="shared" si="8"/>
        <v>0</v>
      </c>
      <c r="I38" s="201">
        <f t="shared" ca="1" si="9"/>
        <v>0</v>
      </c>
      <c r="J38" s="2855"/>
      <c r="K38" s="1370"/>
      <c r="L38" s="1888" t="s">
        <v>2936</v>
      </c>
      <c r="M38" s="2859">
        <v>0.25</v>
      </c>
      <c r="N38" s="1370"/>
      <c r="O38" s="1370"/>
      <c r="P38" s="1370"/>
      <c r="Q38" s="1370"/>
      <c r="R38" s="1370"/>
      <c r="S38" s="1370"/>
      <c r="T38" s="1370"/>
      <c r="U38" s="1370"/>
      <c r="V38" s="1370"/>
      <c r="W38" s="1370"/>
      <c r="X38" s="1370"/>
      <c r="Y38" s="1370"/>
      <c r="Z38" s="1371"/>
    </row>
    <row r="39" spans="1:37" ht="13.5" thickBot="1">
      <c r="A39" s="2842"/>
      <c r="B39" s="2860" t="s">
        <v>2937</v>
      </c>
      <c r="C39" s="230">
        <f ca="1">ROUND(C5*C19*C20*C24*F39,0)</f>
        <v>2400</v>
      </c>
      <c r="D39" s="2844">
        <f>'数据-基础表'!M19</f>
        <v>12362.01</v>
      </c>
      <c r="E39" s="230">
        <f t="shared" ca="1" si="7"/>
        <v>2967</v>
      </c>
      <c r="F39" s="932">
        <f>SUMIF(修正!A45:A56,G2,修正!H45:H56)</f>
        <v>0.2</v>
      </c>
      <c r="G39" s="230">
        <f t="shared" ca="1" si="6"/>
        <v>600</v>
      </c>
      <c r="H39" s="230">
        <f t="shared" si="8"/>
        <v>12362.01</v>
      </c>
      <c r="I39" s="230">
        <f t="shared" ca="1" si="9"/>
        <v>742</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4"/>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2938</v>
      </c>
      <c r="B45" s="2866"/>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7" t="s">
        <v>2939</v>
      </c>
      <c r="B46" s="2868">
        <f>1+E48</f>
        <v>1.0580000000000001</v>
      </c>
      <c r="C46" s="2869"/>
      <c r="D46" s="811"/>
      <c r="E46" s="812"/>
      <c r="F46" s="2870"/>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71" t="s">
        <v>2940</v>
      </c>
      <c r="B47" s="1810" t="s">
        <v>2941</v>
      </c>
      <c r="C47" s="1810" t="s">
        <v>2942</v>
      </c>
      <c r="D47" s="1810" t="s">
        <v>2943</v>
      </c>
      <c r="E47" s="816" t="s">
        <v>2944</v>
      </c>
      <c r="F47" s="2872" t="s">
        <v>2945</v>
      </c>
      <c r="G47" s="1810" t="s">
        <v>754</v>
      </c>
      <c r="H47" s="2873" t="s">
        <v>2946</v>
      </c>
      <c r="I47" s="1810" t="s">
        <v>2947</v>
      </c>
      <c r="J47" s="604" t="s">
        <v>2595</v>
      </c>
      <c r="K47" s="604" t="s">
        <v>2596</v>
      </c>
      <c r="L47" s="604" t="s">
        <v>2597</v>
      </c>
      <c r="M47" s="604" t="s">
        <v>2598</v>
      </c>
      <c r="N47" s="604" t="s">
        <v>2599</v>
      </c>
      <c r="AA47" s="1371"/>
      <c r="AB47" s="1371"/>
      <c r="AC47" s="1371"/>
      <c r="AD47" s="1371"/>
      <c r="AE47" s="1371"/>
      <c r="AF47" s="1371"/>
      <c r="AG47" s="1371"/>
      <c r="AH47" s="1371"/>
      <c r="AI47" s="1371"/>
      <c r="AJ47" s="1371"/>
      <c r="AK47" s="1371"/>
    </row>
    <row r="48" spans="1:37" s="1370" customFormat="1" ht="51">
      <c r="A48" s="2871" t="s">
        <v>2948</v>
      </c>
      <c r="B48" s="2874" t="str">
        <f>估价对象房地状况!C4</f>
        <v>估价对象位于回龙观与西三旗商圈之间，周边商业氛围较好，人流量一般，商业繁华度较好</v>
      </c>
      <c r="C48" s="2766" t="s">
        <v>3102</v>
      </c>
      <c r="D48" s="1286">
        <f t="shared" ref="D48:D56" si="10">SUMIF($J$47:$N$47,C48,J48:N48)</f>
        <v>0.02</v>
      </c>
      <c r="E48" s="818">
        <f>ROUND(SUM(D48:D56),4)</f>
        <v>5.8000000000000003E-2</v>
      </c>
      <c r="F48" s="2498">
        <f>IF(E2="商业",SUMIF(L1:L12,G2,N1:N12),"——")</f>
        <v>0.125</v>
      </c>
      <c r="G48" s="1284">
        <v>0.02</v>
      </c>
      <c r="H48" s="1288">
        <f t="shared" ref="H48:H56" si="11">IFERROR(ROUNDDOWN($F$48*I48/2,4),"——")</f>
        <v>2.06E-2</v>
      </c>
      <c r="I48" s="817">
        <v>0.33</v>
      </c>
      <c r="J48" s="1285">
        <f t="shared" ref="J48:J56" si="12">K48+$G48</f>
        <v>0.04</v>
      </c>
      <c r="K48" s="1285">
        <f t="shared" ref="K48:K56" si="13">$L48+$G48</f>
        <v>0.02</v>
      </c>
      <c r="L48" s="1285">
        <v>0</v>
      </c>
      <c r="M48" s="1285">
        <f t="shared" ref="M48:N56" si="14">L48-$G48</f>
        <v>-0.02</v>
      </c>
      <c r="N48" s="1285">
        <f t="shared" si="14"/>
        <v>-0.04</v>
      </c>
      <c r="AA48" s="1371"/>
      <c r="AB48" s="1371"/>
      <c r="AC48" s="1371"/>
      <c r="AD48" s="1371"/>
      <c r="AE48" s="1371"/>
      <c r="AF48" s="1371"/>
      <c r="AG48" s="1371"/>
      <c r="AH48" s="1371"/>
      <c r="AI48" s="1371"/>
      <c r="AJ48" s="1371"/>
      <c r="AK48" s="1371"/>
    </row>
    <row r="49" spans="1:37" s="1370" customFormat="1" ht="76.5">
      <c r="A49" s="2871" t="s">
        <v>2949</v>
      </c>
      <c r="B49" s="2875" t="str">
        <f>估价对象房地状况!C18</f>
        <v>估价对象周边有371、462等公交线路并有8号线等，公共交通通达情况；项目自身有停车位、停车便捷程度较好，综合评价交通便捷度较好</v>
      </c>
      <c r="C49" s="2766" t="s">
        <v>3102</v>
      </c>
      <c r="D49" s="1286">
        <f t="shared" si="10"/>
        <v>1.4999999999999999E-2</v>
      </c>
      <c r="E49" s="819"/>
      <c r="F49" s="2498"/>
      <c r="G49" s="1284">
        <v>1.4999999999999999E-2</v>
      </c>
      <c r="H49" s="1288">
        <f t="shared" si="11"/>
        <v>1.5599999999999999E-2</v>
      </c>
      <c r="I49" s="817">
        <v>0.25</v>
      </c>
      <c r="J49" s="1285">
        <f t="shared" si="12"/>
        <v>0.03</v>
      </c>
      <c r="K49" s="1285">
        <f t="shared" si="13"/>
        <v>1.4999999999999999E-2</v>
      </c>
      <c r="L49" s="1285">
        <v>0</v>
      </c>
      <c r="M49" s="1285">
        <f t="shared" si="14"/>
        <v>-1.4999999999999999E-2</v>
      </c>
      <c r="N49" s="1285">
        <f t="shared" si="14"/>
        <v>-0.03</v>
      </c>
      <c r="AA49" s="1371"/>
      <c r="AB49" s="1371"/>
      <c r="AC49" s="1371"/>
      <c r="AD49" s="1371"/>
      <c r="AE49" s="1371"/>
      <c r="AF49" s="1371"/>
      <c r="AG49" s="1371"/>
      <c r="AH49" s="1371"/>
      <c r="AI49" s="1371"/>
      <c r="AJ49" s="1371"/>
      <c r="AK49" s="1371"/>
    </row>
    <row r="50" spans="1:37" s="1370" customFormat="1" ht="24">
      <c r="A50" s="2871" t="s">
        <v>2950</v>
      </c>
      <c r="B50" s="2875" t="str">
        <f>估价对象房地状况!C19</f>
        <v>一般</v>
      </c>
      <c r="C50" s="2766" t="s">
        <v>3100</v>
      </c>
      <c r="D50" s="1286">
        <f t="shared" si="10"/>
        <v>0</v>
      </c>
      <c r="E50" s="819"/>
      <c r="F50" s="2498"/>
      <c r="G50" s="1284">
        <v>3.0000000000000001E-3</v>
      </c>
      <c r="H50" s="1288">
        <f t="shared" si="11"/>
        <v>3.0999999999999999E-3</v>
      </c>
      <c r="I50" s="817">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48">
      <c r="A51" s="2871" t="s">
        <v>2951</v>
      </c>
      <c r="B51" s="2952" t="s">
        <v>3103</v>
      </c>
      <c r="C51" s="2766" t="s">
        <v>3102</v>
      </c>
      <c r="D51" s="1286">
        <f t="shared" si="10"/>
        <v>3.0000000000000001E-3</v>
      </c>
      <c r="E51" s="819"/>
      <c r="F51" s="2498"/>
      <c r="G51" s="1284">
        <v>3.0000000000000001E-3</v>
      </c>
      <c r="H51" s="1288">
        <f t="shared" si="11"/>
        <v>3.0999999999999999E-3</v>
      </c>
      <c r="I51" s="817">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71" t="s">
        <v>2953</v>
      </c>
      <c r="B52" s="2875" t="str">
        <f>估价对象房地状况!C24</f>
        <v>城市次干道——文华路</v>
      </c>
      <c r="C52" s="2766" t="s">
        <v>3100</v>
      </c>
      <c r="D52" s="1286">
        <f t="shared" si="10"/>
        <v>0</v>
      </c>
      <c r="E52" s="819"/>
      <c r="F52" s="2498"/>
      <c r="G52" s="1284">
        <v>4.4999999999999997E-3</v>
      </c>
      <c r="H52" s="1288">
        <f t="shared" si="11"/>
        <v>5.0000000000000001E-3</v>
      </c>
      <c r="I52" s="817">
        <v>0.08</v>
      </c>
      <c r="J52" s="1285">
        <f t="shared" si="12"/>
        <v>8.9999999999999993E-3</v>
      </c>
      <c r="K52" s="1285">
        <f t="shared" si="13"/>
        <v>4.4999999999999997E-3</v>
      </c>
      <c r="L52" s="1285">
        <v>0</v>
      </c>
      <c r="M52" s="1285">
        <f t="shared" si="14"/>
        <v>-4.4999999999999997E-3</v>
      </c>
      <c r="N52" s="1285">
        <f t="shared" si="14"/>
        <v>-8.9999999999999993E-3</v>
      </c>
      <c r="AA52" s="1371"/>
      <c r="AB52" s="1371"/>
      <c r="AC52" s="1371"/>
      <c r="AD52" s="1371"/>
      <c r="AE52" s="1371"/>
      <c r="AF52" s="1371"/>
      <c r="AG52" s="1371"/>
      <c r="AH52" s="1371"/>
      <c r="AI52" s="1371"/>
      <c r="AJ52" s="1371"/>
      <c r="AK52" s="1371"/>
    </row>
    <row r="53" spans="1:37" s="1370" customFormat="1" ht="24">
      <c r="A53" s="2871" t="s">
        <v>2954</v>
      </c>
      <c r="B53" s="2953" t="s">
        <v>3104</v>
      </c>
      <c r="C53" s="2766" t="s">
        <v>3102</v>
      </c>
      <c r="D53" s="1286">
        <f t="shared" si="10"/>
        <v>1.5E-3</v>
      </c>
      <c r="E53" s="819"/>
      <c r="F53" s="2498"/>
      <c r="G53" s="1284">
        <v>1.5E-3</v>
      </c>
      <c r="H53" s="1288">
        <f t="shared" si="11"/>
        <v>1.8E-3</v>
      </c>
      <c r="I53" s="817">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51">
      <c r="A54" s="2878" t="s">
        <v>2956</v>
      </c>
      <c r="B54" s="1726" t="str">
        <f>估价对象房地状况!C21</f>
        <v>估价对象所在区域公共配套设施较齐备；综合评价公用设施及基础设施水平较好</v>
      </c>
      <c r="C54" s="2766" t="s">
        <v>3102</v>
      </c>
      <c r="D54" s="1286">
        <f t="shared" si="10"/>
        <v>3.0000000000000001E-3</v>
      </c>
      <c r="E54" s="819"/>
      <c r="F54" s="2498"/>
      <c r="G54" s="1284">
        <v>3.0000000000000001E-3</v>
      </c>
      <c r="H54" s="1288">
        <f t="shared" si="11"/>
        <v>3.0999999999999999E-3</v>
      </c>
      <c r="I54" s="817">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8" t="s">
        <v>2957</v>
      </c>
      <c r="B55" s="2875" t="str">
        <f>估价对象房地状况!C22</f>
        <v>基础设施水平七通一平；</v>
      </c>
      <c r="C55" s="2766" t="s">
        <v>3105</v>
      </c>
      <c r="D55" s="1286">
        <f t="shared" si="10"/>
        <v>1.2E-2</v>
      </c>
      <c r="E55" s="819"/>
      <c r="F55" s="2498"/>
      <c r="G55" s="1284">
        <v>6.0000000000000001E-3</v>
      </c>
      <c r="H55" s="1288">
        <f t="shared" si="11"/>
        <v>6.1999999999999998E-3</v>
      </c>
      <c r="I55" s="817">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51.75" thickBot="1">
      <c r="A56" s="2879" t="s">
        <v>2958</v>
      </c>
      <c r="B56" s="2880" t="str">
        <f>估价对象房地状况!C20</f>
        <v>区域自然环境：南店公园等；人文环境：北京石油管理干部学院；综合评价环境状况较好</v>
      </c>
      <c r="C56" s="2766" t="s">
        <v>3102</v>
      </c>
      <c r="D56" s="1286">
        <f t="shared" si="10"/>
        <v>3.5000000000000001E-3</v>
      </c>
      <c r="E56" s="822"/>
      <c r="F56" s="2498"/>
      <c r="G56" s="1284">
        <v>3.5000000000000001E-3</v>
      </c>
      <c r="H56" s="1288">
        <f t="shared" si="11"/>
        <v>3.7000000000000002E-3</v>
      </c>
      <c r="I56" s="821">
        <v>0.06</v>
      </c>
      <c r="J56" s="1285">
        <f t="shared" si="12"/>
        <v>7.0000000000000001E-3</v>
      </c>
      <c r="K56" s="1285">
        <f t="shared" si="13"/>
        <v>3.5000000000000001E-3</v>
      </c>
      <c r="L56" s="1285">
        <v>0</v>
      </c>
      <c r="M56" s="1285">
        <f t="shared" si="14"/>
        <v>-3.5000000000000001E-3</v>
      </c>
      <c r="N56" s="1285">
        <f t="shared" si="14"/>
        <v>-7.0000000000000001E-3</v>
      </c>
      <c r="AA56" s="1371"/>
      <c r="AB56" s="1371"/>
      <c r="AC56" s="1371"/>
      <c r="AD56" s="1371"/>
      <c r="AE56" s="1371"/>
      <c r="AF56" s="1371"/>
      <c r="AG56" s="1371"/>
      <c r="AH56" s="1371"/>
      <c r="AI56" s="1371"/>
      <c r="AJ56" s="1371"/>
      <c r="AK56" s="1371"/>
    </row>
    <row r="57" spans="1:37" s="1370" customFormat="1" ht="15">
      <c r="A57" s="2867" t="s">
        <v>2959</v>
      </c>
      <c r="B57" s="2868">
        <f>1+E59</f>
        <v>1</v>
      </c>
      <c r="C57" s="811"/>
      <c r="D57" s="811"/>
      <c r="E57" s="812"/>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2940</v>
      </c>
      <c r="B58" s="1810"/>
      <c r="C58" s="1810" t="s">
        <v>2942</v>
      </c>
      <c r="D58" s="1810" t="s">
        <v>2943</v>
      </c>
      <c r="E58" s="816" t="s">
        <v>2944</v>
      </c>
      <c r="F58" s="2872" t="s">
        <v>2960</v>
      </c>
      <c r="G58" s="1810" t="s">
        <v>754</v>
      </c>
      <c r="H58" s="2873" t="s">
        <v>2946</v>
      </c>
      <c r="I58" s="1810" t="s">
        <v>2947</v>
      </c>
      <c r="J58" s="604" t="s">
        <v>2595</v>
      </c>
      <c r="K58" s="604" t="s">
        <v>2596</v>
      </c>
      <c r="L58" s="604" t="s">
        <v>2597</v>
      </c>
      <c r="M58" s="604" t="s">
        <v>2598</v>
      </c>
      <c r="N58" s="604" t="s">
        <v>2599</v>
      </c>
      <c r="AA58" s="1371"/>
      <c r="AB58" s="1371"/>
      <c r="AC58" s="1371"/>
      <c r="AD58" s="1371"/>
      <c r="AE58" s="1371"/>
      <c r="AF58" s="1371"/>
      <c r="AG58" s="1371"/>
      <c r="AH58" s="1371"/>
      <c r="AI58" s="1371"/>
      <c r="AJ58" s="1371"/>
      <c r="AK58" s="1371"/>
    </row>
    <row r="59" spans="1:37" s="1370" customFormat="1" ht="24">
      <c r="A59" s="2871" t="s">
        <v>2961</v>
      </c>
      <c r="B59" s="2874">
        <f>估价对象房地状况!C17</f>
        <v>0</v>
      </c>
      <c r="C59" s="2766"/>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1" t="s">
        <v>2949</v>
      </c>
      <c r="B60" s="2875" t="str">
        <f>估价对象房地状况!C18</f>
        <v>估价对象周边有371、462等公交线路并有8号线等，公共交通通达情况；项目自身有停车位、停车便捷程度较好，综合评价交通便捷度较好</v>
      </c>
      <c r="C60" s="2766"/>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2950</v>
      </c>
      <c r="B61" s="2875" t="str">
        <f>估价对象房地状况!C19</f>
        <v>一般</v>
      </c>
      <c r="C61" s="2766"/>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2951</v>
      </c>
      <c r="B62" s="2876" t="s">
        <v>2952</v>
      </c>
      <c r="C62" s="2766"/>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2953</v>
      </c>
      <c r="B63" s="2875" t="str">
        <f>估价对象房地状况!C24</f>
        <v>城市次干道——文华路</v>
      </c>
      <c r="C63" s="2766"/>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2954</v>
      </c>
      <c r="B64" s="2877" t="s">
        <v>2955</v>
      </c>
      <c r="C64" s="2766"/>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1" t="s">
        <v>2956</v>
      </c>
      <c r="B65" s="1726" t="str">
        <f>估价对象房地状况!C21</f>
        <v>估价对象所在区域公共配套设施较齐备；综合评价公用设施及基础设施水平较好</v>
      </c>
      <c r="C65" s="2766"/>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1" t="s">
        <v>2957</v>
      </c>
      <c r="B66" s="1726" t="str">
        <f>估价对象房地状况!C22</f>
        <v>基础设施水平七通一平；</v>
      </c>
      <c r="C66" s="2766"/>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9" t="s">
        <v>2958</v>
      </c>
      <c r="B67" s="2881" t="str">
        <f>估价对象房地状况!C20</f>
        <v>区域自然环境：南店公园等；人文环境：北京石油管理干部学院；综合评价环境状况较好</v>
      </c>
      <c r="C67" s="2766"/>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2962</v>
      </c>
      <c r="B68" s="2868">
        <f>1+E70</f>
        <v>1</v>
      </c>
      <c r="C68" s="811"/>
      <c r="D68" s="811"/>
      <c r="E68" s="812"/>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2940</v>
      </c>
      <c r="B69" s="1810"/>
      <c r="C69" s="1810" t="s">
        <v>2942</v>
      </c>
      <c r="D69" s="1810" t="s">
        <v>2943</v>
      </c>
      <c r="E69" s="816" t="s">
        <v>2944</v>
      </c>
      <c r="F69" s="2872" t="s">
        <v>2960</v>
      </c>
      <c r="G69" s="1810" t="s">
        <v>754</v>
      </c>
      <c r="H69" s="2873" t="s">
        <v>2946</v>
      </c>
      <c r="I69" s="1810" t="s">
        <v>2947</v>
      </c>
      <c r="J69" s="604" t="s">
        <v>2595</v>
      </c>
      <c r="K69" s="604" t="s">
        <v>2596</v>
      </c>
      <c r="L69" s="604" t="s">
        <v>2597</v>
      </c>
      <c r="M69" s="604" t="s">
        <v>2598</v>
      </c>
      <c r="N69" s="604" t="s">
        <v>2599</v>
      </c>
      <c r="AA69" s="1371"/>
      <c r="AB69" s="1371"/>
      <c r="AC69" s="1371"/>
      <c r="AD69" s="1371"/>
      <c r="AE69" s="1371"/>
      <c r="AF69" s="1371"/>
      <c r="AG69" s="1371"/>
      <c r="AH69" s="1371"/>
      <c r="AI69" s="1371"/>
      <c r="AJ69" s="1371"/>
      <c r="AK69" s="1371"/>
    </row>
    <row r="70" spans="1:37" s="1370" customFormat="1" ht="24">
      <c r="A70" s="2871" t="s">
        <v>2963</v>
      </c>
      <c r="B70" s="2874">
        <f>估价对象房地状况!C15</f>
        <v>0</v>
      </c>
      <c r="C70" s="2766"/>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1" t="s">
        <v>2949</v>
      </c>
      <c r="B71" s="2875" t="str">
        <f>估价对象房地状况!C18</f>
        <v>估价对象周边有371、462等公交线路并有8号线等，公共交通通达情况；项目自身有停车位、停车便捷程度较好，综合评价交通便捷度较好</v>
      </c>
      <c r="C71" s="2766"/>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2950</v>
      </c>
      <c r="B72" s="2875" t="str">
        <f>估价对象房地状况!C19</f>
        <v>一般</v>
      </c>
      <c r="C72" s="2766"/>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2964</v>
      </c>
      <c r="B73" s="2875" t="str">
        <f>估价对象房地状况!C24</f>
        <v>城市次干道——文华路</v>
      </c>
      <c r="C73" s="2766"/>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1" t="s">
        <v>2956</v>
      </c>
      <c r="B74" s="1726" t="str">
        <f>估价对象房地状况!C21</f>
        <v>估价对象所在区域公共配套设施较齐备；综合评价公用设施及基础设施水平较好</v>
      </c>
      <c r="C74" s="2766"/>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1" t="s">
        <v>2957</v>
      </c>
      <c r="B75" s="1726" t="str">
        <f>估价对象房地状况!C22</f>
        <v>基础设施水平七通一平；</v>
      </c>
      <c r="C75" s="2766"/>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1" t="s">
        <v>2954</v>
      </c>
      <c r="B76" s="2877" t="s">
        <v>2955</v>
      </c>
      <c r="C76" s="2766"/>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51">
      <c r="A77" s="2871" t="s">
        <v>2958</v>
      </c>
      <c r="B77" s="2874" t="str">
        <f>估价对象房地状况!C20</f>
        <v>区域自然环境：南店公园等；人文环境：北京石油管理干部学院；综合评价环境状况较好</v>
      </c>
      <c r="C77" s="2766"/>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89"/>
      <c r="AG77" s="1372"/>
      <c r="AK77" s="2789"/>
    </row>
    <row r="78" spans="1:37" ht="24.75" thickBot="1">
      <c r="A78" s="2879" t="s">
        <v>2965</v>
      </c>
      <c r="B78" s="2883"/>
      <c r="C78" s="2766"/>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89"/>
      <c r="AG78" s="1372"/>
      <c r="AK78" s="2789"/>
    </row>
    <row r="79" spans="1:37" ht="15">
      <c r="A79" s="2867" t="s">
        <v>2966</v>
      </c>
      <c r="B79" s="2868">
        <f>1+E81</f>
        <v>1</v>
      </c>
      <c r="C79" s="811"/>
      <c r="D79" s="811"/>
      <c r="E79" s="812"/>
      <c r="F79" s="2870"/>
      <c r="G79" s="6"/>
      <c r="H79" s="6"/>
      <c r="I79" s="6"/>
      <c r="J79" s="7"/>
      <c r="K79" s="7"/>
      <c r="L79" s="7"/>
      <c r="M79" s="7"/>
      <c r="N79" s="7"/>
      <c r="Z79" s="2717"/>
      <c r="AA79" s="2789"/>
      <c r="AG79" s="1372"/>
      <c r="AK79" s="2789"/>
    </row>
    <row r="80" spans="1:37" ht="24.75">
      <c r="A80" s="2871" t="s">
        <v>2940</v>
      </c>
      <c r="B80" s="1810"/>
      <c r="C80" s="1810" t="s">
        <v>2942</v>
      </c>
      <c r="D80" s="1810" t="s">
        <v>2943</v>
      </c>
      <c r="E80" s="816" t="s">
        <v>2944</v>
      </c>
      <c r="F80" s="2872" t="s">
        <v>2960</v>
      </c>
      <c r="G80" s="1810" t="s">
        <v>754</v>
      </c>
      <c r="H80" s="2873" t="s">
        <v>2946</v>
      </c>
      <c r="I80" s="1810" t="s">
        <v>2947</v>
      </c>
      <c r="J80" s="604" t="s">
        <v>2595</v>
      </c>
      <c r="K80" s="604" t="s">
        <v>2596</v>
      </c>
      <c r="L80" s="604" t="s">
        <v>2597</v>
      </c>
      <c r="M80" s="604" t="s">
        <v>2598</v>
      </c>
      <c r="N80" s="604" t="s">
        <v>2599</v>
      </c>
      <c r="Z80" s="2717"/>
      <c r="AA80" s="2789"/>
      <c r="AG80" s="1372"/>
      <c r="AK80" s="2789"/>
    </row>
    <row r="81" spans="1:37" ht="38.25">
      <c r="A81" s="2871" t="s">
        <v>2967</v>
      </c>
      <c r="B81" s="2875" t="str">
        <f>估价对象房地状况!G15</f>
        <v>估价对象位于XX开发区，园区建设成熟度XX，产业集聚程度XX</v>
      </c>
      <c r="C81" s="2766"/>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89"/>
      <c r="AG81" s="1372"/>
      <c r="AK81" s="2789"/>
    </row>
    <row r="82" spans="1:37" ht="51">
      <c r="A82" s="2871" t="s">
        <v>2949</v>
      </c>
      <c r="B82" s="2875" t="str">
        <f>估价对象房地状况!G16</f>
        <v>估价对象周边道路状况、公共交通通达情况、停车便捷程度，综合评价交通便捷度较好</v>
      </c>
      <c r="C82" s="2766"/>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89"/>
      <c r="AG82" s="1372"/>
      <c r="AK82" s="2789"/>
    </row>
    <row r="83" spans="1:37" ht="24">
      <c r="A83" s="2871" t="s">
        <v>2950</v>
      </c>
      <c r="B83" s="2875">
        <f>估价对象房地状况!G17</f>
        <v>0</v>
      </c>
      <c r="C83" s="2766"/>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89"/>
      <c r="AG83" s="1372"/>
      <c r="AK83" s="2789"/>
    </row>
    <row r="84" spans="1:37" ht="14.25">
      <c r="A84" s="2871" t="s">
        <v>2964</v>
      </c>
      <c r="B84" s="2875" t="str">
        <f>估价对象房地状况!G22</f>
        <v>城市支路——裕民中路</v>
      </c>
      <c r="C84" s="2766"/>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89"/>
      <c r="AG84" s="1372"/>
      <c r="AK84" s="2789"/>
    </row>
    <row r="85" spans="1:37" ht="25.5">
      <c r="A85" s="2871" t="s">
        <v>2956</v>
      </c>
      <c r="B85" s="1726" t="str">
        <f>估价对象房地状况!G19</f>
        <v>估价对象所在区域公共配套设施齐备情况</v>
      </c>
      <c r="C85" s="2766"/>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89"/>
      <c r="AG85" s="1372"/>
      <c r="AK85" s="2789"/>
    </row>
    <row r="86" spans="1:37" ht="25.5">
      <c r="A86" s="2871" t="s">
        <v>2957</v>
      </c>
      <c r="B86" s="1726" t="str">
        <f>估价对象房地状况!G20</f>
        <v>估价对象所在区域基础设施水平</v>
      </c>
      <c r="C86" s="2766"/>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89"/>
      <c r="AG86" s="1372"/>
      <c r="AK86" s="2789"/>
    </row>
    <row r="87" spans="1:37" ht="24">
      <c r="A87" s="2871" t="s">
        <v>2954</v>
      </c>
      <c r="B87" s="2877" t="s">
        <v>2968</v>
      </c>
      <c r="C87" s="2766"/>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89"/>
      <c r="AG87" s="1372"/>
      <c r="AK87" s="2789"/>
    </row>
    <row r="88" spans="1:37" ht="39" thickBot="1">
      <c r="A88" s="2879" t="s">
        <v>2969</v>
      </c>
      <c r="B88" s="2884" t="str">
        <f>估价对象房地状况!G18</f>
        <v>该园区内是否有污染型企业，绿化情况，卫生条件，整体环境状况判断</v>
      </c>
      <c r="C88" s="2766"/>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89"/>
      <c r="AG88" s="1372"/>
      <c r="AK88" s="2789"/>
    </row>
    <row r="90" spans="1:37">
      <c r="A90" s="3253" t="s">
        <v>2970</v>
      </c>
      <c r="B90" s="3253"/>
      <c r="C90" s="3253"/>
      <c r="D90" s="3253"/>
      <c r="E90" s="3253"/>
      <c r="F90" s="3253"/>
      <c r="G90" s="3253"/>
      <c r="H90" s="3253"/>
      <c r="I90" s="3253"/>
      <c r="J90" s="3253"/>
      <c r="K90" s="2885"/>
      <c r="L90" s="2885"/>
      <c r="M90" s="2885"/>
      <c r="N90" s="2885"/>
    </row>
    <row r="91" spans="1:37">
      <c r="A91" s="3255" t="s">
        <v>2971</v>
      </c>
      <c r="B91" s="3255" t="s">
        <v>2972</v>
      </c>
      <c r="C91" s="2839" t="s">
        <v>2973</v>
      </c>
      <c r="D91" s="2840"/>
      <c r="E91" s="2840"/>
      <c r="F91" s="2840"/>
      <c r="G91" s="2840"/>
      <c r="H91" s="2840"/>
      <c r="I91" s="2840"/>
      <c r="J91" s="2886"/>
      <c r="K91" s="2887"/>
      <c r="L91" s="2887"/>
      <c r="M91" s="2887"/>
      <c r="N91" s="2887"/>
    </row>
    <row r="92" spans="1:37">
      <c r="A92" s="3255"/>
      <c r="B92" s="3255"/>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6" t="s">
        <v>2974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7"/>
      <c r="B99" s="2888" t="s">
        <v>2854</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258"/>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56" t="s">
        <v>2975</v>
      </c>
      <c r="B101" s="2892" t="s">
        <v>2976</v>
      </c>
      <c r="C101" s="2893">
        <f>$G$3</f>
        <v>2.2599999999999998</v>
      </c>
      <c r="D101" s="2893">
        <f t="shared" ref="D101:N101" si="31">$G$3</f>
        <v>2.2599999999999998</v>
      </c>
      <c r="E101" s="2893">
        <f t="shared" si="31"/>
        <v>2.2599999999999998</v>
      </c>
      <c r="F101" s="2893">
        <f t="shared" si="31"/>
        <v>2.2599999999999998</v>
      </c>
      <c r="G101" s="2893">
        <f t="shared" si="31"/>
        <v>2.2599999999999998</v>
      </c>
      <c r="H101" s="2893">
        <f t="shared" si="31"/>
        <v>2.2599999999999998</v>
      </c>
      <c r="I101" s="2893">
        <f t="shared" si="31"/>
        <v>2.2599999999999998</v>
      </c>
      <c r="J101" s="2893">
        <f t="shared" si="31"/>
        <v>2.2599999999999998</v>
      </c>
      <c r="K101" s="2893">
        <f t="shared" si="31"/>
        <v>2.2599999999999998</v>
      </c>
      <c r="L101" s="2893">
        <f t="shared" si="31"/>
        <v>2.2599999999999998</v>
      </c>
      <c r="M101" s="2893">
        <f t="shared" si="31"/>
        <v>2.2599999999999998</v>
      </c>
      <c r="N101" s="2893">
        <f t="shared" si="31"/>
        <v>2.2599999999999998</v>
      </c>
    </row>
    <row r="102" spans="1:14">
      <c r="A102" s="3257"/>
      <c r="B102" s="2888">
        <v>1</v>
      </c>
      <c r="C102" s="2889">
        <f>1.9362/C101</f>
        <v>0.85672566371681425</v>
      </c>
      <c r="D102" s="2889">
        <f>1.9362/D101</f>
        <v>0.85672566371681425</v>
      </c>
      <c r="E102" s="2889">
        <f>1.8629/E101</f>
        <v>0.82429203539823015</v>
      </c>
      <c r="F102" s="2889">
        <f>1.8629/F101</f>
        <v>0.82429203539823015</v>
      </c>
      <c r="G102" s="2889">
        <f>1.8629/G101</f>
        <v>0.82429203539823015</v>
      </c>
      <c r="H102" s="2889">
        <f>1.8629/H101</f>
        <v>0.82429203539823015</v>
      </c>
      <c r="I102" s="2889">
        <f>1.8629/I101</f>
        <v>0.82429203539823015</v>
      </c>
      <c r="J102" s="2889">
        <f>1.942/J101</f>
        <v>0.85929203539823018</v>
      </c>
      <c r="K102" s="2889">
        <f>1.942/K101</f>
        <v>0.85929203539823018</v>
      </c>
      <c r="L102" s="2889">
        <f>1.942/L101</f>
        <v>0.85929203539823018</v>
      </c>
      <c r="M102" s="2889">
        <f>1.942/M101</f>
        <v>0.85929203539823018</v>
      </c>
      <c r="N102" s="2889">
        <f>1.942/N101</f>
        <v>0.85929203539823018</v>
      </c>
    </row>
    <row r="103" spans="1:14">
      <c r="A103" s="3257"/>
      <c r="B103" s="2888">
        <v>2</v>
      </c>
      <c r="C103" s="2889">
        <f>1.4198/C101</f>
        <v>0.62823008849557527</v>
      </c>
      <c r="D103" s="2889">
        <f>1.4198/D101</f>
        <v>0.62823008849557527</v>
      </c>
      <c r="E103" s="2889">
        <f>1.3372/E101</f>
        <v>0.59168141592920354</v>
      </c>
      <c r="F103" s="2889">
        <f>1.3372/F101</f>
        <v>0.59168141592920354</v>
      </c>
      <c r="G103" s="2889">
        <f>1.3372/G101</f>
        <v>0.59168141592920354</v>
      </c>
      <c r="H103" s="2889">
        <f>1.3372/H101</f>
        <v>0.59168141592920354</v>
      </c>
      <c r="I103" s="2889">
        <f>1.3372/I101</f>
        <v>0.59168141592920354</v>
      </c>
      <c r="J103" s="2889">
        <f>1.2799/J101</f>
        <v>0.56632743362831861</v>
      </c>
      <c r="K103" s="2889">
        <f>1.2799/K101</f>
        <v>0.56632743362831861</v>
      </c>
      <c r="L103" s="2889">
        <f>1.2799/L101</f>
        <v>0.56632743362831861</v>
      </c>
      <c r="M103" s="2889">
        <f>1.2799/M101</f>
        <v>0.56632743362831861</v>
      </c>
      <c r="N103" s="2889">
        <f>1.2799/N101</f>
        <v>0.56632743362831861</v>
      </c>
    </row>
    <row r="104" spans="1:14">
      <c r="A104" s="3257"/>
      <c r="B104" s="2888">
        <v>3</v>
      </c>
      <c r="C104" s="2889">
        <f>1.1594/C101</f>
        <v>0.51300884955752213</v>
      </c>
      <c r="D104" s="2889">
        <f>1.1594/D101</f>
        <v>0.51300884955752213</v>
      </c>
      <c r="E104" s="2889">
        <f>1.0788/E101</f>
        <v>0.47734513274336288</v>
      </c>
      <c r="F104" s="2889">
        <f>1.0788/F101</f>
        <v>0.47734513274336288</v>
      </c>
      <c r="G104" s="2889">
        <f>1.0788/G101</f>
        <v>0.47734513274336288</v>
      </c>
      <c r="H104" s="2889">
        <f>1.0788/H101</f>
        <v>0.47734513274336288</v>
      </c>
      <c r="I104" s="2889">
        <f>1.0788/I101</f>
        <v>0.47734513274336288</v>
      </c>
      <c r="J104" s="2889">
        <f>1.0072/J101</f>
        <v>0.44566371681415939</v>
      </c>
      <c r="K104" s="2889">
        <f>1.0072/K101</f>
        <v>0.44566371681415939</v>
      </c>
      <c r="L104" s="2889">
        <f>1.0072/L101</f>
        <v>0.44566371681415939</v>
      </c>
      <c r="M104" s="2889">
        <f>1.0072/M101</f>
        <v>0.44566371681415939</v>
      </c>
      <c r="N104" s="2889">
        <f>1.0072/N101</f>
        <v>0.44566371681415939</v>
      </c>
    </row>
    <row r="105" spans="1:14">
      <c r="A105" s="3257"/>
      <c r="B105" s="2888">
        <v>4</v>
      </c>
      <c r="C105" s="2889">
        <f>0.9622/C101</f>
        <v>0.4257522123893806</v>
      </c>
      <c r="D105" s="2889">
        <f>0.9622/D101</f>
        <v>0.4257522123893806</v>
      </c>
      <c r="E105" s="2889">
        <f>0.8656/E101</f>
        <v>0.38300884955752218</v>
      </c>
      <c r="F105" s="2889">
        <f>0.8656/F101</f>
        <v>0.38300884955752218</v>
      </c>
      <c r="G105" s="2889">
        <f>0.8656/G101</f>
        <v>0.38300884955752218</v>
      </c>
      <c r="H105" s="2889">
        <f>0.8656/H101</f>
        <v>0.38300884955752218</v>
      </c>
      <c r="I105" s="2889">
        <f>0.8656/I101</f>
        <v>0.38300884955752218</v>
      </c>
      <c r="J105" s="2889">
        <f>0.7525/J101</f>
        <v>0.33296460176991149</v>
      </c>
      <c r="K105" s="2889">
        <f>0.7525/K101</f>
        <v>0.33296460176991149</v>
      </c>
      <c r="L105" s="2889">
        <f>0.7525/L101</f>
        <v>0.33296460176991149</v>
      </c>
      <c r="M105" s="2889">
        <f>0.7525/M101</f>
        <v>0.33296460176991149</v>
      </c>
      <c r="N105" s="2889">
        <f>0.7525/N101</f>
        <v>0.33296460176991149</v>
      </c>
    </row>
    <row r="106" spans="1:14">
      <c r="A106" s="3257"/>
      <c r="B106" s="2888">
        <v>5</v>
      </c>
      <c r="C106" s="2889">
        <f>0.8417/C101</f>
        <v>0.37243362831858412</v>
      </c>
      <c r="D106" s="2889">
        <f>0.8417/D101</f>
        <v>0.37243362831858412</v>
      </c>
      <c r="E106" s="2889">
        <f>0.7371/E101</f>
        <v>0.32615044247787611</v>
      </c>
      <c r="F106" s="2889">
        <f>0.7371/F101</f>
        <v>0.32615044247787611</v>
      </c>
      <c r="G106" s="2889">
        <f>0.7371/G101</f>
        <v>0.32615044247787611</v>
      </c>
      <c r="H106" s="2889">
        <f>0.7371/H101</f>
        <v>0.32615044247787611</v>
      </c>
      <c r="I106" s="2889">
        <f>0.7371/I101</f>
        <v>0.32615044247787611</v>
      </c>
      <c r="J106" s="2889">
        <f>0.5659/J101</f>
        <v>0.2503982300884956</v>
      </c>
      <c r="K106" s="2889">
        <f>0.5659/K101</f>
        <v>0.2503982300884956</v>
      </c>
      <c r="L106" s="2889">
        <f>0.5659/L101</f>
        <v>0.2503982300884956</v>
      </c>
      <c r="M106" s="2889">
        <f>0.5659/M101</f>
        <v>0.2503982300884956</v>
      </c>
      <c r="N106" s="2889">
        <f>0.5659/N101</f>
        <v>0.2503982300884956</v>
      </c>
    </row>
    <row r="107" spans="1:14">
      <c r="A107" s="3257"/>
      <c r="B107" s="2888">
        <v>6</v>
      </c>
      <c r="C107" s="2889">
        <f>0.7608/C101</f>
        <v>0.33663716814159295</v>
      </c>
      <c r="D107" s="2889">
        <f>0.7608/D101</f>
        <v>0.33663716814159295</v>
      </c>
      <c r="E107" s="2889">
        <f>0.6482/E101</f>
        <v>0.28681415929203541</v>
      </c>
      <c r="F107" s="2889">
        <f>0.6482/F101</f>
        <v>0.28681415929203541</v>
      </c>
      <c r="G107" s="2889">
        <f>0.6482/G101</f>
        <v>0.28681415929203541</v>
      </c>
      <c r="H107" s="2889">
        <f>0.6482/H101</f>
        <v>0.28681415929203541</v>
      </c>
      <c r="I107" s="2889">
        <f>0.6482/I101</f>
        <v>0.28681415929203541</v>
      </c>
      <c r="J107" s="2889">
        <f>0.4525/J101</f>
        <v>0.20022123893805313</v>
      </c>
      <c r="K107" s="2889">
        <f>0.4525/K101</f>
        <v>0.20022123893805313</v>
      </c>
      <c r="L107" s="2889">
        <f>0.4525/L101</f>
        <v>0.20022123893805313</v>
      </c>
      <c r="M107" s="2889">
        <f>0.4525/M101</f>
        <v>0.20022123893805313</v>
      </c>
      <c r="N107" s="2889">
        <f>0.4525/N101</f>
        <v>0.20022123893805313</v>
      </c>
    </row>
    <row r="108" spans="1:14">
      <c r="A108" s="3257"/>
      <c r="B108" s="3113" t="s">
        <v>2977</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258"/>
      <c r="B109" s="3114"/>
      <c r="C109" s="2891">
        <f>(-0.163*(C108^2)-0.59*C108+7617)*(10^(-4))/C101</f>
        <v>0.33700207964601775</v>
      </c>
      <c r="D109" s="2891">
        <f>(-0.163*(D108^2)-0.59*D108+7617)*(10^(-4))/D101</f>
        <v>0.33700207964601775</v>
      </c>
      <c r="E109" s="2891">
        <f>(-0.161*(E108^2)-7.509*E108+6533)*(10^(-4))/E101</f>
        <v>0.28873141592920359</v>
      </c>
      <c r="F109" s="2891">
        <f>(-0.161*(F108^2)-7.509*F108+6533)*(10^(-4))/F101</f>
        <v>0.28873141592920359</v>
      </c>
      <c r="G109" s="2891">
        <f>(-0.161*(G108^2)-7.509*G108+6533)*(10^(-4))/G101</f>
        <v>0.28873141592920359</v>
      </c>
      <c r="H109" s="2891">
        <f>(-0.161*(H108^2)-7.509*H108+6533)*(10^(-4))/H101</f>
        <v>0.28873141592920359</v>
      </c>
      <c r="I109" s="2891">
        <f>(-0.161*(I108^2)-7.509*I108+6533)*(10^(-4))/I101</f>
        <v>0.28873141592920359</v>
      </c>
      <c r="J109" s="2891">
        <f>(-0.214*(J108^2)-21.991*J108+4665)*(10^(-4))/J101</f>
        <v>0.20543340707964605</v>
      </c>
      <c r="K109" s="2891">
        <f>(-0.214*(K108^2)-21.991*K108+4665)*(10^(-4))/K101</f>
        <v>0.20543340707964605</v>
      </c>
      <c r="L109" s="2891">
        <f>(-0.214*(L108^2)-21.991*L108+4665)*(10^(-4))/L101</f>
        <v>0.20543340707964605</v>
      </c>
      <c r="M109" s="2891">
        <f>(-0.214*(M108^2)-21.991*M108+4665)*(10^(-4))/M101</f>
        <v>0.20543340707964605</v>
      </c>
      <c r="N109" s="2891">
        <f>(-0.214*(N108^2)-21.991*N108+4665)*(10^(-4))/N101</f>
        <v>0.20543340707964605</v>
      </c>
    </row>
    <row r="110" spans="1:14">
      <c r="A110" s="3254" t="s">
        <v>2978</v>
      </c>
      <c r="B110" s="3254"/>
      <c r="C110" s="3254"/>
      <c r="D110" s="3254"/>
      <c r="E110" s="3254"/>
      <c r="F110" s="3254"/>
      <c r="G110" s="3254"/>
      <c r="H110" s="3254"/>
      <c r="I110" s="3254"/>
      <c r="J110" s="3254"/>
      <c r="K110" s="2894"/>
      <c r="L110" s="2894"/>
      <c r="M110" s="2894"/>
      <c r="N110" s="2894"/>
    </row>
    <row r="112" spans="1:14" ht="13.5" thickBot="1"/>
    <row r="113" spans="1:13" ht="25.5" thickBot="1">
      <c r="A113" s="900" t="s">
        <v>2979</v>
      </c>
      <c r="B113" s="1287">
        <f>G3</f>
        <v>2.2599999999999998</v>
      </c>
      <c r="C113" s="901" t="s">
        <v>2980</v>
      </c>
      <c r="D113" s="902">
        <f>SUMPRODUCT((A115:A118=F113)*(B114:M114=H113)*B115:M118)</f>
        <v>0.8085</v>
      </c>
      <c r="E113" s="2721" t="s">
        <v>2812</v>
      </c>
      <c r="F113" s="2896" t="str">
        <f>E2</f>
        <v>商业</v>
      </c>
      <c r="G113" s="2721" t="s">
        <v>2813</v>
      </c>
      <c r="H113" s="2896" t="str">
        <f>G2</f>
        <v>六级</v>
      </c>
      <c r="I113" s="2721"/>
      <c r="J113" s="2897"/>
      <c r="K113" s="2897"/>
      <c r="L113" s="2897"/>
      <c r="M113" s="2897"/>
    </row>
    <row r="114" spans="1:13">
      <c r="A114" s="905"/>
      <c r="B114" s="2898" t="s">
        <v>2981</v>
      </c>
      <c r="C114" s="2898" t="s">
        <v>2982</v>
      </c>
      <c r="D114" s="2898" t="s">
        <v>2983</v>
      </c>
      <c r="E114" s="2899" t="s">
        <v>2984</v>
      </c>
      <c r="F114" s="2899" t="s">
        <v>2985</v>
      </c>
      <c r="G114" s="2899" t="s">
        <v>2986</v>
      </c>
      <c r="H114" s="2900" t="s">
        <v>2987</v>
      </c>
      <c r="I114" s="2900" t="s">
        <v>2988</v>
      </c>
      <c r="J114" s="2901" t="s">
        <v>2989</v>
      </c>
      <c r="K114" s="2901" t="s">
        <v>2990</v>
      </c>
      <c r="L114" s="2901" t="s">
        <v>2991</v>
      </c>
      <c r="M114" s="2902" t="s">
        <v>2992</v>
      </c>
    </row>
    <row r="115" spans="1:13">
      <c r="A115" s="906" t="s">
        <v>2876</v>
      </c>
      <c r="B115" s="907">
        <f>ROUND(0.9335-0.0094*B113,4)</f>
        <v>0.9123</v>
      </c>
      <c r="C115" s="907">
        <f>B115</f>
        <v>0.9123</v>
      </c>
      <c r="D115" s="907">
        <f>ROUND(0.8331-0.0109*B113,4)</f>
        <v>0.8085</v>
      </c>
      <c r="E115" s="907">
        <f>D115</f>
        <v>0.8085</v>
      </c>
      <c r="F115" s="907">
        <f>E115</f>
        <v>0.8085</v>
      </c>
      <c r="G115" s="907">
        <f>F115</f>
        <v>0.8085</v>
      </c>
      <c r="H115" s="907">
        <f>G115</f>
        <v>0.8085</v>
      </c>
      <c r="I115" s="907">
        <f>ROUND(0.689-0.0155*B113,4)</f>
        <v>0.65400000000000003</v>
      </c>
      <c r="J115" s="907">
        <f t="shared" ref="J115:M118" si="33">I115</f>
        <v>0.65400000000000003</v>
      </c>
      <c r="K115" s="907">
        <f t="shared" si="33"/>
        <v>0.65400000000000003</v>
      </c>
      <c r="L115" s="907">
        <f t="shared" si="33"/>
        <v>0.65400000000000003</v>
      </c>
      <c r="M115" s="908">
        <f t="shared" si="33"/>
        <v>0.65400000000000003</v>
      </c>
    </row>
    <row r="116" spans="1:13">
      <c r="A116" s="906" t="s">
        <v>2877</v>
      </c>
      <c r="B116" s="907">
        <f>ROUND(0.949-0.012*B113,4)</f>
        <v>0.92190000000000005</v>
      </c>
      <c r="C116" s="907">
        <f>B116</f>
        <v>0.92190000000000005</v>
      </c>
      <c r="D116" s="907">
        <f>ROUND(0.8567-0.013*B113,4)</f>
        <v>0.82730000000000004</v>
      </c>
      <c r="E116" s="907">
        <f t="shared" ref="E116:H117" si="34">D116</f>
        <v>0.82730000000000004</v>
      </c>
      <c r="F116" s="907">
        <f t="shared" si="34"/>
        <v>0.82730000000000004</v>
      </c>
      <c r="G116" s="907">
        <f t="shared" si="34"/>
        <v>0.82730000000000004</v>
      </c>
      <c r="H116" s="907">
        <f t="shared" si="34"/>
        <v>0.82730000000000004</v>
      </c>
      <c r="I116" s="907">
        <f>ROUND(0.7694-0.014*B113,4)</f>
        <v>0.73780000000000001</v>
      </c>
      <c r="J116" s="907">
        <f t="shared" si="33"/>
        <v>0.73780000000000001</v>
      </c>
      <c r="K116" s="907">
        <f t="shared" si="33"/>
        <v>0.73780000000000001</v>
      </c>
      <c r="L116" s="907">
        <f t="shared" si="33"/>
        <v>0.73780000000000001</v>
      </c>
      <c r="M116" s="908">
        <f t="shared" si="33"/>
        <v>0.73780000000000001</v>
      </c>
    </row>
    <row r="117" spans="1:13">
      <c r="A117" s="906" t="s">
        <v>2878</v>
      </c>
      <c r="B117" s="907">
        <f>ROUND(0.8808-0.006*B113,4)</f>
        <v>0.86719999999999997</v>
      </c>
      <c r="C117" s="907">
        <f>B117</f>
        <v>0.86719999999999997</v>
      </c>
      <c r="D117" s="907">
        <f>ROUND(0.8748-0.008*B113,4)</f>
        <v>0.85670000000000002</v>
      </c>
      <c r="E117" s="907">
        <f t="shared" si="34"/>
        <v>0.85670000000000002</v>
      </c>
      <c r="F117" s="907">
        <f t="shared" si="34"/>
        <v>0.85670000000000002</v>
      </c>
      <c r="G117" s="907">
        <f t="shared" si="34"/>
        <v>0.85670000000000002</v>
      </c>
      <c r="H117" s="907">
        <f t="shared" si="34"/>
        <v>0.85670000000000002</v>
      </c>
      <c r="I117" s="907">
        <f>ROUND(0.7412-0.0095*B113,4)</f>
        <v>0.71970000000000001</v>
      </c>
      <c r="J117" s="907">
        <f t="shared" si="33"/>
        <v>0.71970000000000001</v>
      </c>
      <c r="K117" s="907">
        <f t="shared" si="33"/>
        <v>0.71970000000000001</v>
      </c>
      <c r="L117" s="907">
        <f t="shared" si="33"/>
        <v>0.71970000000000001</v>
      </c>
      <c r="M117" s="908">
        <f t="shared" si="33"/>
        <v>0.71970000000000001</v>
      </c>
    </row>
    <row r="118" spans="1:13" ht="13.5" thickBot="1">
      <c r="A118" s="715" t="s">
        <v>2879</v>
      </c>
      <c r="B118" s="909">
        <f>ROUND(0.7275-0.01*B113,4)</f>
        <v>0.70489999999999997</v>
      </c>
      <c r="C118" s="909">
        <f>B118</f>
        <v>0.70489999999999997</v>
      </c>
      <c r="D118" s="909">
        <f>ROUND(0.7043-0.012*B113,4)</f>
        <v>0.67720000000000002</v>
      </c>
      <c r="E118" s="909">
        <f>D118</f>
        <v>0.67720000000000002</v>
      </c>
      <c r="F118" s="909">
        <f>E118</f>
        <v>0.67720000000000002</v>
      </c>
      <c r="G118" s="909">
        <f>ROUND(0.6299-0.0122*B113,4)</f>
        <v>0.60229999999999995</v>
      </c>
      <c r="H118" s="909">
        <f>G118</f>
        <v>0.60229999999999995</v>
      </c>
      <c r="I118" s="909">
        <f>ROUND(0.5667-0.0136*B113,4)</f>
        <v>0.53600000000000003</v>
      </c>
      <c r="J118" s="909">
        <f t="shared" si="33"/>
        <v>0.53600000000000003</v>
      </c>
      <c r="K118" s="909">
        <f t="shared" si="33"/>
        <v>0.53600000000000003</v>
      </c>
      <c r="L118" s="909">
        <f t="shared" si="33"/>
        <v>0.53600000000000003</v>
      </c>
      <c r="M118" s="910">
        <f t="shared" si="33"/>
        <v>0.53600000000000003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2" t="s">
        <v>183</v>
      </c>
      <c r="B18" s="879" t="s">
        <v>560</v>
      </c>
      <c r="C18" s="880" t="s">
        <v>561</v>
      </c>
      <c r="D18" s="881"/>
      <c r="E18" s="879">
        <v>1</v>
      </c>
      <c r="F18" s="882" t="s">
        <v>562</v>
      </c>
      <c r="G18" s="883"/>
      <c r="H18" s="875"/>
      <c r="I18" s="875"/>
    </row>
    <row r="19" spans="1:9" s="884" customFormat="1" ht="19.5" customHeight="1">
      <c r="A19" s="3262"/>
      <c r="B19" s="3262" t="s">
        <v>563</v>
      </c>
      <c r="C19" s="880" t="s">
        <v>564</v>
      </c>
      <c r="D19" s="881"/>
      <c r="E19" s="879">
        <v>0.9</v>
      </c>
      <c r="F19" s="882" t="s">
        <v>565</v>
      </c>
      <c r="G19" s="883"/>
      <c r="H19" s="875"/>
      <c r="I19" s="875"/>
    </row>
    <row r="20" spans="1:9" s="884" customFormat="1" ht="19.5" customHeight="1">
      <c r="A20" s="3262"/>
      <c r="B20" s="3262"/>
      <c r="C20" s="880" t="s">
        <v>566</v>
      </c>
      <c r="D20" s="881"/>
      <c r="E20" s="879">
        <v>1.1000000000000001</v>
      </c>
      <c r="F20" s="882" t="s">
        <v>567</v>
      </c>
      <c r="G20" s="883"/>
      <c r="H20" s="875"/>
      <c r="I20" s="875"/>
    </row>
    <row r="21" spans="1:9" s="884" customFormat="1" ht="19.5" customHeight="1">
      <c r="A21" s="3262"/>
      <c r="B21" s="3262"/>
      <c r="C21" s="880" t="s">
        <v>568</v>
      </c>
      <c r="D21" s="881"/>
      <c r="E21" s="879">
        <v>0.8</v>
      </c>
      <c r="F21" s="882" t="s">
        <v>569</v>
      </c>
      <c r="G21" s="883"/>
      <c r="H21" s="875"/>
      <c r="I21" s="875"/>
    </row>
    <row r="22" spans="1:9" s="884" customFormat="1" ht="19.5" customHeight="1">
      <c r="A22" s="3262"/>
      <c r="B22" s="3262"/>
      <c r="C22" s="880" t="s">
        <v>570</v>
      </c>
      <c r="D22" s="881"/>
      <c r="E22" s="879">
        <v>0.5</v>
      </c>
      <c r="F22" s="882"/>
      <c r="G22" s="883"/>
      <c r="H22" s="875"/>
      <c r="I22" s="875"/>
    </row>
    <row r="23" spans="1:9" s="884" customFormat="1" ht="19.5" customHeight="1">
      <c r="A23" s="3262" t="s">
        <v>184</v>
      </c>
      <c r="B23" s="879" t="s">
        <v>560</v>
      </c>
      <c r="C23" s="880" t="s">
        <v>571</v>
      </c>
      <c r="D23" s="881"/>
      <c r="E23" s="879">
        <v>1</v>
      </c>
      <c r="F23" s="882" t="s">
        <v>572</v>
      </c>
      <c r="G23" s="883"/>
      <c r="H23" s="875"/>
      <c r="I23" s="875"/>
    </row>
    <row r="24" spans="1:9" s="884" customFormat="1" ht="19.5" customHeight="1">
      <c r="A24" s="3262"/>
      <c r="B24" s="3262" t="s">
        <v>563</v>
      </c>
      <c r="C24" s="880" t="s">
        <v>573</v>
      </c>
      <c r="D24" s="881"/>
      <c r="E24" s="879">
        <v>0.5</v>
      </c>
      <c r="F24" s="882"/>
      <c r="G24" s="883"/>
      <c r="H24" s="875"/>
      <c r="I24" s="875"/>
    </row>
    <row r="25" spans="1:9" s="884" customFormat="1" ht="19.5" customHeight="1">
      <c r="A25" s="3262"/>
      <c r="B25" s="3262"/>
      <c r="C25" s="880" t="s">
        <v>574</v>
      </c>
      <c r="D25" s="881"/>
      <c r="E25" s="879">
        <v>1.1000000000000001</v>
      </c>
      <c r="F25" s="882"/>
      <c r="G25" s="883"/>
      <c r="H25" s="875"/>
      <c r="I25" s="875"/>
    </row>
    <row r="26" spans="1:9" s="884" customFormat="1" ht="19.5" customHeight="1">
      <c r="A26" s="3262"/>
      <c r="B26" s="3262"/>
      <c r="C26" s="880" t="s">
        <v>575</v>
      </c>
      <c r="D26" s="881"/>
      <c r="E26" s="879">
        <v>1.1000000000000001</v>
      </c>
      <c r="F26" s="882"/>
      <c r="G26" s="883"/>
      <c r="H26" s="875"/>
      <c r="I26" s="875"/>
    </row>
    <row r="27" spans="1:9" s="884" customFormat="1" ht="19.5" customHeight="1">
      <c r="A27" s="3262"/>
      <c r="B27" s="3262"/>
      <c r="C27" s="880" t="s">
        <v>576</v>
      </c>
      <c r="D27" s="881"/>
      <c r="E27" s="879">
        <v>0.9</v>
      </c>
      <c r="F27" s="882" t="s">
        <v>577</v>
      </c>
      <c r="G27" s="883"/>
      <c r="H27" s="875"/>
      <c r="I27" s="875"/>
    </row>
    <row r="28" spans="1:9" s="884" customFormat="1" ht="19.5" customHeight="1">
      <c r="A28" s="3262"/>
      <c r="B28" s="3262"/>
      <c r="C28" s="880" t="s">
        <v>578</v>
      </c>
      <c r="D28" s="881"/>
      <c r="E28" s="879">
        <v>0.9</v>
      </c>
      <c r="F28" s="882" t="s">
        <v>579</v>
      </c>
      <c r="G28" s="883"/>
      <c r="H28" s="875"/>
      <c r="I28" s="875"/>
    </row>
    <row r="29" spans="1:9" s="884" customFormat="1" ht="19.5" customHeight="1">
      <c r="A29" s="3262"/>
      <c r="B29" s="3262"/>
      <c r="C29" s="880" t="s">
        <v>580</v>
      </c>
      <c r="D29" s="881"/>
      <c r="E29" s="879">
        <v>0.9</v>
      </c>
      <c r="F29" s="882" t="s">
        <v>581</v>
      </c>
      <c r="G29" s="883"/>
      <c r="H29" s="875"/>
      <c r="I29" s="875"/>
    </row>
    <row r="30" spans="1:9" s="884" customFormat="1" ht="19.5" customHeight="1">
      <c r="A30" s="3262"/>
      <c r="B30" s="3262"/>
      <c r="C30" s="880" t="s">
        <v>582</v>
      </c>
      <c r="D30" s="881"/>
      <c r="E30" s="879">
        <v>0.9</v>
      </c>
      <c r="F30" s="882" t="s">
        <v>583</v>
      </c>
      <c r="G30" s="883"/>
      <c r="H30" s="875"/>
      <c r="I30" s="875"/>
    </row>
    <row r="31" spans="1:9" s="884" customFormat="1" ht="19.5" customHeight="1">
      <c r="A31" s="3262"/>
      <c r="B31" s="3262"/>
      <c r="C31" s="880" t="s">
        <v>584</v>
      </c>
      <c r="D31" s="881"/>
      <c r="E31" s="879">
        <v>0.8</v>
      </c>
      <c r="F31" s="882" t="s">
        <v>585</v>
      </c>
      <c r="G31" s="883"/>
      <c r="H31" s="875"/>
      <c r="I31" s="875"/>
    </row>
    <row r="32" spans="1:9" s="884" customFormat="1" ht="19.5" customHeight="1">
      <c r="A32" s="3262"/>
      <c r="B32" s="3262"/>
      <c r="C32" s="880" t="s">
        <v>586</v>
      </c>
      <c r="D32" s="881"/>
      <c r="E32" s="879">
        <v>0.8</v>
      </c>
      <c r="F32" s="882" t="s">
        <v>587</v>
      </c>
      <c r="G32" s="883"/>
      <c r="H32" s="875"/>
      <c r="I32" s="875"/>
    </row>
    <row r="33" spans="1:9" s="884" customFormat="1" ht="19.5" customHeight="1">
      <c r="A33" s="3262" t="s">
        <v>185</v>
      </c>
      <c r="B33" s="879" t="s">
        <v>560</v>
      </c>
      <c r="C33" s="880" t="s">
        <v>588</v>
      </c>
      <c r="D33" s="881"/>
      <c r="E33" s="879">
        <v>1</v>
      </c>
      <c r="F33" s="882" t="s">
        <v>589</v>
      </c>
      <c r="G33" s="883"/>
      <c r="H33" s="875"/>
      <c r="I33" s="875"/>
    </row>
    <row r="34" spans="1:9" s="884" customFormat="1" ht="19.5" customHeight="1">
      <c r="A34" s="3262"/>
      <c r="B34" s="879" t="s">
        <v>563</v>
      </c>
      <c r="C34" s="880" t="s">
        <v>590</v>
      </c>
      <c r="D34" s="881"/>
      <c r="E34" s="879">
        <v>1.5</v>
      </c>
      <c r="F34" s="882" t="s">
        <v>591</v>
      </c>
      <c r="G34" s="883"/>
      <c r="H34" s="875"/>
      <c r="I34" s="875"/>
    </row>
    <row r="35" spans="1:9" s="884" customFormat="1" ht="19.5" customHeight="1">
      <c r="A35" s="3262" t="s">
        <v>186</v>
      </c>
      <c r="B35" s="879" t="s">
        <v>560</v>
      </c>
      <c r="C35" s="880" t="s">
        <v>592</v>
      </c>
      <c r="D35" s="881"/>
      <c r="E35" s="879">
        <v>1</v>
      </c>
      <c r="F35" s="882" t="s">
        <v>593</v>
      </c>
      <c r="G35" s="883"/>
      <c r="H35" s="875"/>
      <c r="I35" s="875"/>
    </row>
    <row r="36" spans="1:9" s="884" customFormat="1" ht="19.5" customHeight="1">
      <c r="A36" s="3262"/>
      <c r="B36" s="3262" t="s">
        <v>563</v>
      </c>
      <c r="C36" s="880" t="s">
        <v>594</v>
      </c>
      <c r="D36" s="881"/>
      <c r="E36" s="879">
        <v>1</v>
      </c>
      <c r="F36" s="882" t="s">
        <v>595</v>
      </c>
      <c r="G36" s="883"/>
      <c r="H36" s="875"/>
      <c r="I36" s="875"/>
    </row>
    <row r="37" spans="1:9" s="884" customFormat="1" ht="19.5" customHeight="1">
      <c r="A37" s="3262"/>
      <c r="B37" s="3262"/>
      <c r="C37" s="880" t="s">
        <v>596</v>
      </c>
      <c r="D37" s="881"/>
      <c r="E37" s="879">
        <v>1.5</v>
      </c>
      <c r="F37" s="882" t="s">
        <v>597</v>
      </c>
      <c r="G37" s="883"/>
      <c r="H37" s="875"/>
      <c r="I37" s="875"/>
    </row>
    <row r="38" spans="1:9" s="884" customFormat="1" ht="19.5" customHeight="1">
      <c r="A38" s="3262"/>
      <c r="B38" s="3262"/>
      <c r="C38" s="880" t="s">
        <v>598</v>
      </c>
      <c r="D38" s="881"/>
      <c r="E38" s="879">
        <v>1</v>
      </c>
      <c r="F38" s="882" t="s">
        <v>599</v>
      </c>
      <c r="G38" s="883"/>
      <c r="H38" s="875"/>
      <c r="I38" s="875"/>
    </row>
    <row r="39" spans="1:9" s="884" customFormat="1" ht="19.5" customHeight="1">
      <c r="A39" s="3262"/>
      <c r="B39" s="326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2" t="s">
        <v>614</v>
      </c>
      <c r="C61" s="815" t="s">
        <v>615</v>
      </c>
      <c r="D61" s="815" t="s">
        <v>616</v>
      </c>
      <c r="E61" s="892">
        <v>0.5</v>
      </c>
      <c r="F61" s="879">
        <v>80</v>
      </c>
    </row>
    <row r="62" spans="1:8" s="875" customFormat="1" ht="24">
      <c r="A62" s="879">
        <v>2</v>
      </c>
      <c r="B62" s="3262"/>
      <c r="C62" s="815" t="s">
        <v>617</v>
      </c>
      <c r="D62" s="815" t="s">
        <v>618</v>
      </c>
      <c r="E62" s="892">
        <v>0.5</v>
      </c>
      <c r="F62" s="879">
        <v>80</v>
      </c>
    </row>
    <row r="63" spans="1:8" s="875" customFormat="1" ht="36">
      <c r="A63" s="879">
        <v>3</v>
      </c>
      <c r="B63" s="3262"/>
      <c r="C63" s="815" t="s">
        <v>619</v>
      </c>
      <c r="D63" s="815" t="s">
        <v>620</v>
      </c>
      <c r="E63" s="892">
        <v>0.5</v>
      </c>
      <c r="F63" s="879">
        <v>80</v>
      </c>
    </row>
    <row r="64" spans="1:8" s="875" customFormat="1" ht="36">
      <c r="A64" s="879">
        <v>4</v>
      </c>
      <c r="B64" s="3262"/>
      <c r="C64" s="815" t="s">
        <v>621</v>
      </c>
      <c r="D64" s="815" t="s">
        <v>622</v>
      </c>
      <c r="E64" s="892">
        <v>0.4</v>
      </c>
      <c r="F64" s="879">
        <v>60</v>
      </c>
    </row>
    <row r="65" spans="1:6" s="875" customFormat="1" ht="36">
      <c r="A65" s="879">
        <v>5</v>
      </c>
      <c r="B65" s="3262"/>
      <c r="C65" s="815" t="s">
        <v>623</v>
      </c>
      <c r="D65" s="815" t="s">
        <v>624</v>
      </c>
      <c r="E65" s="892">
        <v>0.2</v>
      </c>
      <c r="F65" s="879">
        <v>30</v>
      </c>
    </row>
    <row r="66" spans="1:6" s="875" customFormat="1" ht="36">
      <c r="A66" s="879">
        <v>6</v>
      </c>
      <c r="B66" s="3262"/>
      <c r="C66" s="815" t="s">
        <v>625</v>
      </c>
      <c r="D66" s="815" t="s">
        <v>626</v>
      </c>
      <c r="E66" s="892">
        <v>0.3</v>
      </c>
      <c r="F66" s="879">
        <v>50</v>
      </c>
    </row>
    <row r="67" spans="1:6" s="875" customFormat="1" ht="36">
      <c r="A67" s="879">
        <v>7</v>
      </c>
      <c r="B67" s="3262"/>
      <c r="C67" s="815" t="s">
        <v>627</v>
      </c>
      <c r="D67" s="815" t="s">
        <v>628</v>
      </c>
      <c r="E67" s="892">
        <v>0.2</v>
      </c>
      <c r="F67" s="879">
        <v>30</v>
      </c>
    </row>
    <row r="68" spans="1:6" s="875" customFormat="1" ht="36">
      <c r="A68" s="879">
        <v>8</v>
      </c>
      <c r="B68" s="3262"/>
      <c r="C68" s="815" t="s">
        <v>629</v>
      </c>
      <c r="D68" s="815" t="s">
        <v>630</v>
      </c>
      <c r="E68" s="892">
        <v>0.2</v>
      </c>
      <c r="F68" s="879">
        <v>30</v>
      </c>
    </row>
    <row r="69" spans="1:6" s="875" customFormat="1" ht="36">
      <c r="A69" s="879">
        <v>9</v>
      </c>
      <c r="B69" s="3262"/>
      <c r="C69" s="815" t="s">
        <v>631</v>
      </c>
      <c r="D69" s="815" t="s">
        <v>632</v>
      </c>
      <c r="E69" s="892">
        <v>0.2</v>
      </c>
      <c r="F69" s="879">
        <v>30</v>
      </c>
    </row>
    <row r="70" spans="1:6" s="875" customFormat="1" ht="48">
      <c r="A70" s="879">
        <v>10</v>
      </c>
      <c r="B70" s="3262"/>
      <c r="C70" s="815" t="s">
        <v>633</v>
      </c>
      <c r="D70" s="815" t="s">
        <v>634</v>
      </c>
      <c r="E70" s="892">
        <v>0.2</v>
      </c>
      <c r="F70" s="879">
        <v>30</v>
      </c>
    </row>
    <row r="71" spans="1:6" s="875" customFormat="1" ht="48">
      <c r="A71" s="879">
        <v>11</v>
      </c>
      <c r="B71" s="3262"/>
      <c r="C71" s="815" t="s">
        <v>635</v>
      </c>
      <c r="D71" s="815" t="s">
        <v>636</v>
      </c>
      <c r="E71" s="892">
        <v>0.2</v>
      </c>
      <c r="F71" s="879">
        <v>30</v>
      </c>
    </row>
    <row r="72" spans="1:6" s="875" customFormat="1" ht="36">
      <c r="A72" s="879">
        <v>12</v>
      </c>
      <c r="B72" s="3262"/>
      <c r="C72" s="815" t="s">
        <v>637</v>
      </c>
      <c r="D72" s="815" t="s">
        <v>638</v>
      </c>
      <c r="E72" s="892">
        <v>0.5</v>
      </c>
      <c r="F72" s="879">
        <v>80</v>
      </c>
    </row>
    <row r="73" spans="1:6" s="875" customFormat="1" ht="24">
      <c r="A73" s="879">
        <v>13</v>
      </c>
      <c r="B73" s="3262"/>
      <c r="C73" s="815" t="s">
        <v>639</v>
      </c>
      <c r="D73" s="815" t="s">
        <v>640</v>
      </c>
      <c r="E73" s="892">
        <v>0.4</v>
      </c>
      <c r="F73" s="879">
        <v>60</v>
      </c>
    </row>
    <row r="74" spans="1:6" s="875" customFormat="1" ht="24">
      <c r="A74" s="879">
        <v>14</v>
      </c>
      <c r="B74" s="3262"/>
      <c r="C74" s="815" t="s">
        <v>641</v>
      </c>
      <c r="D74" s="815" t="s">
        <v>642</v>
      </c>
      <c r="E74" s="892">
        <v>0.2</v>
      </c>
      <c r="F74" s="879">
        <v>30</v>
      </c>
    </row>
    <row r="75" spans="1:6" s="875" customFormat="1" ht="24">
      <c r="A75" s="879">
        <v>15</v>
      </c>
      <c r="B75" s="3262"/>
      <c r="C75" s="815" t="s">
        <v>643</v>
      </c>
      <c r="D75" s="815" t="s">
        <v>644</v>
      </c>
      <c r="E75" s="892">
        <v>0.2</v>
      </c>
      <c r="F75" s="879">
        <v>30</v>
      </c>
    </row>
    <row r="76" spans="1:6" s="875" customFormat="1" ht="24">
      <c r="A76" s="879">
        <v>16</v>
      </c>
      <c r="B76" s="3262" t="s">
        <v>645</v>
      </c>
      <c r="C76" s="815" t="s">
        <v>646</v>
      </c>
      <c r="D76" s="815" t="s">
        <v>647</v>
      </c>
      <c r="E76" s="892">
        <v>0.5</v>
      </c>
      <c r="F76" s="879">
        <v>80</v>
      </c>
    </row>
    <row r="77" spans="1:6" s="875" customFormat="1" ht="24">
      <c r="A77" s="879">
        <v>17</v>
      </c>
      <c r="B77" s="3262"/>
      <c r="C77" s="815" t="s">
        <v>648</v>
      </c>
      <c r="D77" s="815" t="s">
        <v>649</v>
      </c>
      <c r="E77" s="892">
        <v>0.5</v>
      </c>
      <c r="F77" s="879">
        <v>80</v>
      </c>
    </row>
    <row r="78" spans="1:6" s="875" customFormat="1" ht="24">
      <c r="A78" s="879">
        <v>18</v>
      </c>
      <c r="B78" s="3262"/>
      <c r="C78" s="815" t="s">
        <v>650</v>
      </c>
      <c r="D78" s="815" t="s">
        <v>651</v>
      </c>
      <c r="E78" s="892">
        <v>0.2</v>
      </c>
      <c r="F78" s="879">
        <v>30</v>
      </c>
    </row>
    <row r="79" spans="1:6" s="875" customFormat="1" ht="24">
      <c r="A79" s="879">
        <v>19</v>
      </c>
      <c r="B79" s="3262"/>
      <c r="C79" s="815" t="s">
        <v>652</v>
      </c>
      <c r="D79" s="815" t="s">
        <v>653</v>
      </c>
      <c r="E79" s="892">
        <v>0.5</v>
      </c>
      <c r="F79" s="879">
        <v>80</v>
      </c>
    </row>
    <row r="80" spans="1:6" s="875" customFormat="1" ht="36">
      <c r="A80" s="879">
        <v>20</v>
      </c>
      <c r="B80" s="3262"/>
      <c r="C80" s="815" t="s">
        <v>654</v>
      </c>
      <c r="D80" s="815" t="s">
        <v>655</v>
      </c>
      <c r="E80" s="892">
        <v>0.2</v>
      </c>
      <c r="F80" s="879">
        <v>30</v>
      </c>
    </row>
    <row r="81" spans="1:6" s="875" customFormat="1" ht="36">
      <c r="A81" s="879">
        <v>21</v>
      </c>
      <c r="B81" s="3262"/>
      <c r="C81" s="815" t="s">
        <v>656</v>
      </c>
      <c r="D81" s="815" t="s">
        <v>657</v>
      </c>
      <c r="E81" s="892">
        <v>0.2</v>
      </c>
      <c r="F81" s="879">
        <v>30</v>
      </c>
    </row>
    <row r="82" spans="1:6" s="875" customFormat="1" ht="48">
      <c r="A82" s="879">
        <v>22</v>
      </c>
      <c r="B82" s="3262"/>
      <c r="C82" s="815" t="s">
        <v>658</v>
      </c>
      <c r="D82" s="815" t="s">
        <v>659</v>
      </c>
      <c r="E82" s="892">
        <v>0.2</v>
      </c>
      <c r="F82" s="879">
        <v>30</v>
      </c>
    </row>
    <row r="83" spans="1:6" s="875" customFormat="1" ht="48">
      <c r="A83" s="879">
        <v>23</v>
      </c>
      <c r="B83" s="3262"/>
      <c r="C83" s="815" t="s">
        <v>660</v>
      </c>
      <c r="D83" s="815" t="s">
        <v>661</v>
      </c>
      <c r="E83" s="892">
        <v>0.2</v>
      </c>
      <c r="F83" s="879">
        <v>30</v>
      </c>
    </row>
    <row r="84" spans="1:6" s="875" customFormat="1" ht="36">
      <c r="A84" s="879">
        <v>24</v>
      </c>
      <c r="B84" s="3262"/>
      <c r="C84" s="815" t="s">
        <v>662</v>
      </c>
      <c r="D84" s="815" t="s">
        <v>663</v>
      </c>
      <c r="E84" s="892">
        <v>0.2</v>
      </c>
      <c r="F84" s="879">
        <v>30</v>
      </c>
    </row>
    <row r="85" spans="1:6" s="875" customFormat="1" ht="36">
      <c r="A85" s="879">
        <v>25</v>
      </c>
      <c r="B85" s="3262"/>
      <c r="C85" s="815" t="s">
        <v>664</v>
      </c>
      <c r="D85" s="815" t="s">
        <v>665</v>
      </c>
      <c r="E85" s="892">
        <v>0.5</v>
      </c>
      <c r="F85" s="879">
        <v>80</v>
      </c>
    </row>
    <row r="86" spans="1:6" s="875" customFormat="1" ht="36">
      <c r="A86" s="879">
        <v>26</v>
      </c>
      <c r="B86" s="3262"/>
      <c r="C86" s="815" t="s">
        <v>666</v>
      </c>
      <c r="D86" s="815" t="s">
        <v>667</v>
      </c>
      <c r="E86" s="892">
        <v>0.2</v>
      </c>
      <c r="F86" s="879">
        <v>30</v>
      </c>
    </row>
    <row r="87" spans="1:6" s="875" customFormat="1" ht="36">
      <c r="A87" s="879">
        <v>27</v>
      </c>
      <c r="B87" s="3262"/>
      <c r="C87" s="815" t="s">
        <v>668</v>
      </c>
      <c r="D87" s="815" t="s">
        <v>669</v>
      </c>
      <c r="E87" s="892">
        <v>0.2</v>
      </c>
      <c r="F87" s="879">
        <v>30</v>
      </c>
    </row>
    <row r="88" spans="1:6" s="875" customFormat="1" ht="36">
      <c r="A88" s="879">
        <v>28</v>
      </c>
      <c r="B88" s="3262"/>
      <c r="C88" s="815" t="s">
        <v>670</v>
      </c>
      <c r="D88" s="815" t="s">
        <v>671</v>
      </c>
      <c r="E88" s="892">
        <v>0.2</v>
      </c>
      <c r="F88" s="879">
        <v>30</v>
      </c>
    </row>
    <row r="89" spans="1:6" s="875" customFormat="1" ht="24">
      <c r="A89" s="879">
        <v>29</v>
      </c>
      <c r="B89" s="3262"/>
      <c r="C89" s="815" t="s">
        <v>672</v>
      </c>
      <c r="D89" s="815" t="s">
        <v>673</v>
      </c>
      <c r="E89" s="892">
        <v>0.2</v>
      </c>
      <c r="F89" s="879">
        <v>30</v>
      </c>
    </row>
    <row r="90" spans="1:6" s="875" customFormat="1" ht="24">
      <c r="A90" s="879">
        <v>30</v>
      </c>
      <c r="B90" s="3262"/>
      <c r="C90" s="815" t="s">
        <v>674</v>
      </c>
      <c r="D90" s="815" t="s">
        <v>675</v>
      </c>
      <c r="E90" s="892">
        <v>0.2</v>
      </c>
      <c r="F90" s="879">
        <v>30</v>
      </c>
    </row>
    <row r="91" spans="1:6" s="875" customFormat="1" ht="36">
      <c r="A91" s="879">
        <v>31</v>
      </c>
      <c r="B91" s="3262"/>
      <c r="C91" s="815" t="s">
        <v>676</v>
      </c>
      <c r="D91" s="815" t="s">
        <v>677</v>
      </c>
      <c r="E91" s="892">
        <v>0.2</v>
      </c>
      <c r="F91" s="879">
        <v>30</v>
      </c>
    </row>
    <row r="92" spans="1:6" s="875" customFormat="1" ht="24">
      <c r="A92" s="879">
        <v>32</v>
      </c>
      <c r="B92" s="3262" t="s">
        <v>678</v>
      </c>
      <c r="C92" s="879" t="s">
        <v>679</v>
      </c>
      <c r="D92" s="815" t="s">
        <v>680</v>
      </c>
      <c r="E92" s="892">
        <v>0.2</v>
      </c>
      <c r="F92" s="879">
        <v>30</v>
      </c>
    </row>
    <row r="93" spans="1:6" s="875" customFormat="1" ht="36">
      <c r="A93" s="879">
        <v>33</v>
      </c>
      <c r="B93" s="3262"/>
      <c r="C93" s="879" t="s">
        <v>681</v>
      </c>
      <c r="D93" s="815" t="s">
        <v>682</v>
      </c>
      <c r="E93" s="892">
        <v>0.2</v>
      </c>
      <c r="F93" s="879">
        <v>30</v>
      </c>
    </row>
    <row r="94" spans="1:6" s="875" customFormat="1" ht="48">
      <c r="A94" s="879">
        <v>34</v>
      </c>
      <c r="B94" s="3262"/>
      <c r="C94" s="879" t="s">
        <v>683</v>
      </c>
      <c r="D94" s="815" t="s">
        <v>684</v>
      </c>
      <c r="E94" s="892">
        <v>0.2</v>
      </c>
      <c r="F94" s="879">
        <v>30</v>
      </c>
    </row>
    <row r="95" spans="1:6" s="875" customFormat="1" ht="36">
      <c r="A95" s="879">
        <v>35</v>
      </c>
      <c r="B95" s="3262"/>
      <c r="C95" s="879" t="s">
        <v>685</v>
      </c>
      <c r="D95" s="815" t="s">
        <v>686</v>
      </c>
      <c r="E95" s="892">
        <v>0.2</v>
      </c>
      <c r="F95" s="879">
        <v>30</v>
      </c>
    </row>
    <row r="96" spans="1:6" s="875" customFormat="1" ht="48">
      <c r="A96" s="879">
        <v>36</v>
      </c>
      <c r="B96" s="3262"/>
      <c r="C96" s="815" t="s">
        <v>687</v>
      </c>
      <c r="D96" s="815" t="s">
        <v>688</v>
      </c>
      <c r="E96" s="892">
        <v>0.2</v>
      </c>
      <c r="F96" s="879">
        <v>30</v>
      </c>
    </row>
    <row r="97" spans="1:6" s="875" customFormat="1" ht="36">
      <c r="A97" s="879">
        <v>37</v>
      </c>
      <c r="B97" s="3262"/>
      <c r="C97" s="879" t="s">
        <v>689</v>
      </c>
      <c r="D97" s="815" t="s">
        <v>690</v>
      </c>
      <c r="E97" s="892">
        <v>0.2</v>
      </c>
      <c r="F97" s="879">
        <v>30</v>
      </c>
    </row>
    <row r="98" spans="1:6" s="875" customFormat="1" ht="36">
      <c r="A98" s="879">
        <v>38</v>
      </c>
      <c r="B98" s="3262"/>
      <c r="C98" s="879" t="s">
        <v>691</v>
      </c>
      <c r="D98" s="815" t="s">
        <v>692</v>
      </c>
      <c r="E98" s="892">
        <v>0.2</v>
      </c>
      <c r="F98" s="879">
        <v>30</v>
      </c>
    </row>
    <row r="99" spans="1:6" s="875" customFormat="1" ht="36">
      <c r="A99" s="879">
        <v>39</v>
      </c>
      <c r="B99" s="3262" t="s">
        <v>693</v>
      </c>
      <c r="C99" s="879" t="s">
        <v>694</v>
      </c>
      <c r="D99" s="815" t="s">
        <v>695</v>
      </c>
      <c r="E99" s="892">
        <v>0.3</v>
      </c>
      <c r="F99" s="879">
        <v>50</v>
      </c>
    </row>
    <row r="100" spans="1:6" s="875" customFormat="1" ht="24">
      <c r="A100" s="879">
        <v>40</v>
      </c>
      <c r="B100" s="3262"/>
      <c r="C100" s="879" t="s">
        <v>696</v>
      </c>
      <c r="D100" s="815" t="s">
        <v>697</v>
      </c>
      <c r="E100" s="892">
        <v>0.2</v>
      </c>
      <c r="F100" s="879">
        <v>30</v>
      </c>
    </row>
    <row r="101" spans="1:6" s="875" customFormat="1" ht="36">
      <c r="A101" s="879">
        <v>41</v>
      </c>
      <c r="B101" s="326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2" t="s">
        <v>708</v>
      </c>
      <c r="C105" s="879" t="s">
        <v>709</v>
      </c>
      <c r="D105" s="815" t="s">
        <v>710</v>
      </c>
      <c r="E105" s="892">
        <v>0.2</v>
      </c>
      <c r="F105" s="879">
        <v>30</v>
      </c>
    </row>
    <row r="106" spans="1:6" s="875" customFormat="1" ht="36">
      <c r="A106" s="879">
        <v>46</v>
      </c>
      <c r="B106" s="3262"/>
      <c r="C106" s="879" t="s">
        <v>711</v>
      </c>
      <c r="D106" s="815" t="s">
        <v>712</v>
      </c>
      <c r="E106" s="892">
        <v>0.2</v>
      </c>
      <c r="F106" s="879">
        <v>30</v>
      </c>
    </row>
    <row r="107" spans="1:6" s="875" customFormat="1" ht="36">
      <c r="A107" s="879">
        <v>47</v>
      </c>
      <c r="B107" s="3262" t="s">
        <v>713</v>
      </c>
      <c r="C107" s="879" t="s">
        <v>714</v>
      </c>
      <c r="D107" s="815" t="s">
        <v>715</v>
      </c>
      <c r="E107" s="892">
        <v>0.3</v>
      </c>
      <c r="F107" s="879">
        <v>50</v>
      </c>
    </row>
    <row r="108" spans="1:6" s="875" customFormat="1" ht="36">
      <c r="A108" s="879">
        <v>48</v>
      </c>
      <c r="B108" s="326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2" t="s">
        <v>724</v>
      </c>
      <c r="C111" s="879" t="s">
        <v>725</v>
      </c>
      <c r="D111" s="815" t="s">
        <v>726</v>
      </c>
      <c r="E111" s="892">
        <v>0.2</v>
      </c>
      <c r="F111" s="879">
        <v>30</v>
      </c>
    </row>
    <row r="112" spans="1:6" s="875" customFormat="1" ht="24">
      <c r="A112" s="879">
        <v>52</v>
      </c>
      <c r="B112" s="3262"/>
      <c r="C112" s="879" t="s">
        <v>727</v>
      </c>
      <c r="D112" s="815" t="s">
        <v>728</v>
      </c>
      <c r="E112" s="892">
        <v>0.2</v>
      </c>
      <c r="F112" s="879">
        <v>30</v>
      </c>
    </row>
    <row r="113" spans="1:6" s="875" customFormat="1" ht="24">
      <c r="A113" s="879">
        <v>53</v>
      </c>
      <c r="B113" s="326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2" t="s">
        <v>737</v>
      </c>
      <c r="C116" s="879" t="s">
        <v>738</v>
      </c>
      <c r="D116" s="815" t="s">
        <v>739</v>
      </c>
      <c r="E116" s="892">
        <v>0.2</v>
      </c>
      <c r="F116" s="879">
        <v>30</v>
      </c>
    </row>
    <row r="117" spans="1:6" ht="36">
      <c r="A117" s="879">
        <v>57</v>
      </c>
      <c r="B117" s="326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2"/>
      <c r="B4" s="2960" t="s">
        <v>1632</v>
      </c>
      <c r="C4" s="2960"/>
      <c r="D4" s="2960"/>
      <c r="E4" s="1962"/>
    </row>
    <row r="5" spans="1:5" ht="16.5" thickTop="1">
      <c r="A5" s="1960"/>
      <c r="B5" s="2958" t="s">
        <v>1624</v>
      </c>
      <c r="C5" s="1963" t="s">
        <v>1625</v>
      </c>
      <c r="D5" s="1040">
        <f ca="1">结果表!H101</f>
        <v>142086</v>
      </c>
      <c r="E5" s="1960"/>
    </row>
    <row r="6" spans="1:5" ht="15.75">
      <c r="A6" s="1960"/>
      <c r="B6" s="2958"/>
      <c r="C6" s="1963" t="s">
        <v>1626</v>
      </c>
      <c r="D6" s="1040" t="str">
        <f ca="1">NUMBERSTRING(INT(D5*10000),2)&amp;"元整"</f>
        <v>壹拾肆亿贰仟零捌拾陆万元整</v>
      </c>
      <c r="E6" s="1960"/>
    </row>
    <row r="7" spans="1:5" ht="15.75">
      <c r="A7" s="1960"/>
      <c r="B7" s="2963"/>
      <c r="C7" s="1964" t="s">
        <v>1627</v>
      </c>
      <c r="D7" s="1041">
        <f ca="1">结果表!H102</f>
        <v>21822</v>
      </c>
      <c r="E7" s="1960"/>
    </row>
    <row r="8" spans="1:5" ht="15.75">
      <c r="A8" s="1960"/>
      <c r="B8" s="2964" t="str">
        <f>结果表!E103</f>
        <v>2.估价师知悉的法定优先受偿款</v>
      </c>
      <c r="C8" s="1965" t="s">
        <v>1628</v>
      </c>
      <c r="D8" s="1041">
        <f>结果表!H103</f>
        <v>0</v>
      </c>
      <c r="E8" s="1960"/>
    </row>
    <row r="9" spans="1:5" ht="15.75">
      <c r="A9" s="1960"/>
      <c r="B9" s="2966"/>
      <c r="C9" s="1963" t="s">
        <v>1626</v>
      </c>
      <c r="D9" s="1040" t="str">
        <f>NUMBERSTRING(INT(D8*10000),2)&amp;"元整"</f>
        <v>零元整</v>
      </c>
      <c r="E9" s="1960"/>
    </row>
    <row r="10" spans="1:5" ht="15">
      <c r="A10" s="1960"/>
      <c r="B10" s="1966" t="s">
        <v>1631</v>
      </c>
      <c r="C10" s="1967" t="s">
        <v>1629</v>
      </c>
      <c r="D10" s="1042">
        <f>结果表!H104</f>
        <v>0</v>
      </c>
      <c r="E10" s="1960"/>
    </row>
    <row r="11" spans="1:5" ht="15">
      <c r="A11" s="1960"/>
      <c r="B11" s="1966" t="s">
        <v>1633</v>
      </c>
      <c r="C11" s="1967" t="s">
        <v>1634</v>
      </c>
      <c r="D11" s="1042">
        <f>结果表!H105</f>
        <v>0</v>
      </c>
      <c r="E11" s="1960"/>
    </row>
    <row r="12" spans="1:5" ht="15">
      <c r="A12" s="1960"/>
      <c r="B12" s="1966" t="s">
        <v>1635</v>
      </c>
      <c r="C12" s="1967" t="s">
        <v>1634</v>
      </c>
      <c r="D12" s="1042">
        <f>结果表!H106</f>
        <v>0</v>
      </c>
      <c r="E12" s="1960"/>
    </row>
    <row r="13" spans="1:5" ht="15.75">
      <c r="A13" s="1960"/>
      <c r="B13" s="2957" t="str">
        <f>结果表!E107</f>
        <v>3.房地产抵押价值</v>
      </c>
      <c r="C13" s="1968" t="s">
        <v>1625</v>
      </c>
      <c r="D13" s="1043">
        <f ca="1">结果表!H107</f>
        <v>142086</v>
      </c>
      <c r="E13" s="1960"/>
    </row>
    <row r="14" spans="1:5" ht="15.75">
      <c r="A14" s="1960"/>
      <c r="B14" s="2958"/>
      <c r="C14" s="1963" t="s">
        <v>1626</v>
      </c>
      <c r="D14" s="1040" t="str">
        <f ca="1">NUMBERSTRING(INT(D13*10000),2)&amp;"元整"</f>
        <v>壹拾肆亿贰仟零捌拾陆万元整</v>
      </c>
      <c r="E14" s="1960"/>
    </row>
    <row r="15" spans="1:5" ht="15">
      <c r="A15" s="1960"/>
      <c r="B15" s="2963"/>
      <c r="C15" s="1964" t="s">
        <v>1636</v>
      </c>
      <c r="D15" s="1052">
        <f ca="1">结果表!H108</f>
        <v>21822</v>
      </c>
      <c r="E15" s="1960"/>
    </row>
    <row r="16" spans="1:5" ht="15">
      <c r="A16" s="1960"/>
      <c r="B16" s="2964" t="str">
        <f>结果表!E109</f>
        <v>——</v>
      </c>
      <c r="C16" s="1968" t="s">
        <v>1637</v>
      </c>
      <c r="D16" s="1969" t="str">
        <f>结果表!H109</f>
        <v>——</v>
      </c>
      <c r="E16" s="1960"/>
    </row>
    <row r="17" spans="1:5" ht="15.75">
      <c r="A17" s="1960"/>
      <c r="B17" s="2965"/>
      <c r="C17" s="1963" t="s">
        <v>1638</v>
      </c>
      <c r="D17" s="1040" t="e">
        <f>NUMBERSTRING(INT(D16*10000),2)&amp;"元整"</f>
        <v>#VALUE!</v>
      </c>
      <c r="E17" s="1960"/>
    </row>
    <row r="18" spans="1:5" ht="15">
      <c r="A18" s="1960"/>
      <c r="B18" s="2966"/>
      <c r="C18" s="1964" t="s">
        <v>1627</v>
      </c>
      <c r="D18" s="1052" t="str">
        <f>结果表!H110</f>
        <v>——</v>
      </c>
      <c r="E18" s="1960"/>
    </row>
    <row r="19" spans="1:5" ht="15.75">
      <c r="A19" s="1960"/>
      <c r="B19" s="2957" t="str">
        <f>结果表!E111</f>
        <v>——</v>
      </c>
      <c r="C19" s="1968" t="s">
        <v>1625</v>
      </c>
      <c r="D19" s="1041" t="str">
        <f>结果表!H111</f>
        <v>——</v>
      </c>
      <c r="E19" s="1960"/>
    </row>
    <row r="20" spans="1:5" ht="15.75">
      <c r="A20" s="1960"/>
      <c r="B20" s="2958"/>
      <c r="C20" s="1963" t="s">
        <v>1638</v>
      </c>
      <c r="D20" s="1040" t="e">
        <f>NUMBERSTRING(INT(D19*10000),2)&amp;"元整"</f>
        <v>#VALUE!</v>
      </c>
      <c r="E20" s="1960"/>
    </row>
    <row r="21" spans="1:5" ht="15.75" thickBot="1">
      <c r="A21" s="1960"/>
      <c r="B21" s="2959"/>
      <c r="C21" s="1970" t="s">
        <v>1636</v>
      </c>
      <c r="D21" s="1053"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1.0419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C18" sqref="C1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3001</v>
      </c>
    </row>
    <row r="2" spans="1:5" ht="15.75">
      <c r="A2" s="2903" t="s">
        <v>2993</v>
      </c>
      <c r="B2" s="2904">
        <f ca="1">SUMIF(B6:B13,"&lt;&gt;#ref!",B6:B13)</f>
        <v>41226</v>
      </c>
      <c r="C2" s="2903" t="s">
        <v>2994</v>
      </c>
      <c r="D2" s="2903" t="s">
        <v>2995</v>
      </c>
      <c r="E2" s="2904" t="e">
        <f ca="1">SUM(E6:E13)</f>
        <v>#REF!</v>
      </c>
    </row>
    <row r="3" spans="1:5" ht="15.75">
      <c r="A3" s="2903" t="s">
        <v>2996</v>
      </c>
      <c r="B3" s="2904" t="e">
        <f ca="1">ROUND(B2*10000/E2,0)</f>
        <v>#REF!</v>
      </c>
      <c r="C3" s="2903" t="s">
        <v>3002</v>
      </c>
      <c r="D3" s="2905"/>
      <c r="E3" s="2905"/>
    </row>
    <row r="4" spans="1:5" ht="15.75">
      <c r="A4" s="2906"/>
      <c r="B4" s="2905"/>
      <c r="C4" s="2905"/>
      <c r="D4" s="2905"/>
      <c r="E4" s="2905"/>
    </row>
    <row r="5" spans="1:5" ht="28.5">
      <c r="A5" s="2907" t="s">
        <v>2997</v>
      </c>
      <c r="B5" s="2903" t="s">
        <v>2998</v>
      </c>
      <c r="C5" s="2904"/>
      <c r="D5" s="2905"/>
      <c r="E5" s="2903" t="s">
        <v>2999</v>
      </c>
    </row>
    <row r="6" spans="1:5" ht="15.75">
      <c r="A6" s="2908" t="s">
        <v>3000</v>
      </c>
      <c r="B6" s="2904">
        <f ca="1">SUMIF(INDIRECT("'"&amp;A6&amp;"'"&amp;"!A:A"),"总价",INDIRECT("'"&amp;A6&amp;"'"&amp;"!B:B"))</f>
        <v>41226</v>
      </c>
      <c r="C6" s="2903" t="s">
        <v>2994</v>
      </c>
      <c r="D6" s="2905"/>
      <c r="E6" s="2572">
        <f ca="1">SUMIF(INDIRECT("'"&amp;A6&amp;"'"&amp;"!C:C"),"建筑面积",INDIRECT("'"&amp;A6&amp;"'"&amp;"!D:D"))</f>
        <v>38294.160000000003</v>
      </c>
    </row>
    <row r="7" spans="1:5" ht="15.75">
      <c r="A7" s="2908"/>
      <c r="B7" s="2904" t="e">
        <f ca="1">SUMIF(INDIRECT("'"&amp;A7&amp;"'"&amp;"!A:A"),"总价",INDIRECT("'"&amp;A7&amp;"'"&amp;"!B:B"))</f>
        <v>#REF!</v>
      </c>
      <c r="C7" s="2903" t="s">
        <v>2994</v>
      </c>
      <c r="D7" s="2905"/>
      <c r="E7" s="2572" t="e">
        <f t="shared" ref="E7:E13" ca="1" si="0">SUMIF(INDIRECT("'"&amp;A7&amp;"'"&amp;"!C:C"),"建筑面积",INDIRECT("'"&amp;A7&amp;"'"&amp;"!D:D"))</f>
        <v>#REF!</v>
      </c>
    </row>
    <row r="8" spans="1:5" ht="15.75">
      <c r="A8" s="2908"/>
      <c r="B8" s="2904" t="e">
        <f t="shared" ref="B8:B13" ca="1" si="1">SUMIF(INDIRECT("'"&amp;A8&amp;"'"&amp;"!A:A"),"总价",INDIRECT("'"&amp;A8&amp;"'"&amp;"!B:B"))</f>
        <v>#REF!</v>
      </c>
      <c r="C8" s="2903" t="s">
        <v>2994</v>
      </c>
      <c r="D8" s="2905"/>
      <c r="E8" s="2572" t="e">
        <f t="shared" ca="1" si="0"/>
        <v>#REF!</v>
      </c>
    </row>
    <row r="9" spans="1:5" ht="15.75">
      <c r="A9" s="2908"/>
      <c r="B9" s="2904" t="e">
        <f t="shared" ca="1" si="1"/>
        <v>#REF!</v>
      </c>
      <c r="C9" s="2903" t="s">
        <v>2994</v>
      </c>
      <c r="D9" s="2905"/>
      <c r="E9" s="2572" t="e">
        <f t="shared" ca="1" si="0"/>
        <v>#REF!</v>
      </c>
    </row>
    <row r="10" spans="1:5" ht="15.75">
      <c r="A10" s="2908"/>
      <c r="B10" s="2904" t="e">
        <f t="shared" ca="1" si="1"/>
        <v>#REF!</v>
      </c>
      <c r="C10" s="2903" t="s">
        <v>2994</v>
      </c>
      <c r="D10" s="2905"/>
      <c r="E10" s="2572" t="e">
        <f t="shared" ca="1" si="0"/>
        <v>#REF!</v>
      </c>
    </row>
    <row r="11" spans="1:5" ht="15.75">
      <c r="A11" s="2908"/>
      <c r="B11" s="2904" t="e">
        <f t="shared" ca="1" si="1"/>
        <v>#REF!</v>
      </c>
      <c r="C11" s="2903" t="s">
        <v>2994</v>
      </c>
      <c r="D11" s="2905"/>
      <c r="E11" s="2572" t="e">
        <f t="shared" ca="1" si="0"/>
        <v>#REF!</v>
      </c>
    </row>
    <row r="12" spans="1:5" ht="15.75">
      <c r="A12" s="2908"/>
      <c r="B12" s="2904" t="e">
        <f t="shared" ca="1" si="1"/>
        <v>#REF!</v>
      </c>
      <c r="C12" s="2903" t="s">
        <v>2994</v>
      </c>
      <c r="D12" s="2905"/>
      <c r="E12" s="2572" t="e">
        <f t="shared" ca="1" si="0"/>
        <v>#REF!</v>
      </c>
    </row>
    <row r="13" spans="1:5" ht="15.75">
      <c r="A13" s="2908"/>
      <c r="B13" s="2904" t="e">
        <f t="shared" ca="1" si="1"/>
        <v>#REF!</v>
      </c>
      <c r="C13" s="2903" t="s">
        <v>2994</v>
      </c>
      <c r="D13" s="2905"/>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3"/>
  <sheetViews>
    <sheetView zoomScale="80" zoomScaleNormal="80" workbookViewId="0">
      <selection activeCell="I3" sqref="I3:L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68" t="s">
        <v>1150</v>
      </c>
      <c r="C1" s="3268"/>
      <c r="D1" s="3268"/>
      <c r="E1" s="3268"/>
      <c r="F1" s="3268"/>
      <c r="G1" s="3267" t="s">
        <v>1151</v>
      </c>
      <c r="H1" s="3267"/>
      <c r="I1" s="3267"/>
      <c r="J1" s="3267"/>
      <c r="K1" s="3267"/>
      <c r="L1" s="3267"/>
      <c r="N1" s="3267" t="s">
        <v>1152</v>
      </c>
      <c r="O1" s="3267"/>
      <c r="P1" s="3267"/>
      <c r="Q1" s="3267"/>
      <c r="R1" s="1446"/>
      <c r="S1" s="3267" t="s">
        <v>1153</v>
      </c>
      <c r="T1" s="3267"/>
      <c r="U1" s="3267"/>
      <c r="V1" s="3267"/>
      <c r="X1" s="3266" t="s">
        <v>1154</v>
      </c>
      <c r="Y1" s="3267"/>
      <c r="Z1" s="3267"/>
      <c r="AA1" s="3267"/>
      <c r="AB1" s="3267"/>
      <c r="AD1" s="3266" t="s">
        <v>1155</v>
      </c>
      <c r="AE1" s="3267"/>
      <c r="AF1" s="3267"/>
      <c r="AG1" s="3267"/>
      <c r="AH1" s="3267"/>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17"/>
      <c r="J3" s="2917"/>
      <c r="K3" s="2917"/>
      <c r="L3" s="2917"/>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3038</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17">
        <f>ROUND(AVERAGE(I5:I20),2)</f>
        <v>2.4900000000000002</v>
      </c>
      <c r="J4" s="2917">
        <f t="shared" ref="J4:L4" si="7">ROUND(AVERAGE(J5:J20),2)</f>
        <v>1.64</v>
      </c>
      <c r="K4" s="2917">
        <f t="shared" si="7"/>
        <v>2.78</v>
      </c>
      <c r="L4" s="2917">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3036</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4">
        <v>2017</v>
      </c>
      <c r="H5" s="1731">
        <v>4</v>
      </c>
      <c r="I5" s="2918">
        <f>ROUND(AVERAGE(I6:I20),2)</f>
        <v>2.4900000000000002</v>
      </c>
      <c r="J5" s="2918">
        <f>ROUND(AVERAGE(J6:J20),2)</f>
        <v>1.64</v>
      </c>
      <c r="K5" s="2918">
        <f>ROUND(AVERAGE(K6:K20),2)</f>
        <v>2.78</v>
      </c>
      <c r="L5" s="2918">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3037</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16"/>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15"/>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16"/>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69">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64"/>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64"/>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65"/>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63">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64"/>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64"/>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65"/>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63">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64"/>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64"/>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65"/>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70">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71"/>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71"/>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72"/>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63">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64"/>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64"/>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65"/>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63">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64">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64">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65">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63">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64">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64">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65">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63">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64">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64">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65">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63">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64">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64">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65">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63">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64">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64">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65">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63">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64">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64">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65">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63">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64">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64">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65">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63">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64">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64">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65">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63">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64">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64">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65">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63">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64">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64">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65">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3003</v>
      </c>
      <c r="C1" s="3274" t="s">
        <v>3004</v>
      </c>
      <c r="D1" s="3275"/>
      <c r="E1" s="3275"/>
      <c r="F1" s="3275"/>
      <c r="G1" s="3275"/>
      <c r="H1" s="3275"/>
      <c r="I1" s="3275"/>
      <c r="J1" s="3275"/>
      <c r="K1" s="3275"/>
      <c r="L1" s="3275"/>
      <c r="M1" s="3275"/>
      <c r="N1" s="3275"/>
      <c r="O1" s="3275"/>
      <c r="P1" s="3275"/>
      <c r="Q1" s="3275"/>
      <c r="R1" s="3275"/>
      <c r="S1" s="3276"/>
      <c r="T1" s="1204" t="s">
        <v>3005</v>
      </c>
    </row>
    <row r="2" spans="1:45" s="708" customFormat="1">
      <c r="A2" s="1205"/>
      <c r="B2" s="704" t="s">
        <v>3006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c r="D3" s="711"/>
      <c r="E3" s="711"/>
      <c r="F3" s="1705"/>
      <c r="G3" s="1705"/>
      <c r="H3" s="1705"/>
      <c r="I3" s="1705"/>
      <c r="J3" s="1705"/>
      <c r="K3" s="1705"/>
      <c r="L3" s="1706"/>
      <c r="M3" s="1707"/>
      <c r="N3" s="1707"/>
      <c r="O3" s="1705"/>
      <c r="P3" s="1705"/>
      <c r="Q3" s="1705"/>
      <c r="R3" s="1705"/>
      <c r="S3" s="1708"/>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70" t="s">
        <v>3007</v>
      </c>
      <c r="C5" s="1216"/>
      <c r="D5" s="1217"/>
      <c r="E5" s="1217"/>
      <c r="F5" s="1712"/>
      <c r="G5" s="1712"/>
      <c r="H5" s="1712"/>
      <c r="I5" s="1712"/>
      <c r="J5" s="1712"/>
      <c r="K5" s="1712"/>
      <c r="L5" s="1713"/>
      <c r="M5" s="1714"/>
      <c r="N5" s="1714"/>
      <c r="O5" s="1712"/>
      <c r="P5" s="1712"/>
      <c r="Q5" s="1712"/>
      <c r="R5" s="1712"/>
      <c r="S5" s="1715"/>
      <c r="T5" s="121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1" t="s">
        <v>3008</v>
      </c>
      <c r="C7" s="1121"/>
      <c r="D7" s="1115"/>
      <c r="E7" s="1115"/>
      <c r="F7" s="1717"/>
      <c r="G7" s="1717"/>
      <c r="H7" s="1717"/>
      <c r="I7" s="1717"/>
      <c r="J7" s="1717"/>
      <c r="K7" s="1717"/>
      <c r="L7" s="1717"/>
      <c r="M7" s="1718"/>
      <c r="N7" s="1719"/>
      <c r="O7" s="1720"/>
      <c r="P7" s="1721"/>
      <c r="Q7" s="1722"/>
      <c r="R7" s="1723"/>
      <c r="S7" s="1724"/>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1" t="s">
        <v>3009</v>
      </c>
      <c r="C9" s="1121"/>
      <c r="D9" s="1115"/>
      <c r="E9" s="1115"/>
      <c r="F9" s="1717"/>
      <c r="G9" s="1717"/>
      <c r="H9" s="1717"/>
      <c r="I9" s="1717"/>
      <c r="J9" s="1717"/>
      <c r="K9" s="1717"/>
      <c r="L9" s="1725"/>
      <c r="M9" s="1718"/>
      <c r="N9" s="1719"/>
      <c r="O9" s="1720"/>
      <c r="P9" s="1721"/>
      <c r="Q9" s="1722"/>
      <c r="R9" s="1723"/>
      <c r="S9" s="1724"/>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70" t="s">
        <v>3010</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70" t="s">
        <v>3011</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70" t="s">
        <v>3012</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09" t="s">
        <v>3013</v>
      </c>
      <c r="B17" s="2910"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11" t="s">
        <v>3015</v>
      </c>
      <c r="E19" s="1793"/>
      <c r="F19" s="1793"/>
      <c r="G19" s="1793"/>
      <c r="H19" s="1280"/>
      <c r="I19" s="169"/>
      <c r="J19" s="169"/>
      <c r="K19" s="169"/>
      <c r="L19" s="169"/>
      <c r="M19" s="169"/>
      <c r="N19" s="169"/>
      <c r="O19" s="169"/>
      <c r="P19" s="169"/>
      <c r="Q19" s="169"/>
      <c r="R19" s="789"/>
      <c r="S19" s="138"/>
    </row>
    <row r="20" spans="1:45" ht="16.5" thickBot="1">
      <c r="A20" s="716" t="s">
        <v>3016</v>
      </c>
      <c r="B20" s="339" t="e">
        <f ca="1">IF(D20="——",S22,S22-F20)</f>
        <v>#REF!</v>
      </c>
      <c r="C20" s="169"/>
      <c r="D20" s="2912" t="s">
        <v>3017</v>
      </c>
      <c r="E20" s="1794"/>
      <c r="F20" s="1204" t="e">
        <f ca="1">SUMIF(INDIRECT("'"&amp;H20&amp;"'"&amp;"!A:A"),"承租人权益价值",INDIRECT("'"&amp;H20&amp;"'"&amp;"!c:c"))</f>
        <v>#REF!</v>
      </c>
      <c r="G20" s="1204" t="s">
        <v>3018</v>
      </c>
      <c r="H20" s="2913"/>
      <c r="I20" s="169"/>
      <c r="J20" s="169"/>
      <c r="K20" s="169"/>
      <c r="L20" s="169"/>
      <c r="M20" s="169"/>
      <c r="N20" s="169"/>
      <c r="O20" s="169"/>
      <c r="P20" s="169"/>
      <c r="Q20" s="169"/>
      <c r="R20" s="789"/>
      <c r="S20" s="138"/>
    </row>
    <row r="21" spans="1:45" ht="15.75">
      <c r="A21" s="716" t="s">
        <v>3019</v>
      </c>
      <c r="B21" s="339">
        <f>R22</f>
        <v>10000</v>
      </c>
      <c r="C21" s="169"/>
      <c r="D21" s="169"/>
      <c r="E21" s="169"/>
      <c r="F21" s="169"/>
      <c r="G21" s="169"/>
      <c r="H21" s="169"/>
      <c r="I21" s="169"/>
      <c r="J21" s="169"/>
      <c r="K21" s="169"/>
      <c r="L21" s="169"/>
      <c r="M21" s="169"/>
      <c r="N21" s="169"/>
      <c r="O21" s="169"/>
      <c r="P21" s="169"/>
      <c r="Q21" s="169"/>
      <c r="R21" s="789"/>
      <c r="S21" s="138"/>
    </row>
    <row r="22" spans="1:45">
      <c r="A22" s="362" t="s">
        <v>3020</v>
      </c>
      <c r="B22" s="24">
        <f>SUM(B24:B10000)</f>
        <v>100</v>
      </c>
      <c r="C22" s="3135" t="s">
        <v>33</v>
      </c>
      <c r="D22" s="3136"/>
      <c r="E22" s="3136"/>
      <c r="F22" s="3136"/>
      <c r="G22" s="3136"/>
      <c r="H22" s="3136"/>
      <c r="I22" s="3136"/>
      <c r="J22" s="3136"/>
      <c r="K22" s="3136"/>
      <c r="L22" s="3136"/>
      <c r="M22" s="3136"/>
      <c r="N22" s="3136"/>
      <c r="O22" s="3136"/>
      <c r="P22" s="3136"/>
      <c r="Q22" s="3273"/>
      <c r="R22" s="717">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8" t="s">
        <v>3024</v>
      </c>
      <c r="S23" s="11" t="s">
        <v>3025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72161</v>
      </c>
      <c r="C2" s="2" t="s">
        <v>133</v>
      </c>
      <c r="D2" s="244"/>
      <c r="E2" s="244"/>
      <c r="F2" s="244"/>
      <c r="G2" s="244"/>
    </row>
    <row r="3" spans="1:7" s="245" customFormat="1" ht="18" customHeight="1" thickBot="1">
      <c r="A3" s="248" t="s">
        <v>85</v>
      </c>
      <c r="B3" s="249">
        <f ca="1">ROUND(B2*10000/'数据-汇总表'!E3,0)</f>
        <v>11083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160</v>
      </c>
      <c r="F9" s="266"/>
      <c r="G9" s="271"/>
    </row>
    <row r="10" spans="1:7" s="259" customFormat="1" ht="13.5" customHeight="1">
      <c r="A10" s="950" t="s">
        <v>801</v>
      </c>
      <c r="B10" s="269" t="s">
        <v>94</v>
      </c>
      <c r="C10" s="270">
        <f>ROUND(D10*E10/10000,0)</f>
        <v>1302</v>
      </c>
      <c r="D10" s="1032">
        <f>'数据-汇总表'!E6</f>
        <v>65110.920000000006</v>
      </c>
      <c r="E10" s="270">
        <f>'数据-取费表'!B28</f>
        <v>200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1302</v>
      </c>
      <c r="D19" s="1036">
        <f>'数据-汇总表'!E3</f>
        <v>65110.920000000006</v>
      </c>
      <c r="E19" s="256">
        <f>'数据-取费表'!B31</f>
        <v>200</v>
      </c>
      <c r="F19" s="276"/>
      <c r="G19" s="1" t="s">
        <v>1074</v>
      </c>
    </row>
    <row r="20" spans="1:7" s="259" customFormat="1" ht="13.5" customHeight="1">
      <c r="A20" s="948" t="s">
        <v>1057</v>
      </c>
      <c r="B20" s="255" t="s">
        <v>104</v>
      </c>
      <c r="C20" s="277">
        <f>ROUND((C5+C19)*F20,0)</f>
        <v>219</v>
      </c>
      <c r="D20" s="277"/>
      <c r="E20" s="277"/>
      <c r="F20" s="278">
        <f>'数据-取费表'!B37</f>
        <v>0.01</v>
      </c>
      <c r="G20" s="1289"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4">
        <f ca="1">ROUND(SUM(C23:C25),0)</f>
        <v>2708</v>
      </c>
      <c r="D22" s="280">
        <f ca="1">C26</f>
        <v>1.1999999999999999E-3</v>
      </c>
      <c r="E22" s="281" t="s">
        <v>126</v>
      </c>
      <c r="F22" s="282">
        <f ca="1">'数据-取费表'!B40</f>
        <v>4.7500000000000001E-2</v>
      </c>
      <c r="G22" s="1289" t="str">
        <f>IF('数据-取费表'!B22&lt;=1,"单利计息","复利计息")</f>
        <v>复利计息</v>
      </c>
    </row>
    <row r="23" spans="1:7" s="259" customFormat="1" ht="13.5" customHeight="1">
      <c r="A23" s="951" t="s">
        <v>794</v>
      </c>
      <c r="B23" s="260" t="s">
        <v>1061</v>
      </c>
      <c r="C23" s="1355">
        <f ca="1">ROUND(IF('数据-取费表'!B22&lt;=1,C5*F22*'数据-取费表'!B23,C5*(POWER((1+F22),'数据-取费表'!B23)-1)),0)</f>
        <v>2535</v>
      </c>
      <c r="D23" s="283"/>
      <c r="E23" s="283"/>
      <c r="F23" s="284"/>
      <c r="G23" s="285" t="s">
        <v>108</v>
      </c>
    </row>
    <row r="24" spans="1:7" s="259" customFormat="1" ht="13.5" customHeight="1">
      <c r="A24" s="951" t="s">
        <v>792</v>
      </c>
      <c r="B24" s="260" t="s">
        <v>1056</v>
      </c>
      <c r="C24" s="1355">
        <f ca="1">ROUND(IF('数据-取费表'!B22&lt;=1,C19*F22*('数据-取费表'!B19/2+'数据-取费表'!B21),C19*(POWER((1+F22),('数据-取费表'!B19/2+'数据-取费表'!B21))-1)),0)</f>
        <v>160</v>
      </c>
      <c r="D24" s="283"/>
      <c r="E24" s="283"/>
      <c r="F24" s="284"/>
      <c r="G24" s="285" t="s">
        <v>109</v>
      </c>
    </row>
    <row r="25" spans="1:7" s="259" customFormat="1" ht="24">
      <c r="A25" s="951" t="s">
        <v>793</v>
      </c>
      <c r="B25" s="260" t="s">
        <v>1058</v>
      </c>
      <c r="C25" s="1355">
        <f ca="1">ROUND(IF('数据-取费表'!B22&lt;=1,C20*F22*'数据-取费表'!B23/2,C20*(POWER((1+F22),'数据-取费表'!B23/2)-1)),0)</f>
        <v>13</v>
      </c>
      <c r="D25" s="283"/>
      <c r="E25" s="286"/>
      <c r="F25" s="284"/>
      <c r="G25" s="287" t="s">
        <v>110</v>
      </c>
    </row>
    <row r="26" spans="1:7" s="259" customFormat="1">
      <c r="A26" s="951" t="s">
        <v>795</v>
      </c>
      <c r="B26" s="260" t="s">
        <v>1060</v>
      </c>
      <c r="C26" s="283">
        <f ca="1">ROUND(IF('数据-取费表'!B22&lt;=1,F21*F22*'数据-取费表'!B23/2,F21*(POWER((1+F22),'数据-取费表'!B23/2)-1)),4)</f>
        <v>1.1999999999999999E-3</v>
      </c>
      <c r="D26" s="283"/>
      <c r="E26" s="286"/>
      <c r="F26" s="284"/>
      <c r="G26" s="288"/>
    </row>
    <row r="27" spans="1:7" s="259" customFormat="1" ht="24.75">
      <c r="A27" s="948" t="s">
        <v>787</v>
      </c>
      <c r="B27" s="289" t="s">
        <v>112</v>
      </c>
      <c r="C27" s="290">
        <f>C28</f>
        <v>5090</v>
      </c>
      <c r="D27" s="280">
        <f>C29</f>
        <v>4.5999999999999999E-3</v>
      </c>
      <c r="E27" s="281" t="s">
        <v>126</v>
      </c>
      <c r="F27" s="291">
        <f>'数据-取费表'!Q16</f>
        <v>0.23</v>
      </c>
      <c r="G27" s="292" t="s">
        <v>1069</v>
      </c>
    </row>
    <row r="28" spans="1:7" s="259" customFormat="1" ht="13.5" customHeight="1">
      <c r="A28" s="951" t="s">
        <v>794</v>
      </c>
      <c r="B28" s="293" t="s">
        <v>1062</v>
      </c>
      <c r="C28" s="294">
        <f>ROUND((C5+C19+C20)*F27*'数据-取费表'!B21/'数据-取费表'!B20,0)</f>
        <v>5090</v>
      </c>
      <c r="D28" s="280"/>
      <c r="E28" s="281"/>
      <c r="F28" s="291"/>
      <c r="G28" s="292"/>
    </row>
    <row r="29" spans="1:7" s="259" customFormat="1" ht="13.5" customHeight="1">
      <c r="A29" s="951" t="s">
        <v>792</v>
      </c>
      <c r="B29" s="293" t="s">
        <v>1063</v>
      </c>
      <c r="C29" s="283">
        <f>ROUND(C21*F27*'数据-取费表'!B21/'数据-取费表'!B20,4)</f>
        <v>4.5999999999999999E-3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32467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30533</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27447</v>
      </c>
      <c r="D34" s="262"/>
      <c r="E34" s="265"/>
      <c r="F34" s="302">
        <f>IF('数据-取费表'!B24=0,1,'数据-取费表'!N16)</f>
        <v>1</v>
      </c>
      <c r="G34" s="264" t="s">
        <v>116</v>
      </c>
    </row>
    <row r="35" spans="1:7" ht="13.5" customHeight="1">
      <c r="A35" s="951" t="s">
        <v>796</v>
      </c>
      <c r="B35" s="260" t="s">
        <v>60</v>
      </c>
      <c r="C35" s="265">
        <f>ROUND(C34*F35,0)</f>
        <v>1372</v>
      </c>
      <c r="D35" s="265"/>
      <c r="E35" s="265"/>
      <c r="F35" s="304">
        <f>'数据-取费表'!B33</f>
        <v>0.05</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1" t="s">
        <v>798</v>
      </c>
      <c r="B37" s="260" t="s">
        <v>118</v>
      </c>
      <c r="C37" s="294">
        <f>ROUND(E37*D37*F34/10000,0)</f>
        <v>1302</v>
      </c>
      <c r="D37" s="262">
        <f>'数据-汇总表'!E3</f>
        <v>65110.920000000006</v>
      </c>
      <c r="E37" s="294">
        <f>'数据-取费表'!B35</f>
        <v>200</v>
      </c>
      <c r="F37" s="304"/>
      <c r="G37" s="306" t="s">
        <v>119</v>
      </c>
    </row>
    <row r="38" spans="1:7" ht="13.5" customHeight="1">
      <c r="A38" s="951" t="s">
        <v>799</v>
      </c>
      <c r="B38" s="260" t="s">
        <v>63</v>
      </c>
      <c r="C38" s="265">
        <f>ROUND(C34*F38,0)</f>
        <v>412</v>
      </c>
      <c r="D38" s="265"/>
      <c r="E38" s="265"/>
      <c r="F38" s="304">
        <f>'数据-取费表'!B36</f>
        <v>1.4999999999999999E-2</v>
      </c>
      <c r="G38" s="264" t="s">
        <v>117</v>
      </c>
    </row>
    <row r="39" spans="1:7" s="259" customFormat="1" ht="13.5" customHeight="1">
      <c r="A39" s="948" t="s">
        <v>783</v>
      </c>
      <c r="B39" s="255" t="s">
        <v>104</v>
      </c>
      <c r="C39" s="277">
        <f>ROUND(C33*F20,0)</f>
        <v>305</v>
      </c>
      <c r="D39" s="277"/>
      <c r="E39" s="277"/>
      <c r="F39" s="278"/>
      <c r="G39" s="1289"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1842</v>
      </c>
      <c r="D41" s="280">
        <f ca="1">C44</f>
        <v>1.1999999999999999E-3</v>
      </c>
      <c r="E41" s="281" t="s">
        <v>129</v>
      </c>
      <c r="F41" s="282"/>
      <c r="G41" s="1289" t="str">
        <f>IF('数据-取费表'!B22&lt;=1,"单利计息","复利计息")</f>
        <v>复利计息</v>
      </c>
    </row>
    <row r="42" spans="1:7" ht="13.5" customHeight="1">
      <c r="A42" s="951" t="s">
        <v>794</v>
      </c>
      <c r="B42" s="260" t="s">
        <v>1061</v>
      </c>
      <c r="C42" s="283">
        <f ca="1">ROUND(IF('数据-取费表'!B22&lt;=1,C33*F22*'数据-取费表'!B21/2,C33*(POWER((1+F22),'数据-取费表'!B21/2)-1)),0)</f>
        <v>1824</v>
      </c>
      <c r="D42" s="283"/>
      <c r="E42" s="283"/>
      <c r="F42" s="284"/>
      <c r="G42" s="3147" t="s">
        <v>121</v>
      </c>
    </row>
    <row r="43" spans="1:7" ht="13.5" customHeight="1">
      <c r="A43" s="951" t="s">
        <v>792</v>
      </c>
      <c r="B43" s="260" t="s">
        <v>1064</v>
      </c>
      <c r="C43" s="283">
        <f ca="1">ROUND(IF('数据-取费表'!B22&lt;=1,C39*F22*'数据-取费表'!B21/2,C39*(POWER((1+F22),'数据-取费表'!B21/2)-1)),0)</f>
        <v>18</v>
      </c>
      <c r="D43" s="283"/>
      <c r="E43" s="283"/>
      <c r="F43" s="284"/>
      <c r="G43" s="3148"/>
    </row>
    <row r="44" spans="1:7" ht="13.5" customHeight="1">
      <c r="A44" s="951" t="s">
        <v>793</v>
      </c>
      <c r="B44" s="260" t="s">
        <v>1066</v>
      </c>
      <c r="C44" s="283">
        <f ca="1">ROUND(IF('数据-取费表'!B22&lt;=1,C40*F22*'数据-取费表'!B21/2,C40*(POWER((1+F22),'数据-取费表'!B21/2)-1)),4)</f>
        <v>1.1999999999999999E-3</v>
      </c>
      <c r="D44" s="283"/>
      <c r="E44" s="283"/>
      <c r="F44" s="284"/>
      <c r="G44" s="3149"/>
    </row>
    <row r="45" spans="1:7" s="259" customFormat="1" ht="13.5" customHeight="1">
      <c r="A45" s="948" t="s">
        <v>786</v>
      </c>
      <c r="B45" s="289" t="s">
        <v>112</v>
      </c>
      <c r="C45" s="290">
        <f>C46</f>
        <v>7093</v>
      </c>
      <c r="D45" s="280">
        <f>C47</f>
        <v>4.5999999999999999E-3</v>
      </c>
      <c r="E45" s="281" t="s">
        <v>129</v>
      </c>
      <c r="F45" s="291"/>
      <c r="G45" s="292" t="s">
        <v>1072</v>
      </c>
    </row>
    <row r="46" spans="1:7" s="259" customFormat="1" ht="13.5" customHeight="1">
      <c r="A46" s="951" t="s">
        <v>794</v>
      </c>
      <c r="B46" s="293" t="s">
        <v>1065</v>
      </c>
      <c r="C46" s="294">
        <f>ROUND((C33+C39)*F27,0)</f>
        <v>7093</v>
      </c>
      <c r="D46" s="308"/>
      <c r="E46" s="281"/>
      <c r="F46" s="291"/>
      <c r="G46" s="292"/>
    </row>
    <row r="47" spans="1:7" s="259" customFormat="1" ht="13.5" customHeight="1">
      <c r="A47" s="951" t="s">
        <v>792</v>
      </c>
      <c r="B47" s="293" t="s">
        <v>1067</v>
      </c>
      <c r="C47" s="283">
        <f>ROUND(C40*F27,4)</f>
        <v>4.5999999999999999E-3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43146</v>
      </c>
      <c r="D49" s="277"/>
      <c r="E49" s="277"/>
      <c r="F49" s="309"/>
      <c r="G49" s="279" t="s">
        <v>1073</v>
      </c>
    </row>
    <row r="50" spans="1:7" s="303" customFormat="1" ht="24">
      <c r="A50" s="948" t="s">
        <v>789</v>
      </c>
      <c r="B50" s="255" t="s">
        <v>124</v>
      </c>
      <c r="C50" s="277"/>
      <c r="D50" s="277"/>
      <c r="E50" s="277"/>
      <c r="F50" s="309">
        <f>IF('数据-取费表'!B24=0,'数据-取费表'!N16,1)</f>
        <v>0.92</v>
      </c>
      <c r="G50" s="292" t="s">
        <v>125</v>
      </c>
    </row>
    <row r="51" spans="1:7" ht="16.5" customHeight="1">
      <c r="A51" s="948" t="s">
        <v>790</v>
      </c>
      <c r="B51" s="255" t="s">
        <v>132</v>
      </c>
      <c r="C51" s="277">
        <f ca="1">ROUND(C49*F50,0)</f>
        <v>39694</v>
      </c>
      <c r="D51" s="277"/>
      <c r="E51" s="277"/>
      <c r="F51" s="309"/>
      <c r="G51" s="279" t="s">
        <v>64</v>
      </c>
    </row>
    <row r="52" spans="1:7" s="253" customFormat="1" ht="16.5" thickBot="1">
      <c r="A52" s="310" t="s">
        <v>65</v>
      </c>
      <c r="B52" s="311"/>
      <c r="C52" s="312">
        <f ca="1">C31+C51</f>
        <v>72161</v>
      </c>
      <c r="D52" s="311"/>
      <c r="E52" s="311"/>
      <c r="F52" s="311"/>
      <c r="G52" s="313"/>
    </row>
    <row r="55" spans="1:7" ht="15">
      <c r="B55" s="315" t="s">
        <v>66</v>
      </c>
      <c r="C55" s="316"/>
    </row>
    <row r="56" spans="1:7">
      <c r="B56" s="318" t="s">
        <v>67</v>
      </c>
      <c r="C56" s="319">
        <f ca="1">ROUND(C51/C52,3)</f>
        <v>0.55000000000000004</v>
      </c>
    </row>
    <row r="57" spans="1:7">
      <c r="B57" s="318" t="s">
        <v>68</v>
      </c>
      <c r="C57" s="320">
        <f ca="1">1-C56</f>
        <v>0.44999999999999996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77" t="s">
        <v>156</v>
      </c>
      <c r="B1" s="3277"/>
      <c r="C1" s="3277"/>
      <c r="D1" s="3277"/>
      <c r="E1" s="3277"/>
      <c r="F1" s="327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78" t="s">
        <v>169</v>
      </c>
      <c r="B2" s="3278"/>
      <c r="C2" s="3278"/>
      <c r="D2" s="3278"/>
      <c r="E2" s="3278"/>
      <c r="F2" s="327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7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77" t="s">
        <v>871</v>
      </c>
      <c r="B1" s="327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43039</v>
      </c>
      <c r="D1" s="1701" t="s">
        <v>1302</v>
      </c>
      <c r="E1" s="1696">
        <f>'数据-取费表'!B22</f>
        <v>2.5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1643</v>
      </c>
      <c r="B2" s="2977" t="s">
        <v>1644</v>
      </c>
      <c r="C2" s="2977" t="s">
        <v>1645</v>
      </c>
      <c r="D2" s="2977" t="str">
        <f>结果表!D116</f>
        <v>出让国有建设用地使用权价值</v>
      </c>
      <c r="E2" s="2977"/>
      <c r="F2" s="2977" t="str">
        <f>结果表!F116</f>
        <v>建筑物/在建建筑物价值</v>
      </c>
      <c r="G2" s="2977"/>
      <c r="H2" s="2977" t="str">
        <f>IF(项目基本情况!B9="房地产市场价值","房地产市场价值","房地产价值")</f>
        <v>房地产价值</v>
      </c>
      <c r="I2" s="2977"/>
    </row>
    <row r="3" spans="1:9" ht="15">
      <c r="A3" s="2971"/>
      <c r="B3" s="2971"/>
      <c r="C3" s="2971"/>
      <c r="D3" s="1044" t="s">
        <v>1640</v>
      </c>
      <c r="E3" s="1044" t="s">
        <v>1646</v>
      </c>
      <c r="F3" s="1044" t="s">
        <v>1640</v>
      </c>
      <c r="G3" s="1044" t="s">
        <v>1641</v>
      </c>
      <c r="H3" s="1044" t="s">
        <v>1640</v>
      </c>
      <c r="I3" s="1044" t="s">
        <v>1641</v>
      </c>
    </row>
    <row r="4" spans="1:9" ht="60">
      <c r="A4" s="1974" t="str">
        <f>项目基本情况!S2</f>
        <v>北京市昌平区黄平路19号院3号楼商业及地下车库用房房地产</v>
      </c>
      <c r="B4" s="1044">
        <f>项目基本情况!C17</f>
        <v>65110.920000000006</v>
      </c>
      <c r="C4" s="1044">
        <f>项目基本情况!C18</f>
        <v>17111.18</v>
      </c>
      <c r="D4" s="1044" t="e">
        <f ca="1">结果表!D118</f>
        <v>#REF!</v>
      </c>
      <c r="E4" s="1044" t="e">
        <f ca="1">结果表!E118</f>
        <v>#REF!</v>
      </c>
      <c r="F4" s="1044" t="e">
        <f ca="1">结果表!F118</f>
        <v>#REF!</v>
      </c>
      <c r="G4" s="1044" t="e">
        <f ca="1">结果表!G118</f>
        <v>#REF!</v>
      </c>
      <c r="H4" s="1044">
        <f ca="1">结果表!H118</f>
        <v>142086</v>
      </c>
      <c r="I4" s="1044">
        <f ca="1">结果表!I118</f>
        <v>21822</v>
      </c>
    </row>
    <row r="5" spans="1:9" ht="30" customHeight="1">
      <c r="A5" s="2971" t="s">
        <v>1642</v>
      </c>
      <c r="B5" s="2971"/>
      <c r="C5" s="2971"/>
      <c r="D5" s="2972" t="e">
        <f ca="1">结果表!D119</f>
        <v>#REF!</v>
      </c>
      <c r="E5" s="2972"/>
      <c r="F5" s="2972" t="e">
        <f ca="1">结果表!F119</f>
        <v>#REF!</v>
      </c>
      <c r="G5" s="2972"/>
      <c r="H5" s="2972" t="str">
        <f ca="1">结果表!H119</f>
        <v>壹拾肆亿贰仟零捌拾陆万元整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1642</v>
      </c>
      <c r="B7" s="2971"/>
      <c r="C7" s="2971"/>
      <c r="D7" s="2973" t="str">
        <f>结果表!D121</f>
        <v>零元整</v>
      </c>
      <c r="E7" s="2974"/>
      <c r="F7" s="2974"/>
      <c r="G7" s="2974"/>
      <c r="H7" s="2974"/>
      <c r="I7" s="2975"/>
    </row>
    <row r="8" spans="1:9" ht="15.75">
      <c r="A8" s="2970" t="str">
        <f>结果表!A122</f>
        <v>房地产抵押价值</v>
      </c>
      <c r="B8" s="2970"/>
      <c r="C8" s="2970"/>
      <c r="D8" s="2970">
        <f ca="1">结果表!D122</f>
        <v>142086</v>
      </c>
      <c r="E8" s="2970"/>
      <c r="F8" s="2970"/>
      <c r="G8" s="2970"/>
      <c r="H8" s="2970"/>
      <c r="I8" s="2970"/>
    </row>
    <row r="9" spans="1:9" ht="15">
      <c r="A9" s="2971" t="s">
        <v>1642</v>
      </c>
      <c r="B9" s="2971"/>
      <c r="C9" s="2971"/>
      <c r="D9" s="2972" t="str">
        <f ca="1">结果表!D123</f>
        <v>壹拾肆亿贰仟零捌拾陆万元整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1642</v>
      </c>
      <c r="B11" s="2971"/>
      <c r="C11" s="2971"/>
      <c r="D11" s="2972" t="e">
        <f>结果表!D125</f>
        <v>#VALUE!</v>
      </c>
      <c r="E11" s="2972"/>
      <c r="F11" s="2972"/>
      <c r="G11" s="2972"/>
      <c r="H11" s="2972"/>
      <c r="I11" s="2972"/>
    </row>
    <row r="12" spans="1:9" ht="15.75">
      <c r="A12" s="2970" t="str">
        <f>结果表!A126</f>
        <v/>
      </c>
      <c r="B12" s="2970"/>
      <c r="C12" s="2970"/>
      <c r="D12" s="2970" t="str">
        <f>结果表!D126</f>
        <v>——</v>
      </c>
      <c r="E12" s="2970"/>
      <c r="F12" s="2970"/>
      <c r="G12" s="2970"/>
      <c r="H12" s="2970"/>
      <c r="I12" s="2970"/>
    </row>
    <row r="13" spans="1:9" ht="15.75" thickBot="1">
      <c r="A13" s="2967" t="s">
        <v>1642</v>
      </c>
      <c r="B13" s="2967"/>
      <c r="C13" s="2967"/>
      <c r="D13" s="2968" t="e">
        <f>结果表!D127</f>
        <v>#VALUE!</v>
      </c>
      <c r="E13" s="2968"/>
      <c r="F13" s="2968"/>
      <c r="G13" s="2968"/>
      <c r="H13" s="2968"/>
      <c r="I13" s="2968"/>
    </row>
    <row r="14" spans="1:9" ht="15" thickTop="1">
      <c r="A14" s="2969" t="s">
        <v>1647</v>
      </c>
      <c r="B14" s="2969"/>
      <c r="C14" s="2969"/>
      <c r="D14" s="2969"/>
      <c r="E14" s="2969"/>
      <c r="F14" s="2969"/>
      <c r="G14" s="2969"/>
      <c r="H14" s="2969"/>
      <c r="I14" s="2969"/>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4" t="s">
        <v>1664</v>
      </c>
      <c r="B1" s="2984"/>
      <c r="C1" s="2984"/>
      <c r="D1" s="2984"/>
    </row>
    <row r="2" spans="1:4" ht="18">
      <c r="A2" s="2985" t="s">
        <v>1648</v>
      </c>
      <c r="B2" s="2985"/>
      <c r="C2" s="2985"/>
      <c r="D2" s="2985"/>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梁津</v>
      </c>
      <c r="B5" s="1980">
        <f ca="1">项目基本情况!E4</f>
        <v>1119970066</v>
      </c>
      <c r="C5" s="1983"/>
      <c r="D5" s="1982" t="s">
        <v>1653</v>
      </c>
    </row>
    <row r="6" spans="1:4" ht="18">
      <c r="A6" s="2985" t="s">
        <v>1654</v>
      </c>
      <c r="B6" s="2985"/>
      <c r="C6" s="2985"/>
      <c r="D6" s="2985"/>
    </row>
    <row r="7" spans="1:4" ht="18.75">
      <c r="A7" s="1978" t="s">
        <v>1649</v>
      </c>
      <c r="B7" s="1980" t="s">
        <v>1655</v>
      </c>
      <c r="C7" s="1978" t="s">
        <v>1651</v>
      </c>
      <c r="D7" s="1978" t="s">
        <v>1652</v>
      </c>
    </row>
    <row r="8" spans="1:4" ht="56.25" customHeight="1">
      <c r="A8" s="1984" t="s">
        <v>869</v>
      </c>
      <c r="B8" s="1984" t="s">
        <v>1</v>
      </c>
      <c r="C8" s="1981"/>
      <c r="D8" s="1982" t="s">
        <v>1653</v>
      </c>
    </row>
    <row r="9" spans="1:4">
      <c r="A9" s="729"/>
      <c r="B9" s="729"/>
      <c r="C9" s="729"/>
      <c r="D9" s="729"/>
    </row>
    <row r="10" spans="1:4" ht="18.75">
      <c r="A10" s="1985" t="s">
        <v>1656</v>
      </c>
      <c r="B10" s="729"/>
      <c r="C10" s="729"/>
      <c r="D10" s="729"/>
    </row>
    <row r="11" spans="1:4" ht="30" customHeight="1">
      <c r="A11" s="2986" t="s">
        <v>1657</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8"/>
      <c r="C15" s="2978"/>
      <c r="D15" s="2978"/>
    </row>
    <row r="16" spans="1:4" ht="30" customHeight="1">
      <c r="A16" s="2980" t="s">
        <v>1658</v>
      </c>
      <c r="B16" s="2980"/>
      <c r="C16" s="2980"/>
      <c r="D16" s="2980"/>
    </row>
    <row r="17" spans="1:4" ht="144" customHeight="1">
      <c r="A17" s="2980" t="s">
        <v>1659</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1660</v>
      </c>
      <c r="B22" s="2982"/>
      <c r="C22" s="2982"/>
      <c r="D22" s="2982"/>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2" t="s">
        <v>1671</v>
      </c>
      <c r="B15" s="2987" t="s">
        <v>136</v>
      </c>
      <c r="C15" s="2988"/>
    </row>
    <row r="16" spans="1:7" ht="13.5">
      <c r="A16" s="2993"/>
      <c r="B16" s="2987" t="s">
        <v>69</v>
      </c>
      <c r="C16" s="2988"/>
    </row>
    <row r="17" spans="1:3" ht="13.5">
      <c r="A17" s="2993"/>
      <c r="B17" s="2990" t="s">
        <v>1672</v>
      </c>
      <c r="C17" s="2001" t="s">
        <v>1671</v>
      </c>
    </row>
    <row r="18" spans="1:3" ht="13.5">
      <c r="A18" s="2993"/>
      <c r="B18" s="2990"/>
      <c r="C18" s="2001" t="s">
        <v>1673</v>
      </c>
    </row>
    <row r="19" spans="1:3" ht="13.5">
      <c r="A19" s="2993"/>
      <c r="B19" s="2990"/>
      <c r="C19" s="2001" t="s">
        <v>1674</v>
      </c>
    </row>
    <row r="20" spans="1:3" ht="13.5">
      <c r="A20" s="2994"/>
      <c r="B20" s="2989" t="s">
        <v>1675</v>
      </c>
      <c r="C20" s="2988"/>
    </row>
    <row r="21" spans="1:3" ht="13.5">
      <c r="A21" s="2002" t="s">
        <v>1676</v>
      </c>
      <c r="B21" s="2003"/>
      <c r="C21" s="2004"/>
    </row>
    <row r="22" spans="1:3" ht="13.5">
      <c r="A22" s="2991" t="s">
        <v>1677</v>
      </c>
      <c r="B22" s="2989" t="s">
        <v>1678</v>
      </c>
      <c r="C22" s="2988"/>
    </row>
    <row r="23" spans="1:3" ht="13.5">
      <c r="A23" s="2991"/>
      <c r="B23" s="2989" t="s">
        <v>1679</v>
      </c>
      <c r="C23" s="2988"/>
    </row>
    <row r="24" spans="1:3" ht="13.5">
      <c r="A24" s="2991"/>
      <c r="B24" s="2989" t="s">
        <v>1680</v>
      </c>
      <c r="C24" s="2988"/>
    </row>
    <row r="25" spans="1:3" ht="13.5">
      <c r="A25" s="2991"/>
      <c r="B25" s="2990" t="s">
        <v>1681</v>
      </c>
      <c r="C25" s="2001" t="s">
        <v>1682</v>
      </c>
    </row>
    <row r="26" spans="1:3" ht="13.5">
      <c r="A26" s="2991"/>
      <c r="B26" s="2990"/>
      <c r="C26" s="2001" t="s">
        <v>1683</v>
      </c>
    </row>
    <row r="27" spans="1:3" ht="13.5">
      <c r="A27" s="2991"/>
      <c r="B27" s="2990"/>
      <c r="C27" s="2001" t="s">
        <v>1684</v>
      </c>
    </row>
    <row r="28" spans="1:3" ht="13.5">
      <c r="A28" s="2991"/>
      <c r="B28" s="2990"/>
      <c r="C28" s="2001" t="s">
        <v>1685</v>
      </c>
    </row>
    <row r="29" spans="1:3" ht="13.5">
      <c r="A29" s="2991"/>
      <c r="B29" s="2990"/>
      <c r="C29" s="2001" t="s">
        <v>1686</v>
      </c>
    </row>
    <row r="30" spans="1:3" ht="13.5">
      <c r="A30" s="2991"/>
      <c r="B30" s="2990"/>
      <c r="C30" s="2001" t="s">
        <v>1687</v>
      </c>
    </row>
    <row r="31" spans="1:3" ht="13.5">
      <c r="A31" s="2991"/>
      <c r="B31" s="2990"/>
      <c r="C31" s="2001" t="s">
        <v>1688</v>
      </c>
    </row>
    <row r="32" spans="1:3" ht="13.5">
      <c r="A32" s="2991"/>
      <c r="B32" s="2990"/>
      <c r="C32" s="2001" t="s">
        <v>1689</v>
      </c>
    </row>
    <row r="33" spans="1:3" ht="13.5">
      <c r="A33" s="2991"/>
      <c r="B33" s="2990"/>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43042</v>
      </c>
      <c r="C2" s="1019" t="s">
        <v>826</v>
      </c>
      <c r="D2" s="1019"/>
    </row>
    <row r="3" spans="1:6" ht="24" customHeight="1">
      <c r="A3" s="1020" t="s">
        <v>827</v>
      </c>
      <c r="B3" s="1021" t="s">
        <v>828</v>
      </c>
      <c r="C3" s="2345" t="s">
        <v>829</v>
      </c>
      <c r="D3" s="2348" t="s">
        <v>830</v>
      </c>
      <c r="E3" s="1022" t="s">
        <v>831</v>
      </c>
      <c r="F3" s="1021" t="s">
        <v>829</v>
      </c>
    </row>
    <row r="4" spans="1:6" ht="24" customHeight="1">
      <c r="A4" s="1703" t="s">
        <v>832</v>
      </c>
      <c r="B4" s="1022">
        <f ca="1">IF(C4&lt;B2,"已过期",1119970066)</f>
        <v>1119970066</v>
      </c>
      <c r="C4" s="2346">
        <v>43849</v>
      </c>
      <c r="D4" s="2349" t="s">
        <v>832</v>
      </c>
      <c r="E4" s="1022">
        <f ca="1">IF(F4&lt;B2,"已过期",96010014)</f>
        <v>96010014</v>
      </c>
      <c r="F4" s="1030">
        <v>47118</v>
      </c>
    </row>
    <row r="5" spans="1:6" ht="24" customHeight="1">
      <c r="A5" s="1703" t="s">
        <v>833</v>
      </c>
      <c r="B5" s="1022">
        <f ca="1">IF(C5&lt;B2,"已过期",1119970074)</f>
        <v>1119970074</v>
      </c>
      <c r="C5" s="2346">
        <v>43849</v>
      </c>
      <c r="D5" s="2349" t="s">
        <v>833</v>
      </c>
      <c r="E5" s="1022">
        <f ca="1">IF(F5&lt;B2,"已过期",2002110027)</f>
        <v>2002110027</v>
      </c>
      <c r="F5" s="1030">
        <v>46752</v>
      </c>
    </row>
    <row r="6" spans="1:6" ht="24" customHeight="1">
      <c r="A6" s="1703" t="s">
        <v>834</v>
      </c>
      <c r="B6" s="1022">
        <f ca="1">IF(C6&lt;B2,"已过期",1119970111)</f>
        <v>1119970111</v>
      </c>
      <c r="C6" s="2346">
        <v>43849</v>
      </c>
      <c r="D6" s="2349" t="s">
        <v>834</v>
      </c>
      <c r="E6" s="1022">
        <f ca="1">IF(F6&lt;B2,"已过期",94010078)</f>
        <v>94010078</v>
      </c>
      <c r="F6" s="1030">
        <v>46387</v>
      </c>
    </row>
    <row r="7" spans="1:6" ht="24" customHeight="1">
      <c r="A7" s="1703" t="s">
        <v>835</v>
      </c>
      <c r="B7" s="1022">
        <f ca="1">IF(C7&lt;B2,"已过期",1120050019)</f>
        <v>1120050019</v>
      </c>
      <c r="C7" s="2346">
        <v>43359</v>
      </c>
      <c r="D7" s="2349" t="s">
        <v>835</v>
      </c>
      <c r="E7" s="1022">
        <f ca="1">IF(F7&lt;B2,"已过期",2002110030)</f>
        <v>2002110030</v>
      </c>
      <c r="F7" s="1030">
        <v>46387</v>
      </c>
    </row>
    <row r="8" spans="1:6" ht="24" customHeight="1">
      <c r="A8" s="1703" t="s">
        <v>836</v>
      </c>
      <c r="B8" s="1022">
        <f ca="1">IF(C8&lt;B2,"已过期",1120000080)</f>
        <v>1120000080</v>
      </c>
      <c r="C8" s="2346">
        <v>43849</v>
      </c>
      <c r="D8" s="2349" t="s">
        <v>836</v>
      </c>
      <c r="E8" s="1022">
        <f ca="1">IF(F8&lt;B2,"已过期",2000110082)</f>
        <v>2000110082</v>
      </c>
      <c r="F8" s="1030">
        <v>46387</v>
      </c>
    </row>
    <row r="9" spans="1:6" ht="24" customHeight="1">
      <c r="A9" s="1703" t="s">
        <v>837</v>
      </c>
      <c r="B9" s="1022">
        <f ca="1">IF(C9&lt;B2,"已过期",1419970001)</f>
        <v>1419970001</v>
      </c>
      <c r="C9" s="2346">
        <v>43867</v>
      </c>
      <c r="D9" s="2349" t="s">
        <v>837</v>
      </c>
      <c r="E9" s="1022">
        <f ca="1">IF(F9&lt;B2,"已过期",2002110125)</f>
        <v>2002110125</v>
      </c>
      <c r="F9" s="1030">
        <v>47118</v>
      </c>
    </row>
    <row r="10" spans="1:6" ht="24" customHeight="1">
      <c r="A10" s="1703" t="s">
        <v>838</v>
      </c>
      <c r="B10" s="1022">
        <f ca="1">IF(C10&lt;B2,"已过期",1120060040)</f>
        <v>1120060040</v>
      </c>
      <c r="C10" s="2346">
        <v>43483</v>
      </c>
      <c r="D10" s="2349" t="s">
        <v>838</v>
      </c>
      <c r="E10" s="1022">
        <f ca="1">IF(F10&lt;B2,"已过期",2004110096)</f>
        <v>2004110096</v>
      </c>
      <c r="F10" s="1030">
        <v>47118</v>
      </c>
    </row>
    <row r="11" spans="1:6" ht="24" customHeight="1">
      <c r="A11" s="1703" t="s">
        <v>839</v>
      </c>
      <c r="B11" s="1022">
        <f ca="1">IF(C11&lt;B2,"已过期",1120100036)</f>
        <v>1120100036</v>
      </c>
      <c r="C11" s="2346">
        <v>43622</v>
      </c>
      <c r="D11" s="2349" t="s">
        <v>839</v>
      </c>
      <c r="E11" s="1022">
        <f ca="1">IF(F11&lt;B2,"已过期",2010110070)</f>
        <v>2010110070</v>
      </c>
      <c r="F11" s="1030">
        <v>47907</v>
      </c>
    </row>
    <row r="12" spans="1:6" ht="24" customHeight="1">
      <c r="A12" s="1703"/>
      <c r="B12" s="1022"/>
      <c r="C12" s="2346"/>
      <c r="D12" s="2349"/>
      <c r="E12" s="1022"/>
      <c r="F12" s="1022"/>
    </row>
    <row r="13" spans="1:6" ht="24" customHeight="1">
      <c r="A13" s="1703" t="s">
        <v>840</v>
      </c>
      <c r="B13" s="1022">
        <f ca="1">IF(C13&lt;B2,"已过期",1120070131)</f>
        <v>1120070131</v>
      </c>
      <c r="C13" s="2346">
        <v>43814</v>
      </c>
      <c r="D13" s="2349" t="s">
        <v>840</v>
      </c>
      <c r="E13" s="1022">
        <v>2014110011</v>
      </c>
      <c r="F13" s="1030">
        <v>49302</v>
      </c>
    </row>
    <row r="14" spans="1:6" ht="24" customHeight="1">
      <c r="A14" s="1703" t="s">
        <v>841</v>
      </c>
      <c r="B14" s="1022">
        <f ca="1">IF(C14&lt;B2,"已过期",1120130020)</f>
        <v>1120130020</v>
      </c>
      <c r="C14" s="2346">
        <v>43622</v>
      </c>
      <c r="D14" s="2349"/>
      <c r="E14" s="1022"/>
      <c r="F14" s="1022"/>
    </row>
    <row r="15" spans="1:6" ht="24" customHeight="1">
      <c r="A15" s="1704" t="s">
        <v>1149</v>
      </c>
      <c r="B15" s="1022">
        <v>1120070085</v>
      </c>
      <c r="C15" s="2346">
        <v>43814</v>
      </c>
      <c r="D15" s="2350" t="s">
        <v>1149</v>
      </c>
      <c r="E15" s="1022">
        <v>2004110128</v>
      </c>
      <c r="F15" s="1023">
        <v>47118</v>
      </c>
    </row>
    <row r="16" spans="1:6" ht="24" customHeight="1">
      <c r="A16" s="1703" t="s">
        <v>842</v>
      </c>
      <c r="B16" s="1022">
        <f ca="1">IF(C16&lt;B2,"已过期",1120140022)</f>
        <v>1120140022</v>
      </c>
      <c r="C16" s="2346">
        <v>44029</v>
      </c>
      <c r="D16" s="2349" t="s">
        <v>842</v>
      </c>
      <c r="E16" s="1022">
        <f ca="1">IF(F16&lt;B2,"已过期",2008110059)</f>
        <v>2008110059</v>
      </c>
      <c r="F16" s="1030">
        <v>47177</v>
      </c>
    </row>
    <row r="17" spans="1:7" ht="24" customHeight="1">
      <c r="A17" s="1703"/>
      <c r="B17" s="1022"/>
      <c r="C17" s="2346"/>
      <c r="D17" s="2349"/>
      <c r="E17" s="1022"/>
      <c r="F17" s="1030"/>
    </row>
    <row r="18" spans="1:7" ht="24" customHeight="1">
      <c r="A18" s="1703"/>
      <c r="B18" s="1022"/>
      <c r="C18" s="2346"/>
      <c r="D18" s="2349"/>
      <c r="E18" s="1022"/>
      <c r="F18" s="1030"/>
    </row>
    <row r="19" spans="1:7" ht="24" customHeight="1">
      <c r="A19" s="1703"/>
      <c r="B19" s="1022"/>
      <c r="C19" s="2346"/>
      <c r="D19" s="2349"/>
      <c r="E19" s="1022"/>
      <c r="F19" s="1022"/>
    </row>
    <row r="20" spans="1:7" ht="24" customHeight="1">
      <c r="A20" s="1703"/>
      <c r="B20" s="1022"/>
      <c r="C20" s="2346"/>
      <c r="D20" s="2349"/>
      <c r="E20" s="1022"/>
      <c r="F20" s="1022"/>
    </row>
    <row r="21" spans="1:7" ht="24" customHeight="1">
      <c r="A21" s="1703"/>
      <c r="B21" s="1022"/>
      <c r="C21" s="2346"/>
      <c r="D21" s="2349" t="s">
        <v>843</v>
      </c>
      <c r="E21" s="1022">
        <f ca="1">IF(F21&lt;B2,"已过期",2011110090)</f>
        <v>2011110090</v>
      </c>
      <c r="F21" s="1030">
        <v>48302</v>
      </c>
    </row>
    <row r="22" spans="1:7" ht="24" customHeight="1">
      <c r="A22" s="1703" t="s">
        <v>844</v>
      </c>
      <c r="B22" s="1022">
        <f ca="1">IF(C22&lt;B2,"已过期",1120020033)</f>
        <v>1120020033</v>
      </c>
      <c r="C22" s="2346">
        <v>43304</v>
      </c>
      <c r="D22" s="2349" t="s">
        <v>844</v>
      </c>
      <c r="E22" s="1022">
        <f ca="1">IF(F22&lt;B2,"已过期",2000110137)</f>
        <v>2000110137</v>
      </c>
      <c r="F22" s="1030">
        <v>46387</v>
      </c>
    </row>
    <row r="23" spans="1:7" ht="24" customHeight="1">
      <c r="A23" s="1703" t="s">
        <v>845</v>
      </c>
      <c r="B23" s="1022">
        <f ca="1">IF(C23&lt;B2,"已过期",1120130048)</f>
        <v>1120130048</v>
      </c>
      <c r="C23" s="2346">
        <v>43686</v>
      </c>
      <c r="D23" s="2349"/>
      <c r="E23" s="1022"/>
      <c r="F23" s="1022"/>
    </row>
    <row r="24" spans="1:7" s="1024" customFormat="1" ht="24" customHeight="1">
      <c r="A24" s="1704" t="s">
        <v>1334</v>
      </c>
      <c r="B24" s="1704" t="s">
        <v>1334</v>
      </c>
      <c r="C24" s="2347" t="s">
        <v>1334</v>
      </c>
      <c r="D24" s="2350" t="s">
        <v>1334</v>
      </c>
      <c r="E24" s="1704" t="s">
        <v>1334</v>
      </c>
      <c r="F24" s="1704" t="s">
        <v>1334</v>
      </c>
    </row>
    <row r="25" spans="1:7" ht="24" customHeight="1">
      <c r="A25" s="2995" t="s">
        <v>846</v>
      </c>
      <c r="B25" s="2995"/>
      <c r="C25" s="2995"/>
      <c r="D25" s="2995"/>
      <c r="E25" s="2995"/>
      <c r="F25" s="2995"/>
      <c r="G25" s="2995"/>
    </row>
    <row r="26" spans="1:7" s="1025" customFormat="1" ht="24" customHeight="1">
      <c r="A26" s="2996" t="s">
        <v>847</v>
      </c>
      <c r="B26" s="2996"/>
      <c r="C26" s="2997"/>
      <c r="D26" s="2998" t="s">
        <v>848</v>
      </c>
      <c r="E26" s="2996"/>
      <c r="F26" s="2996"/>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租金</vt:lpstr>
      <vt:lpstr>结果表</vt:lpstr>
      <vt:lpstr>收益法-地下商业</vt:lpstr>
      <vt:lpstr>收益法-自用地上商业</vt:lpstr>
      <vt:lpstr>收益法-车库</vt:lpstr>
      <vt:lpstr>收益法-出租地上商业</vt:lpstr>
      <vt:lpstr>估价对象房地状况</vt:lpstr>
      <vt:lpstr>系统读取表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'收益法-出租地上商业'!Print_Area</vt:lpstr>
      <vt:lpstr>'收益法-地下商业'!Print_Area</vt:lpstr>
      <vt:lpstr>'收益法-自用地上商业'!Print_Area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2017-11-03T02:00:50Z</dcterms:modified>
</cp:coreProperties>
</file>