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典型户型修正" sheetId="31" state="hidden" r:id="rId32"/>
    <sheet name="收益法-地下" sheetId="81"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2021" sheetId="83" r:id="rId43"/>
    <sheet name="成本法" sheetId="68" r:id="rId44"/>
    <sheet name="土地比较法-住宅、综合" sheetId="39" r:id="rId45"/>
    <sheet name="土地案例" sheetId="84" r:id="rId46"/>
    <sheet name="基准地价修正" sheetId="43" r:id="rId47"/>
    <sheet name="收益法-地上" sheetId="15" r:id="rId48"/>
    <sheet name="信息" sheetId="80" r:id="rId49"/>
    <sheet name="租约汇总" sheetId="82" r:id="rId50"/>
  </sheets>
  <externalReferences>
    <externalReference r:id="rId51"/>
    <externalReference r:id="rId52"/>
    <externalReference r:id="rId53"/>
    <externalReference r:id="rId54"/>
  </externalReferences>
  <definedNames>
    <definedName name="_xlnm._FilterDatabase" localSheetId="42" hidden="1">'2021'!$A$1:$W$119</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4">'收益法（汇总）'!$A$1:$F$13</definedName>
    <definedName name="_xlnm.Print_Area" localSheetId="47">'收益法-地上'!$A$1:$F$43,'收益法-地上'!$H$3:$M$29,'收益法-地上'!$A$46:$F$71,'收益法-地上'!$I$46:$N$65</definedName>
    <definedName name="_xlnm.Print_Area" localSheetId="32">'收益法-地下'!$A$1:$F$43,'收益法-地下'!$H$3:$M$29,'收益法-地下'!$A$46:$F$71,'收益法-地下'!$I$46:$N$65</definedName>
    <definedName name="_xlnm.Print_Area" localSheetId="13">'数据-汇总表'!$A$1:$P$32</definedName>
    <definedName name="_xlnm.Print_Area" localSheetId="30">'土地比较法-工业'!$A$1:$K$61,'土地比较法-工业'!$A$64:$M$121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租约汇总!#REF!</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可用科目">[2]隐藏数据!$B$1:$B$300</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[3]定义!$D$1:$D$4</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17" i="39" l="1"/>
  <c r="I48" i="34"/>
  <c r="G48" i="34"/>
  <c r="E48" i="34"/>
  <c r="C45" i="34"/>
  <c r="E45" i="34"/>
  <c r="I45" i="34"/>
  <c r="G45" i="34"/>
  <c r="I46" i="34"/>
  <c r="G46" i="34"/>
  <c r="E128" i="34"/>
  <c r="F128" i="34"/>
  <c r="G128" i="34"/>
  <c r="H128" i="34"/>
  <c r="I128" i="34" s="1"/>
  <c r="J128" i="34" s="1"/>
  <c r="K128" i="34" s="1"/>
  <c r="I34" i="34"/>
  <c r="G34" i="34"/>
  <c r="E34" i="34"/>
  <c r="D128" i="34"/>
  <c r="F123" i="34"/>
  <c r="E123" i="34"/>
  <c r="D123" i="34"/>
  <c r="C123" i="34"/>
  <c r="G117" i="34"/>
  <c r="F117" i="34"/>
  <c r="E117" i="34"/>
  <c r="D117" i="34"/>
  <c r="C117" i="34"/>
  <c r="G105" i="34"/>
  <c r="F105" i="34"/>
  <c r="E105" i="34"/>
  <c r="D105" i="34"/>
  <c r="AL60" i="34"/>
  <c r="AL59" i="34"/>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Y60" i="34"/>
  <c r="X60" i="34"/>
  <c r="W60" i="34"/>
  <c r="V60" i="34"/>
  <c r="U60" i="34"/>
  <c r="T60" i="34"/>
  <c r="S60" i="34"/>
  <c r="R60" i="34"/>
  <c r="Q60" i="34"/>
  <c r="P60" i="34"/>
  <c r="O60" i="34"/>
  <c r="D94" i="34"/>
  <c r="I5" i="34"/>
  <c r="G5" i="34"/>
  <c r="E5" i="34"/>
  <c r="K19" i="39"/>
  <c r="E46" i="39"/>
  <c r="E38" i="39"/>
  <c r="E7" i="39"/>
  <c r="E5" i="39"/>
  <c r="N39" i="9"/>
  <c r="O38" i="9"/>
  <c r="O39" i="9" s="1"/>
  <c r="N38" i="9"/>
  <c r="O34" i="9"/>
  <c r="N34" i="9"/>
  <c r="L25" i="9"/>
  <c r="K25" i="9"/>
  <c r="J25" i="9"/>
  <c r="G117" i="39" l="1"/>
  <c r="F117" i="39"/>
  <c r="D117" i="39"/>
  <c r="C117" i="39" s="1"/>
  <c r="U10" i="43" l="1"/>
  <c r="U9" i="43"/>
  <c r="U5" i="43"/>
  <c r="S10" i="43"/>
  <c r="S9" i="43"/>
  <c r="S8" i="43"/>
  <c r="S7" i="43"/>
  <c r="C40" i="82" l="1"/>
  <c r="B40" i="82"/>
  <c r="D40" i="82"/>
  <c r="D3" i="82"/>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2" i="82"/>
  <c r="C10" i="34" l="1"/>
  <c r="D14" i="9" l="1"/>
  <c r="N21" i="1"/>
  <c r="N23" i="1" l="1"/>
  <c r="N6" i="1" l="1"/>
  <c r="C37" i="34" s="1"/>
  <c r="J52" i="8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D3" i="4"/>
  <c r="Y6" i="1" l="1"/>
  <c r="D24" i="81"/>
  <c r="P61" i="81"/>
  <c r="D22"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F6" i="1" s="1"/>
  <c r="C10" i="39"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5" i="34"/>
  <c r="S25" i="34" s="1"/>
  <c r="H23" i="34"/>
  <c r="U23" i="34" s="1"/>
  <c r="J23" i="34"/>
  <c r="W23" i="34" s="1"/>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H25" i="34"/>
  <c r="AB25" i="34" s="1"/>
  <c r="J25" i="34"/>
  <c r="AC25"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55"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50"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A25" i="34"/>
  <c r="S17" i="34"/>
  <c r="AA29"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G1" i="69"/>
  <c r="G1" i="67"/>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B33" i="34"/>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22" i="67"/>
  <c r="F36" i="67"/>
  <c r="L48" i="67"/>
  <c r="F38" i="15"/>
  <c r="F8" i="15"/>
  <c r="M28" i="15"/>
  <c r="F6" i="15"/>
  <c r="F3" i="73"/>
  <c r="F13" i="67"/>
  <c r="L48" i="15"/>
  <c r="E9" i="76"/>
  <c r="M6" i="67"/>
  <c r="F6" i="73"/>
  <c r="E2" i="68"/>
  <c r="F5" i="73"/>
  <c r="M26" i="67"/>
  <c r="AO13" i="1"/>
  <c r="F42" i="67"/>
  <c r="L47" i="15"/>
  <c r="F37" i="15"/>
  <c r="F38" i="67"/>
  <c r="E11" i="76"/>
  <c r="B7" i="76"/>
  <c r="F16" i="67"/>
  <c r="C76" i="15"/>
  <c r="F20" i="31"/>
  <c r="E2" i="69"/>
  <c r="D34" i="9"/>
  <c r="M24" i="67"/>
  <c r="B8" i="76"/>
  <c r="B11" i="76"/>
  <c r="M23" i="15"/>
  <c r="F9" i="15"/>
  <c r="B9" i="76"/>
  <c r="F8" i="67"/>
  <c r="L47" i="67"/>
  <c r="M28" i="67"/>
  <c r="M8" i="67"/>
  <c r="F37" i="67"/>
  <c r="J15" i="15"/>
  <c r="F40" i="15"/>
  <c r="F36" i="15"/>
  <c r="F6" i="67"/>
  <c r="M23" i="67"/>
  <c r="F26" i="67"/>
  <c r="E7" i="76"/>
  <c r="C76" i="67"/>
  <c r="B12" i="76"/>
  <c r="F26" i="15"/>
  <c r="F13" i="15"/>
  <c r="F4" i="73"/>
  <c r="F7" i="73"/>
  <c r="F40" i="67"/>
  <c r="M8" i="15"/>
  <c r="B10" i="76"/>
  <c r="F42" i="15"/>
  <c r="E8" i="76"/>
  <c r="D35" i="9"/>
  <c r="M9" i="67"/>
  <c r="M6" i="15"/>
  <c r="F16" i="15"/>
  <c r="F7" i="67"/>
  <c r="J15" i="67"/>
  <c r="E10" i="76"/>
  <c r="M22" i="15"/>
  <c r="M9" i="15"/>
  <c r="E12" i="76"/>
  <c r="F9" i="67"/>
  <c r="M26" i="15"/>
  <c r="B13" i="76"/>
  <c r="M24" i="15"/>
  <c r="E13" i="76"/>
  <c r="U17" i="39" l="1"/>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G6" i="1"/>
  <c r="I24" i="43"/>
  <c r="J51" i="15"/>
  <c r="G7" i="1"/>
  <c r="G44" i="43"/>
  <c r="AA45" i="34"/>
  <c r="D19" i="53"/>
  <c r="B38" i="72" s="1"/>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F30" i="6"/>
  <c r="E28" i="6"/>
  <c r="K14" i="1" s="1"/>
  <c r="K16"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343" i="3"/>
  <c r="E508" i="3"/>
  <c r="E555" i="3"/>
  <c r="E337" i="3"/>
  <c r="E270"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M7" i="67"/>
  <c r="J6" i="67" s="1"/>
  <c r="F50" i="67"/>
  <c r="F68" i="67"/>
  <c r="F64" i="67"/>
  <c r="F68" i="15"/>
  <c r="D9" i="69"/>
  <c r="D9" i="68"/>
  <c r="F6" i="81"/>
  <c r="F36" i="81"/>
  <c r="D6" i="73"/>
  <c r="M29" i="67"/>
  <c r="F43" i="81"/>
  <c r="M23" i="81"/>
  <c r="M9" i="81"/>
  <c r="M29" i="81"/>
  <c r="M22" i="81"/>
  <c r="M29" i="15"/>
  <c r="F40" i="81"/>
  <c r="F43" i="67"/>
  <c r="F16" i="81"/>
  <c r="D7" i="73"/>
  <c r="M28" i="81"/>
  <c r="J15" i="81"/>
  <c r="F8" i="81"/>
  <c r="C16" i="15"/>
  <c r="D5" i="73"/>
  <c r="F38" i="81"/>
  <c r="F13" i="81"/>
  <c r="M26" i="81"/>
  <c r="M27" i="81"/>
  <c r="L48" i="81"/>
  <c r="F42" i="81"/>
  <c r="F7" i="15"/>
  <c r="F9" i="81"/>
  <c r="D4" i="73"/>
  <c r="M24" i="81"/>
  <c r="M6" i="81"/>
  <c r="F43" i="15"/>
  <c r="M8" i="81"/>
  <c r="C76" i="81"/>
  <c r="F37" i="81"/>
  <c r="F26" i="81"/>
  <c r="L47" i="81"/>
  <c r="D3" i="73"/>
  <c r="F7" i="81"/>
  <c r="U12" i="34" l="1"/>
  <c r="AB12" i="34"/>
  <c r="AC12" i="34"/>
  <c r="U19" i="39"/>
  <c r="AC19" i="39"/>
  <c r="W19" i="39"/>
  <c r="AA17" i="39"/>
  <c r="S17" i="39"/>
  <c r="AC17" i="39"/>
  <c r="W17" i="39"/>
  <c r="S37" i="39"/>
  <c r="AA37" i="39"/>
  <c r="G16" i="1"/>
  <c r="F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63" i="39"/>
  <c r="E59" i="40"/>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G1" i="73"/>
  <c r="C16" i="67"/>
  <c r="AE6" i="1"/>
  <c r="C16" i="81"/>
  <c r="F41" i="81"/>
  <c r="J18" i="81" l="1"/>
  <c r="J5" i="15"/>
  <c r="J24" i="15" s="1"/>
  <c r="J5" i="81"/>
  <c r="J24" i="81" s="1"/>
  <c r="C32" i="81"/>
  <c r="Q73" i="81"/>
  <c r="C49" i="81"/>
  <c r="C61" i="81" s="1"/>
  <c r="Q74" i="81"/>
  <c r="F1" i="81"/>
  <c r="E16" i="6"/>
  <c r="C46" i="34"/>
  <c r="C34" i="34"/>
  <c r="B14" i="74"/>
  <c r="U37" i="34"/>
  <c r="AB37" i="34"/>
  <c r="F48" i="68"/>
  <c r="C30" i="68"/>
  <c r="F48" i="69"/>
  <c r="C30" i="69"/>
  <c r="C48" i="69"/>
  <c r="C48" i="11"/>
  <c r="C30" i="11"/>
  <c r="F69" i="81"/>
  <c r="C53" i="81"/>
  <c r="C10" i="81"/>
  <c r="C5" i="81" s="1"/>
  <c r="H6" i="3"/>
  <c r="AY6" i="3"/>
  <c r="AY253" i="3" s="1"/>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14" i="3"/>
  <c r="BO6" i="3"/>
  <c r="AY147" i="3"/>
  <c r="AY580" i="3"/>
  <c r="BA6" i="3"/>
  <c r="AY179" i="3"/>
  <c r="AY122" i="3"/>
  <c r="AY347" i="3"/>
  <c r="AY250" i="3"/>
  <c r="AY451"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7" i="1"/>
  <c r="F41" i="15"/>
  <c r="M27" i="67"/>
  <c r="M27" i="15"/>
  <c r="F41" i="67"/>
  <c r="B118" i="9" l="1"/>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1" i="6"/>
  <c r="D20" i="6"/>
  <c r="D26" i="6"/>
  <c r="D14" i="6"/>
  <c r="D9" i="6"/>
  <c r="L19" i="9"/>
  <c r="H21" i="6"/>
  <c r="C18" i="4"/>
  <c r="D5" i="6"/>
  <c r="D11"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6" i="67"/>
  <c r="C60" i="67"/>
  <c r="D10" i="69"/>
  <c r="C34" i="69"/>
  <c r="D10" i="68"/>
  <c r="C17" i="67"/>
  <c r="C14" i="67"/>
  <c r="C17" i="15"/>
  <c r="C17" i="81"/>
  <c r="C66" i="81" l="1"/>
  <c r="Q36" i="43"/>
  <c r="E61" i="40"/>
  <c r="D13" i="6"/>
  <c r="D12" i="6"/>
  <c r="D23" i="6"/>
  <c r="D19" i="6"/>
  <c r="D29" i="6"/>
  <c r="D10" i="6"/>
  <c r="D6" i="6"/>
  <c r="D8" i="6"/>
  <c r="M19" i="9"/>
  <c r="C118" i="9" s="1"/>
  <c r="B2" i="74" s="1"/>
  <c r="D8" i="74" s="1"/>
  <c r="D24" i="6"/>
  <c r="D22" i="6"/>
  <c r="D25" i="6"/>
  <c r="D30" i="6"/>
  <c r="H24" i="6"/>
  <c r="R24" i="6" s="1"/>
  <c r="R11" i="1" s="1"/>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C14" i="15"/>
  <c r="C14" i="81"/>
  <c r="M21" i="81"/>
  <c r="V49" i="34" l="1"/>
  <c r="I49" i="34" s="1"/>
  <c r="D16" i="6"/>
  <c r="R23" i="6"/>
  <c r="R10" i="1" s="1"/>
  <c r="T49" i="34"/>
  <c r="G49" i="34" s="1"/>
  <c r="G54" i="34" s="1"/>
  <c r="H54" i="34" s="1"/>
  <c r="R49" i="34"/>
  <c r="E49" i="34" s="1"/>
  <c r="I54" i="34" s="1"/>
  <c r="J54" i="34" s="1"/>
  <c r="C18" i="81"/>
  <c r="C15" i="81"/>
  <c r="I53" i="34"/>
  <c r="J53" i="34" s="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R50" i="34" l="1"/>
  <c r="C50" i="34"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C49" i="34" l="1"/>
  <c r="D26" i="43"/>
  <c r="C25"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3"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67"/>
  <c r="F35" i="15"/>
  <c r="M21" i="15"/>
  <c r="M21" i="67"/>
  <c r="C36" i="81" l="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46" i="81" l="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B2" i="76" l="1"/>
  <c r="B3" i="76"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81" l="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9" i="1"/>
  <c r="AO10" i="1"/>
  <c r="AO8" i="1"/>
  <c r="AO7" i="1"/>
  <c r="AO11" i="1"/>
  <c r="AO12"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19" i="9"/>
  <c r="C102" i="9" l="1"/>
  <c r="C21" i="9"/>
  <c r="B3" i="15"/>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C103" i="9" l="1"/>
  <c r="F65" i="39"/>
  <c r="B2" i="39" s="1"/>
  <c r="B3" i="70"/>
  <c r="C5" i="71"/>
  <c r="D5" i="71" s="1"/>
  <c r="M24" i="43" s="1"/>
  <c r="D6" i="7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D19" i="9"/>
  <c r="C57" i="68" l="1"/>
  <c r="C56" i="68" s="1"/>
  <c r="G19" i="9"/>
  <c r="D22" i="9"/>
  <c r="D21" i="9"/>
  <c r="D102" i="9"/>
  <c r="B3" i="68"/>
  <c r="D59" i="9"/>
  <c r="M55" i="9" s="1"/>
  <c r="D20" i="9"/>
  <c r="G21" i="9" l="1"/>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58" i="9" s="1"/>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5" i="9" s="1"/>
  <c r="C77" i="9" s="1"/>
  <c r="C74" i="9" s="1"/>
  <c r="D52" i="9"/>
  <c r="C85" i="9"/>
  <c r="D55" i="9"/>
  <c r="M53" i="9" s="1"/>
  <c r="C93" i="9"/>
  <c r="C86" i="9" s="1"/>
  <c r="C64" i="9"/>
  <c r="C63" i="9" s="1"/>
  <c r="C67" i="9" s="1"/>
  <c r="C68" i="9" s="1"/>
  <c r="D54" i="9" s="1"/>
  <c r="D48" i="9" s="1"/>
  <c r="M52" i="9" s="1"/>
  <c r="C78" i="9"/>
  <c r="D6" i="53"/>
  <c r="B22" i="72" s="1"/>
  <c r="B20" i="72"/>
  <c r="G14" i="74"/>
  <c r="B6" i="74" s="1"/>
  <c r="F14" i="74"/>
  <c r="B5" i="74"/>
  <c r="E14" i="74"/>
  <c r="C95" i="9" l="1"/>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C81" i="9"/>
  <c r="M69" i="9"/>
  <c r="N69" i="9" s="1"/>
  <c r="C96" i="9"/>
  <c r="E96" i="9" s="1"/>
  <c r="E97" i="9" s="1"/>
  <c r="C97" i="9" l="1"/>
  <c r="D56" i="9" s="1"/>
  <c r="M54" i="9" s="1"/>
  <c r="N57" i="9" s="1"/>
  <c r="P57" i="9" l="1"/>
  <c r="N59" i="9"/>
  <c r="N58" i="9"/>
  <c r="J19" i="9" l="1"/>
  <c r="P37" i="9"/>
  <c r="P38" i="9" s="1"/>
  <c r="P39"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<sst xmlns="http://schemas.openxmlformats.org/spreadsheetml/2006/main" count="11571" uniqueCount="4586">
  <si>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</si>
  <si>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</si>
  <si>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</si>
  <si>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</si>
  <si>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</si>
  <si>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</si>
  <si>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</si>
  <si>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</si>
  <si>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</si>
  <si>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</si>
  <si>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</si>
  <si>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</si>
  <si>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</si>
  <si>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</si>
  <si>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</si>
  <si>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</si>
  <si>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</si>
  <si>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</si>
  <si>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</si>
  <si>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</si>
  <si>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</si>
  <si>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</si>
  <si>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</si>
  <si>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</si>
  <si>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</si>
  <si>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</si>
  <si>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</si>
  <si>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</si>
  <si>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</si>
  <si>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</si>
  <si>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</si>
  <si>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</si>
  <si>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</si>
  <si>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</si>
  <si>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</si>
  <si>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</si>
  <si>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</si>
  <si>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</si>
  <si>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</si>
  <si>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</si>
  <si>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</si>
  <si>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</si>
  <si>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</si>
  <si>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</si>
  <si>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</si>
  <si>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</si>
  <si>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</si>
  <si>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</si>
  <si>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</si>
  <si>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</si>
  <si>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</si>
  <si>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</si>
  <si>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</si>
  <si>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</si>
  <si>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</si>
  <si>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</si>
  <si>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</si>
  <si>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</si>
  <si>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</si>
  <si>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</si>
  <si>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</si>
  <si>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</si>
  <si>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</si>
  <si>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</si>
  <si>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</si>
  <si>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</si>
  <si>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</si>
  <si>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</si>
  <si>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</si>
  <si>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</si>
  <si>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</si>
  <si>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</si>
  <si>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</si>
  <si>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</si>
  <si>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</si>
  <si>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</si>
  <si>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</si>
  <si>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</si>
  <si>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</si>
  <si>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</si>
  <si>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</si>
  <si>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</si>
  <si>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</si>
  <si>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</si>
  <si>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</si>
  <si>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</si>
  <si>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</si>
  <si>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</si>
  <si>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</si>
  <si>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</si>
  <si>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</si>
  <si>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</si>
  <si>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</si>
  <si>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</si>
  <si>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</si>
  <si>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</si>
  <si>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</si>
  <si>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</si>
  <si>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</si>
  <si>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</si>
  <si>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</si>
  <si>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</si>
  <si>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</si>
  <si>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</si>
  <si>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</si>
  <si>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</si>
  <si>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</si>
  <si>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</si>
  <si>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</si>
  <si>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</si>
  <si>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</si>
  <si>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</si>
  <si>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</si>
  <si>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</si>
  <si>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</si>
  <si>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</si>
  <si>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</si>
  <si>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</si>
  <si>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</si>
  <si>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</si>
  <si>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</si>
  <si>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</si>
  <si>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</si>
  <si>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</si>
  <si>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</si>
  <si>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</si>
  <si>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</si>
  <si>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</si>
  <si>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</si>
  <si>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</si>
  <si>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</si>
  <si>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</si>
  <si>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</si>
  <si>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</si>
  <si>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</si>
  <si>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</si>
  <si>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</si>
  <si>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</si>
  <si>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</si>
  <si>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</si>
  <si>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</si>
  <si>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</si>
  <si>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</si>
  <si>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</si>
  <si>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</si>
  <si>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</si>
  <si>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</si>
  <si>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</si>
  <si>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</si>
  <si>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</si>
  <si>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</si>
  <si>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</si>
  <si>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</si>
  <si>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</si>
  <si>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</si>
  <si>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</si>
  <si>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</si>
  <si>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</si>
  <si>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</si>
  <si>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</si>
  <si>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</si>
  <si>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</si>
  <si>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</si>
  <si>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</si>
  <si>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</si>
  <si>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</si>
  <si>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</si>
  <si>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</si>
  <si>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</si>
  <si>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</si>
  <si>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</si>
  <si>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</si>
  <si>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</si>
  <si>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</si>
  <si>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</si>
  <si>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</si>
  <si>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</si>
  <si>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</si>
  <si>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</si>
  <si>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</si>
  <si>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</si>
  <si>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</si>
  <si>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</si>
  <si>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</si>
  <si>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</si>
  <si>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</si>
  <si>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</si>
  <si>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</si>
  <si>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</si>
  <si>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</si>
  <si>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</si>
  <si>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</si>
  <si>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</si>
  <si>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</si>
  <si>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</si>
  <si>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</si>
  <si>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</si>
  <si>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</si>
  <si>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</si>
  <si>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</si>
  <si>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</si>
  <si>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</si>
  <si>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</si>
  <si>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</si>
  <si>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</si>
  <si>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</si>
  <si>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</si>
  <si>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</si>
  <si>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</si>
  <si>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</si>
  <si>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</si>
  <si>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</si>
  <si>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</si>
  <si>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</si>
  <si>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</si>
  <si>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</si>
  <si>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</si>
  <si>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</si>
  <si>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</si>
  <si>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</si>
  <si>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</si>
  <si>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</si>
  <si>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</si>
  <si>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</si>
  <si>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</si>
  <si>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</si>
  <si>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</si>
  <si>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</si>
  <si>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</si>
  <si>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</si>
  <si>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</si>
  <si>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</si>
  <si>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</si>
  <si>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</si>
  <si>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</si>
  <si>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</si>
  <si>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</si>
  <si>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</si>
  <si>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</si>
  <si>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</si>
  <si>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</si>
  <si>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</si>
  <si>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</si>
  <si>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</si>
  <si>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</si>
  <si>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</si>
  <si>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</si>
  <si>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</si>
  <si>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</si>
  <si>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</si>
  <si>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</si>
  <si>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</si>
  <si>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</si>
  <si>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</si>
  <si>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</si>
  <si>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</si>
  <si>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</si>
  <si>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</si>
  <si>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</si>
  <si>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</si>
  <si>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</si>
  <si>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</si>
  <si>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</si>
  <si>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</si>
  <si>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</si>
  <si>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</si>
  <si>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</si>
  <si>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</si>
  <si>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</si>
  <si>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</si>
  <si>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</si>
  <si>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</si>
  <si>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</si>
  <si>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</si>
  <si>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</si>
  <si>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</si>
  <si>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</si>
  <si>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</si>
  <si>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</si>
  <si>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</si>
  <si>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</si>
  <si>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</si>
  <si>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</si>
  <si>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</si>
  <si>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</si>
  <si>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</si>
  <si>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</si>
  <si>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</si>
  <si>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</si>
  <si>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</si>
  <si>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</si>
  <si>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</si>
  <si>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</si>
  <si>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</si>
  <si>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</si>
  <si>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</si>
  <si>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</si>
  <si>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</si>
  <si>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</si>
  <si>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</si>
  <si>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</si>
  <si>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</si>
  <si>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</si>
  <si>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</si>
  <si>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</si>
  <si>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</si>
  <si>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</si>
  <si>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</si>
  <si>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</si>
  <si>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</si>
  <si>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</si>
  <si>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</si>
  <si>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</si>
  <si>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</si>
  <si>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</si>
  <si>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</si>
  <si>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</si>
  <si>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</si>
  <si>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</si>
  <si>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</si>
  <si>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</si>
  <si>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</si>
  <si>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</si>
  <si>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</si>
  <si>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</si>
  <si>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</si>
  <si>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</si>
  <si>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</si>
  <si>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</si>
  <si>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</si>
  <si>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</si>
  <si>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</si>
  <si>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</si>
  <si>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</si>
  <si>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</si>
  <si>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</si>
  <si>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</si>
  <si>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</si>
  <si>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</si>
  <si>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</si>
  <si>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</si>
  <si>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</si>
  <si>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</si>
  <si>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</si>
  <si>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</si>
  <si>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</si>
  <si>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</si>
  <si>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</si>
  <si>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</si>
  <si>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</si>
  <si>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</si>
  <si>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</si>
  <si>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</si>
  <si>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</si>
  <si>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</si>
  <si>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</si>
  <si>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</si>
  <si>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</si>
  <si>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</si>
  <si>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</si>
  <si>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</si>
  <si>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</si>
  <si>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</si>
  <si>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</si>
  <si>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</si>
  <si>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</si>
  <si>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</si>
  <si>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</si>
  <si>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</si>
  <si>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</si>
  <si>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</si>
  <si>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</si>
  <si>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</si>
  <si>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</si>
  <si>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</si>
  <si>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</si>
  <si>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</si>
  <si>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</si>
  <si>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</si>
  <si>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</si>
  <si>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</si>
  <si>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</si>
  <si>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</si>
  <si>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</si>
  <si>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</si>
  <si>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</si>
  <si>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</si>
  <si>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</si>
  <si>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</si>
  <si>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</si>
  <si>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</si>
  <si>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</si>
  <si>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</si>
  <si>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</si>
  <si>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</si>
  <si>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</si>
  <si>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</si>
  <si>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</si>
  <si>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</si>
  <si>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</si>
  <si>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</si>
  <si>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</si>
  <si>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</si>
  <si>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</si>
  <si>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</si>
  <si>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</si>
  <si>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</si>
  <si>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</si>
  <si>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</si>
  <si>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</si>
  <si>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</si>
  <si>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</si>
  <si>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</si>
  <si>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</si>
  <si>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</si>
  <si>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</si>
  <si>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</si>
  <si>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</si>
  <si>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</si>
  <si>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</si>
  <si>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</si>
  <si>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</si>
  <si>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</si>
  <si>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</si>
  <si>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</si>
  <si>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</si>
  <si>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</si>
  <si>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</si>
  <si>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</si>
  <si>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</si>
  <si>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</si>
  <si>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</si>
  <si>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</si>
  <si>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</si>
  <si>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</si>
  <si>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</si>
  <si>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</si>
  <si>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</si>
  <si>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</si>
  <si>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</si>
  <si>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</si>
  <si>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</si>
  <si>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</si>
  <si>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</si>
  <si>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</si>
  <si>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</si>
  <si>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</si>
  <si>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</si>
  <si>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</si>
  <si>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</si>
  <si>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</si>
  <si>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</si>
  <si>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</si>
  <si>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</si>
  <si>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</si>
  <si>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</si>
  <si>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</si>
  <si>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</si>
  <si>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</si>
  <si>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</si>
  <si>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</si>
  <si>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</si>
  <si>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</si>
  <si>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</si>
  <si>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</si>
  <si>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</si>
  <si>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</si>
  <si>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</si>
  <si>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</si>
  <si>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</si>
  <si>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</si>
  <si>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</si>
  <si>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</si>
  <si>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</si>
  <si>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</si>
  <si>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</si>
  <si>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</si>
  <si>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</si>
  <si>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</si>
  <si>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</si>
  <si>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</si>
  <si>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</si>
  <si>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</si>
  <si>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</si>
  <si>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</si>
  <si>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</si>
  <si>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</si>
  <si>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</si>
  <si>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</si>
  <si>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</si>
  <si>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</si>
  <si>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</si>
  <si>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</si>
  <si>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</si>
  <si>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</si>
  <si>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</si>
  <si>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</si>
  <si>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</si>
  <si>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</si>
  <si>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</si>
  <si>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</si>
  <si>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</si>
  <si>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</si>
  <si>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</si>
  <si>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</si>
  <si>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</si>
  <si>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</si>
  <si>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</si>
  <si>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</si>
  <si>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</si>
  <si>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</si>
  <si>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</si>
  <si>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</si>
  <si>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</si>
  <si>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</si>
  <si>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</si>
  <si>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</si>
  <si>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</si>
  <si>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</si>
  <si>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</si>
  <si>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</si>
  <si>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</si>
  <si>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</si>
  <si>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</si>
  <si>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</si>
  <si>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</si>
  <si>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</si>
  <si>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</si>
  <si>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</si>
  <si>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</si>
  <si>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</si>
  <si>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</si>
  <si>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</si>
  <si>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</si>
  <si>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</si>
  <si>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</si>
  <si>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</si>
  <si>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</si>
  <si>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</si>
  <si>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</si>
  <si>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</si>
  <si>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</si>
  <si>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</si>
  <si>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</si>
  <si>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</si>
  <si>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</si>
  <si>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</si>
  <si>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</si>
  <si>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</si>
  <si>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</si>
  <si>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</si>
  <si>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</si>
  <si>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</si>
  <si>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</si>
  <si>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</si>
  <si>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</si>
  <si>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</si>
  <si>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</si>
  <si>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</si>
  <si>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</si>
  <si>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</si>
  <si>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</si>
  <si>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</si>
  <si>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</si>
  <si>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</si>
  <si>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</si>
  <si>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</si>
  <si>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</si>
  <si>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</si>
  <si>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</si>
  <si>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</si>
  <si>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</si>
  <si>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</si>
  <si>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</si>
  <si>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</si>
  <si>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</si>
  <si>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</si>
  <si>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</si>
  <si>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</si>
  <si>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</si>
  <si>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</si>
  <si>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</si>
  <si>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</si>
  <si>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</si>
  <si>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</si>
  <si>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</si>
  <si>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</si>
  <si>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</si>
  <si>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</si>
  <si>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</si>
  <si>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</si>
  <si>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</si>
  <si>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</si>
  <si>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</si>
  <si>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</si>
  <si>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</si>
  <si>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</si>
  <si>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</si>
  <si>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</si>
  <si>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</si>
  <si>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</si>
  <si>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</si>
  <si>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</si>
  <si>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</si>
  <si>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</si>
  <si>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</si>
  <si>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</si>
  <si>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</si>
  <si>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</si>
  <si>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</si>
  <si>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</si>
  <si>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</si>
  <si>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</si>
  <si>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</si>
  <si>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</si>
  <si>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</si>
  <si>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</si>
  <si>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</si>
  <si>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</si>
  <si>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</si>
  <si>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</si>
  <si>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</si>
  <si>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</si>
  <si>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</si>
  <si>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</si>
  <si>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</si>
  <si>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</si>
  <si>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</si>
  <si>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</si>
  <si>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</si>
  <si>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</si>
  <si>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</si>
  <si>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</si>
  <si>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</si>
  <si>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</si>
  <si>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</si>
  <si>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</si>
  <si>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</si>
  <si>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</si>
  <si>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</si>
  <si>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</si>
  <si>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</si>
  <si>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</si>
  <si>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</si>
  <si>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</si>
  <si>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</si>
  <si>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</si>
  <si>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</si>
  <si>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</si>
  <si>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</si>
  <si>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</si>
  <si>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</si>
  <si>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</si>
  <si>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</si>
  <si>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</si>
  <si>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</si>
  <si>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</si>
  <si>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</si>
  <si>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</si>
  <si>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</si>
  <si>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</si>
  <si>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</si>
  <si>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</si>
  <si>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</si>
  <si>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</si>
  <si>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</si>
  <si>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</si>
  <si>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</si>
  <si>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</si>
  <si>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</si>
  <si>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</si>
  <si>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</si>
  <si>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</si>
  <si>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</si>
  <si>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</si>
  <si>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</si>
  <si>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</si>
  <si>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</si>
  <si>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</si>
  <si>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</si>
  <si>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</si>
  <si>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</si>
  <si>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</si>
  <si>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</si>
  <si>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</si>
  <si>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</si>
  <si>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</si>
  <si>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</si>
  <si>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</si>
  <si>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</si>
  <si>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</si>
  <si>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</si>
  <si>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</si>
  <si>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</si>
  <si>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</si>
  <si>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</si>
  <si>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</si>
  <si>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</si>
  <si>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</si>
  <si>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</si>
  <si>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</si>
  <si>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</si>
  <si>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</si>
  <si>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</si>
  <si>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</si>
  <si>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</si>
  <si>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</si>
  <si>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</si>
  <si>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</si>
  <si>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</si>
  <si>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</si>
  <si>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</si>
  <si>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</si>
  <si>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</si>
  <si>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</si>
  <si>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</si>
  <si>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</si>
  <si>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</si>
  <si>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</si>
  <si>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</si>
  <si>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</si>
  <si>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</si>
  <si>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</si>
  <si>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</si>
  <si>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</si>
  <si>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</si>
  <si>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</si>
  <si>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</si>
  <si>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</si>
  <si>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</si>
  <si>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</si>
  <si>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</si>
  <si>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</si>
  <si>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</si>
  <si>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</si>
  <si>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</si>
  <si>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</si>
  <si>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</si>
  <si>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</si>
  <si>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</si>
  <si>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</si>
  <si>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</si>
  <si>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</si>
  <si>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</si>
  <si>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</si>
  <si>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</si>
  <si>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</si>
  <si>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</si>
  <si>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</si>
  <si>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</si>
  <si>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</si>
  <si>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</si>
  <si>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</si>
  <si>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</si>
  <si>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</si>
  <si>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</si>
  <si>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</si>
  <si>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</si>
  <si>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</si>
  <si>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</si>
  <si>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</si>
  <si>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</si>
  <si>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</si>
  <si>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</si>
  <si>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</si>
  <si>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</si>
  <si>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</si>
  <si>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</si>
  <si>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</si>
  <si>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</si>
  <si>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</si>
  <si>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</si>
  <si>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</si>
  <si>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</si>
  <si>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</si>
  <si>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</si>
  <si>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</si>
  <si>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</si>
  <si>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</si>
  <si>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</si>
  <si>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</si>
  <si>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</si>
  <si>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</si>
  <si>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</si>
  <si>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</si>
  <si>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</si>
  <si>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</si>
  <si>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</si>
  <si>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</si>
  <si>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</si>
  <si>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</si>
  <si>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</si>
  <si>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</si>
  <si>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</si>
  <si>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</si>
  <si>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</si>
  <si>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</si>
  <si>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</si>
  <si>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</si>
  <si>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</si>
  <si>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</si>
  <si>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</si>
  <si>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</si>
  <si>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</si>
  <si>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</si>
  <si>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</si>
  <si>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</si>
  <si>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</si>
  <si>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</si>
  <si>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</si>
  <si>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</si>
  <si>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</si>
  <si>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</si>
  <si>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</si>
  <si>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</si>
  <si>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</si>
  <si>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</si>
  <si>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</si>
  <si>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</si>
  <si>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</si>
  <si>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</si>
  <si>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</si>
  <si>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</si>
  <si>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</si>
  <si>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</si>
  <si>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</si>
  <si>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</si>
  <si>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</si>
  <si>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</si>
  <si>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</si>
  <si>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</si>
  <si>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</si>
  <si>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</si>
  <si>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</si>
  <si>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</si>
  <si>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</si>
  <si>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</si>
  <si>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</si>
  <si>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</si>
  <si>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</si>
  <si>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</si>
  <si>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</si>
  <si>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</si>
  <si>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</si>
  <si>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</si>
  <si>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</si>
  <si>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</si>
  <si>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</si>
  <si>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</si>
  <si>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</si>
  <si>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</si>
  <si>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</si>
  <si>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</si>
  <si>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</si>
  <si>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</si>
  <si>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</si>
  <si>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</si>
  <si>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</si>
  <si>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</si>
  <si>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</si>
  <si>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</si>
  <si>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</si>
  <si>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</si>
  <si>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</si>
  <si>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</si>
  <si>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</si>
  <si>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</si>
  <si>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</si>
  <si>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</si>
  <si>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</si>
  <si>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</si>
  <si>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</si>
  <si>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</si>
  <si>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</si>
  <si>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</si>
  <si>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</si>
  <si>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</si>
  <si>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</si>
  <si>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</si>
  <si>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</si>
  <si>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</si>
  <si>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</si>
  <si>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</si>
  <si>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</si>
  <si>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</si>
  <si>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</si>
  <si>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</si>
  <si>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</si>
  <si>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</si>
  <si>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</si>
  <si>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</si>
  <si>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</si>
  <si>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</si>
  <si>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</si>
  <si>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</si>
  <si>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</si>
  <si>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</si>
  <si>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</si>
  <si>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</si>
  <si>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</si>
  <si>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</si>
  <si>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</si>
  <si>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</si>
  <si>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</si>
  <si>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</si>
  <si>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</si>
  <si>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</si>
  <si>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</si>
  <si>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</si>
  <si>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</si>
  <si>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</si>
  <si>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</si>
  <si>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</si>
  <si>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</si>
  <si>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</si>
  <si>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</si>
  <si>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</si>
  <si>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</si>
  <si>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</si>
  <si>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</si>
  <si>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</si>
  <si>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</si>
  <si>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</si>
  <si>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</si>
  <si>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</si>
  <si>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</si>
  <si>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</si>
  <si>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</si>
  <si>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</si>
  <si>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</si>
  <si>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</si>
  <si>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</si>
  <si>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</si>
  <si>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</si>
  <si>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</si>
  <si>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</si>
  <si>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</si>
  <si>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</si>
  <si>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</si>
  <si>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</si>
  <si>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</si>
  <si>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</si>
  <si>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</si>
  <si>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</si>
  <si>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</si>
  <si>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</si>
  <si>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</si>
  <si>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</si>
  <si>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</si>
  <si>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</si>
  <si>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</si>
  <si>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</si>
  <si>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</si>
  <si>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</si>
  <si>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</si>
  <si>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</si>
  <si>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</si>
  <si>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</si>
  <si>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</si>
  <si>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</si>
  <si>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</si>
  <si>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</si>
  <si>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</si>
  <si>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</si>
  <si>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</si>
  <si>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</si>
  <si>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</si>
  <si>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</si>
  <si>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</si>
  <si>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</si>
  <si>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</si>
  <si>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</si>
  <si>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</si>
  <si>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</si>
  <si>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</si>
  <si>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</si>
  <si>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</si>
  <si>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</si>
  <si>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</si>
  <si>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</si>
  <si>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</si>
  <si>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</si>
  <si>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</si>
  <si>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</si>
  <si>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</si>
  <si>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</si>
  <si>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</si>
  <si>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</si>
  <si>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</si>
  <si>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</si>
  <si>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</si>
  <si>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</si>
  <si>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</si>
  <si>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</si>
  <si>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</si>
  <si>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</si>
  <si>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</si>
  <si>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</si>
  <si>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</si>
  <si>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</si>
  <si>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</si>
  <si>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</si>
  <si>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</si>
  <si>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</si>
  <si>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</si>
  <si>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</si>
  <si>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</si>
  <si>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</si>
  <si>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</si>
  <si>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</si>
  <si>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</si>
  <si>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</si>
  <si>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</si>
  <si>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</si>
  <si>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</si>
  <si>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</si>
  <si>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</si>
  <si>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</si>
  <si>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</si>
  <si>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</si>
  <si>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</si>
  <si>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</si>
  <si>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</si>
  <si>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</si>
  <si>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</si>
  <si>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</si>
  <si>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</si>
  <si>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</si>
  <si>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</si>
  <si>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</si>
  <si>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</si>
  <si>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</si>
  <si>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</si>
  <si>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</si>
  <si>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</si>
  <si>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</si>
  <si>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</si>
  <si>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</si>
  <si>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</si>
  <si>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</si>
  <si>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</si>
  <si>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</si>
  <si>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</si>
  <si>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</si>
  <si>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</si>
  <si>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</si>
  <si>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</si>
  <si>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</si>
  <si>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</si>
  <si>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</si>
  <si>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</si>
  <si>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</si>
  <si>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</si>
  <si>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</si>
  <si>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</si>
  <si>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</si>
  <si>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</si>
  <si>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</si>
  <si>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</si>
  <si>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</si>
  <si>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</si>
  <si>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</si>
  <si>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</si>
  <si>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</si>
  <si>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</si>
  <si>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</si>
  <si>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</si>
  <si>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</si>
  <si>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</si>
  <si>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</si>
  <si>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</si>
  <si>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</si>
  <si>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</si>
  <si>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</si>
  <si>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</si>
  <si>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</si>
  <si>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</si>
  <si>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</si>
  <si>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</si>
  <si>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</si>
  <si>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</si>
  <si>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</si>
  <si>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</si>
  <si>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</si>
  <si>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</si>
  <si>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</si>
  <si>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</si>
  <si>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</si>
  <si>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</si>
  <si>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</si>
  <si>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</si>
  <si>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</si>
  <si>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</si>
  <si>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</si>
  <si>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</si>
  <si>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</si>
  <si>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</si>
  <si>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</si>
  <si>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</si>
  <si>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</si>
  <si>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</si>
  <si>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</si>
  <si>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</si>
  <si>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</si>
  <si>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</si>
  <si>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</si>
  <si>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</si>
  <si>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</si>
  <si>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</si>
  <si>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</si>
  <si>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</si>
  <si>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</si>
  <si>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</si>
  <si>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</si>
  <si>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</si>
  <si>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</si>
  <si>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</si>
  <si>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</si>
  <si>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</si>
  <si>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</si>
  <si>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</si>
  <si>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</si>
  <si>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</si>
  <si>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</si>
  <si>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</si>
  <si>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</si>
  <si>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</si>
  <si>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</si>
  <si>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</si>
  <si>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</si>
  <si>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</si>
  <si>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</si>
  <si>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</si>
  <si>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</si>
  <si>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</si>
  <si>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</si>
  <si>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</si>
  <si>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</si>
  <si>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</si>
  <si>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</si>
  <si>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</si>
  <si>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</si>
  <si>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</si>
  <si>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</si>
  <si>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</si>
  <si>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</si>
  <si>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</si>
  <si>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</si>
  <si>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</si>
  <si>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</si>
  <si>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</si>
  <si>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</si>
  <si>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</si>
  <si>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</si>
  <si>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</si>
  <si>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</si>
  <si>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</si>
  <si>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</si>
  <si>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</si>
  <si>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</si>
  <si>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</si>
  <si>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</si>
  <si>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</si>
  <si>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</si>
  <si>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</si>
  <si>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</si>
  <si>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</si>
  <si>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</si>
  <si>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</si>
  <si>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</si>
  <si>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</si>
  <si>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</si>
  <si>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</si>
  <si>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</si>
  <si>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</si>
  <si>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</si>
  <si>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</si>
  <si>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</si>
  <si>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</si>
  <si>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</si>
  <si>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</si>
  <si>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</si>
  <si>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</si>
  <si>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</si>
  <si>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</si>
  <si>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</si>
  <si>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</si>
  <si>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</si>
  <si>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</si>
  <si>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</si>
  <si>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</si>
  <si>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</si>
  <si>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</si>
  <si>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</si>
  <si>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</si>
  <si>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</si>
  <si>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</si>
  <si>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</si>
  <si>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</si>
  <si>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</si>
  <si>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</si>
  <si>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</si>
  <si>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</si>
  <si>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</si>
  <si>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</si>
  <si>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</si>
  <si>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</si>
  <si>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</si>
  <si>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</si>
  <si>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</si>
  <si>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</si>
  <si>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</si>
  <si>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</si>
  <si>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</si>
  <si>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</si>
  <si>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</si>
  <si>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</si>
  <si>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</si>
  <si>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</si>
  <si>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</si>
  <si>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</si>
  <si>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</si>
  <si>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</si>
  <si>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</si>
  <si>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</si>
  <si>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</si>
  <si>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</si>
  <si>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</si>
  <si>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</si>
  <si>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</si>
  <si>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</si>
  <si>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</si>
  <si>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</si>
  <si>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</si>
  <si>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</si>
  <si>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</si>
  <si>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</si>
  <si>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</si>
  <si>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</si>
  <si>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</si>
  <si>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</si>
  <si>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</si>
  <si>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</si>
  <si>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</si>
  <si>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</si>
  <si>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</si>
  <si>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</si>
  <si>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</si>
  <si>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</si>
  <si>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</si>
  <si>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</si>
  <si>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</si>
  <si>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</si>
  <si>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</si>
  <si>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</si>
  <si>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</si>
  <si>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</si>
  <si>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</si>
  <si>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</si>
  <si>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</si>
  <si>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</si>
  <si>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</si>
  <si>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</si>
  <si>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</si>
  <si>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</si>
  <si>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</si>
  <si>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</si>
  <si>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</si>
  <si>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</si>
  <si>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</si>
  <si>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</si>
  <si>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</si>
  <si>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</si>
  <si>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</si>
  <si>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</si>
  <si>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</si>
  <si>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</si>
  <si>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</si>
  <si>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</si>
  <si>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</si>
  <si>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</si>
  <si>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</si>
  <si>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</si>
  <si>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</si>
  <si>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</si>
  <si>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</si>
  <si>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</si>
  <si>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</si>
  <si>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</si>
  <si>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</si>
  <si>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</si>
  <si>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</si>
  <si>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</si>
  <si>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</si>
  <si>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</si>
  <si>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</si>
  <si>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</si>
  <si>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</si>
  <si>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</si>
  <si>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</si>
  <si>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</si>
  <si>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</si>
  <si>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</si>
  <si>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</si>
  <si>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</si>
  <si>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</si>
  <si>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</si>
  <si>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</si>
  <si>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</si>
  <si>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</si>
  <si>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</si>
  <si>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</si>
  <si>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</si>
  <si>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</si>
  <si>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</si>
  <si>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</si>
  <si>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</si>
  <si>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</si>
  <si>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</si>
  <si>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</si>
  <si>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</si>
  <si>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</si>
  <si>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</si>
  <si>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</si>
  <si>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</si>
  <si>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</si>
  <si>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</si>
  <si>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</si>
  <si>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</si>
  <si>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</si>
  <si>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</si>
  <si>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</si>
  <si>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</si>
  <si>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</si>
  <si>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</si>
  <si>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</si>
  <si>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</si>
  <si>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</si>
  <si>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</si>
  <si>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</si>
  <si>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</si>
  <si>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</si>
  <si>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</si>
  <si>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</si>
  <si>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</si>
  <si>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</si>
  <si>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</si>
  <si>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</si>
  <si>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</si>
  <si>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</si>
  <si>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</si>
  <si>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</si>
  <si>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</si>
  <si>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</si>
  <si>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</si>
  <si>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</si>
  <si>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</si>
  <si>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</si>
  <si>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</si>
  <si>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</si>
  <si>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</si>
  <si>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</si>
  <si>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</si>
  <si>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</si>
  <si>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</si>
  <si>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</si>
  <si>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</si>
  <si>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</si>
  <si>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</si>
  <si>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</si>
  <si>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</si>
  <si>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</si>
  <si>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</si>
  <si>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</si>
  <si>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</si>
  <si>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</si>
  <si>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</si>
  <si>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</si>
  <si>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</si>
  <si>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</si>
  <si>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</si>
  <si>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</si>
  <si>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</si>
  <si>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</si>
  <si>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</si>
  <si>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</si>
  <si>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</si>
  <si>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</si>
  <si>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</si>
  <si>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</si>
  <si>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</si>
  <si>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</si>
  <si>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</si>
  <si>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</si>
  <si>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</si>
  <si>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</si>
  <si>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</si>
  <si>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</si>
  <si>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</si>
  <si>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</si>
  <si>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</si>
  <si>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</si>
  <si>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</si>
  <si>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</si>
  <si>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</si>
  <si>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</si>
  <si>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</si>
  <si>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</si>
  <si>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</si>
  <si>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</si>
  <si>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</si>
  <si>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</si>
  <si>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</si>
  <si>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</si>
  <si>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</si>
  <si>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</si>
  <si>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</si>
  <si>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</si>
  <si>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</si>
  <si>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</si>
  <si>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</si>
  <si>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</si>
  <si>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</si>
  <si>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</si>
  <si>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</si>
  <si>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</si>
  <si>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</si>
  <si>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</si>
  <si>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</si>
  <si>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</si>
  <si>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</si>
  <si>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</si>
  <si>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</si>
  <si>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</si>
  <si>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</si>
  <si>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</si>
  <si>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</si>
  <si>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</si>
  <si>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</si>
  <si>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</si>
  <si>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</si>
  <si>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</si>
  <si>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</si>
  <si>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</si>
  <si>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</si>
  <si>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</si>
  <si>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</si>
  <si>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</si>
  <si>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</si>
  <si>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</si>
  <si>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</si>
  <si>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</si>
  <si>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</si>
  <si>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</si>
  <si>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</si>
  <si>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</si>
  <si>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</si>
  <si>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</si>
  <si>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</si>
  <si>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</si>
  <si>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</si>
  <si>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</si>
  <si>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</si>
  <si>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</si>
  <si>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</si>
  <si>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</si>
  <si>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</si>
  <si>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</si>
  <si>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</si>
  <si>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</si>
  <si>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</si>
  <si>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</si>
  <si>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</si>
  <si>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</si>
  <si>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</si>
  <si>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</si>
  <si>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</si>
  <si>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</si>
  <si>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</si>
  <si>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</si>
  <si>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</si>
  <si>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</si>
  <si>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</si>
  <si>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</si>
  <si>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</si>
  <si>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</si>
  <si>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</si>
  <si>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</si>
  <si>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</si>
  <si>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</si>
  <si>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</si>
  <si>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</si>
  <si>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</si>
  <si>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</si>
  <si>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</si>
  <si>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</si>
  <si>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</si>
  <si>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</si>
  <si>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</si>
  <si>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</si>
  <si>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</si>
  <si>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</si>
  <si>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</si>
  <si>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</si>
  <si>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</si>
  <si>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</si>
  <si>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</si>
  <si>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</si>
  <si>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</si>
  <si>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</si>
  <si>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</si>
  <si>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</si>
  <si>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</si>
  <si>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</si>
  <si>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</si>
  <si>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</si>
  <si>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</si>
  <si>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</si>
  <si>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</si>
  <si>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</si>
  <si>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</si>
  <si>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</si>
  <si>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</si>
  <si>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</si>
  <si>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</si>
  <si>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</si>
  <si>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</si>
  <si>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</si>
  <si>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</si>
  <si>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</si>
  <si>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</si>
  <si>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</si>
  <si>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</si>
  <si>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</si>
  <si>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</si>
  <si>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</si>
  <si>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</si>
  <si>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</si>
  <si>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</si>
  <si>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</si>
  <si>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</si>
  <si>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</si>
  <si>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</si>
  <si>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</si>
  <si>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</si>
  <si>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</si>
  <si>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</si>
  <si>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</si>
  <si>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</si>
  <si>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</si>
  <si>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</si>
  <si>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</si>
  <si>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</si>
  <si>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</si>
  <si>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</si>
  <si>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</si>
  <si>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</si>
  <si>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</si>
  <si>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</si>
  <si>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</si>
  <si>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</si>
  <si>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</si>
  <si>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</si>
  <si>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</si>
  <si>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</si>
  <si>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</si>
  <si>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</si>
  <si>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</si>
  <si>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</si>
  <si>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</si>
  <si>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</si>
  <si>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</si>
  <si>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</si>
  <si>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</si>
  <si>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</si>
  <si>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</si>
  <si>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</si>
  <si>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</si>
  <si>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</si>
  <si>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</si>
  <si>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</si>
  <si>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</si>
  <si>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</si>
  <si>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</si>
  <si>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</si>
  <si>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</si>
  <si>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</si>
  <si>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</si>
  <si>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</si>
  <si>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</si>
  <si>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</si>
  <si>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</si>
  <si>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</si>
  <si>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</si>
  <si>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</si>
  <si>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</si>
  <si>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</si>
  <si>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</si>
  <si>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</si>
  <si>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</si>
  <si>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</si>
  <si>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</si>
  <si>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</si>
  <si>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</si>
  <si>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</si>
  <si>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</si>
  <si>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</si>
  <si>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</si>
  <si>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</si>
  <si>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</si>
  <si>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</si>
  <si>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</si>
  <si>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</si>
  <si>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</si>
  <si>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</si>
  <si>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</si>
  <si>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</si>
  <si>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</si>
  <si>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</si>
  <si>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</si>
  <si>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</si>
  <si>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</si>
  <si>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</si>
  <si>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</si>
  <si>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</si>
  <si>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</si>
  <si>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</si>
  <si>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</si>
  <si>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</si>
  <si>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</si>
  <si>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</si>
  <si>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</si>
  <si>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</si>
  <si>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</si>
  <si>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</si>
  <si>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</si>
  <si>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</si>
  <si>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</si>
  <si>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</si>
  <si>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</si>
  <si>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</si>
  <si>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</si>
  <si>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</si>
  <si>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</si>
  <si>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</si>
  <si>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</si>
  <si>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</si>
  <si>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</si>
  <si>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</si>
  <si>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</si>
  <si>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</si>
  <si>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</si>
  <si>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</si>
  <si>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</si>
  <si>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</si>
  <si>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</si>
  <si>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</si>
  <si>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</si>
  <si>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</si>
  <si>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</si>
  <si>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</si>
  <si>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</si>
  <si>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</si>
  <si>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</si>
  <si>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</si>
  <si>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</si>
  <si>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</si>
  <si>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</si>
  <si>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</si>
  <si>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</si>
  <si>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</si>
  <si>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</si>
  <si>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</si>
  <si>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</si>
  <si>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</si>
  <si>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</si>
  <si>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</si>
  <si>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</si>
  <si>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</si>
  <si>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</si>
  <si>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</si>
  <si>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</si>
  <si>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</si>
  <si>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</si>
  <si>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</si>
  <si>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</si>
  <si>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</si>
  <si>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</si>
  <si>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</si>
  <si>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</si>
  <si>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</si>
  <si>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</si>
  <si>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</si>
  <si>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</si>
  <si>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</si>
  <si>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</si>
  <si>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</si>
  <si>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</si>
  <si>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</si>
  <si>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</si>
  <si>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</si>
  <si>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</si>
  <si>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</si>
  <si>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</si>
  <si>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</si>
  <si>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</si>
  <si>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</si>
  <si>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</si>
  <si>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</si>
  <si>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</si>
  <si>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</si>
  <si>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</si>
  <si>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</si>
  <si>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</si>
  <si>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</si>
  <si>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</si>
  <si>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</si>
  <si>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</si>
  <si>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</si>
  <si>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</si>
  <si>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</si>
  <si>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</si>
  <si>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</si>
  <si>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</si>
  <si>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</si>
  <si>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</si>
  <si>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</si>
  <si>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</si>
  <si>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</si>
  <si>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</si>
  <si>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</si>
  <si>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</si>
  <si>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</si>
  <si>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</si>
  <si>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</si>
  <si>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</si>
  <si>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</si>
  <si>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</si>
  <si>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</si>
  <si>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</si>
  <si>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</si>
  <si>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</si>
  <si>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</si>
  <si>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</si>
  <si>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</si>
  <si>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</si>
  <si>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</si>
  <si>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</si>
  <si>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</si>
  <si>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</si>
  <si>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</si>
  <si>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</si>
  <si>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</si>
  <si>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</si>
  <si>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</si>
  <si>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</si>
  <si>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</si>
  <si>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</si>
  <si>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</si>
  <si>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</si>
  <si>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</si>
  <si>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</si>
  <si>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</si>
  <si>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</si>
  <si>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</si>
  <si>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</si>
  <si>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</si>
  <si>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</si>
  <si>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</si>
  <si>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</si>
  <si>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</si>
  <si>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</si>
  <si>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</si>
  <si>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</si>
  <si>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</si>
  <si>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</si>
  <si>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</si>
  <si>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</si>
  <si>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</si>
  <si>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</si>
  <si>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</si>
  <si>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</si>
  <si>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</si>
  <si>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</si>
  <si>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</si>
  <si>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</si>
  <si>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</si>
  <si>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</si>
  <si>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</si>
  <si>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</si>
  <si>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</si>
  <si>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</si>
  <si>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</si>
  <si>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</si>
  <si>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</si>
  <si>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</si>
  <si>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</si>
  <si>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</si>
  <si>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</si>
  <si>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</si>
  <si>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</si>
  <si>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</si>
  <si>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</si>
  <si>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</si>
  <si>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</si>
  <si>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</si>
  <si>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</si>
  <si>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</si>
  <si>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</si>
  <si>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</si>
  <si>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</si>
  <si>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</si>
  <si>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</si>
  <si>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</si>
  <si>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</si>
  <si>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</si>
  <si>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</si>
  <si>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</si>
  <si>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</si>
  <si>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</si>
  <si>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</si>
  <si>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</si>
  <si>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</si>
  <si>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</si>
  <si>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</si>
  <si>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</si>
  <si>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</si>
  <si>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</si>
  <si>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</si>
  <si>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</si>
  <si>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</si>
  <si>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</si>
  <si>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</si>
  <si>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</si>
  <si>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</si>
  <si>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</si>
  <si>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</si>
  <si>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</si>
  <si>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</si>
  <si>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</si>
  <si>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</si>
  <si>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</si>
  <si>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</si>
  <si>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</si>
  <si>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</si>
  <si>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</si>
  <si>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</si>
  <si>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</si>
  <si>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</si>
  <si>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</si>
  <si>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</si>
  <si>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</si>
  <si>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</si>
  <si>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</si>
  <si>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</si>
  <si>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</si>
  <si>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</si>
  <si>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</si>
  <si>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</si>
  <si>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</si>
  <si>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</si>
  <si>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</si>
  <si>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</si>
  <si>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</si>
  <si>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</si>
  <si>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</si>
  <si>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</si>
  <si>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</si>
  <si>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</si>
  <si>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</si>
  <si>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</si>
  <si>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</si>
  <si>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</si>
  <si>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</si>
  <si>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</si>
  <si>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</si>
  <si>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</si>
  <si>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</si>
  <si>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</si>
  <si>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</si>
  <si>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</si>
  <si>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</si>
  <si>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</si>
  <si>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</si>
  <si>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</si>
  <si>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</si>
  <si>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</si>
  <si>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</si>
  <si>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</si>
  <si>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</si>
  <si>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</si>
  <si>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</si>
  <si>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</si>
  <si>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</si>
  <si>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</si>
  <si>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</si>
  <si>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</si>
  <si>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</si>
  <si>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</si>
  <si>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</si>
  <si>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</si>
  <si>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</si>
  <si>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</si>
  <si>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</si>
  <si>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</si>
  <si>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</si>
  <si>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</si>
  <si>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</si>
  <si>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</si>
  <si>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</si>
  <si>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</si>
  <si>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</si>
  <si>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</si>
  <si>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</si>
  <si>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</si>
  <si>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</si>
  <si>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</si>
  <si>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</si>
  <si>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</si>
  <si>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</si>
  <si>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</si>
  <si>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</si>
  <si>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</si>
  <si>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</si>
  <si>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</si>
  <si>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</si>
  <si>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</si>
  <si>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</si>
  <si>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</si>
  <si>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</si>
  <si>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</si>
  <si>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</si>
  <si>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</si>
  <si>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</si>
  <si>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</si>
  <si>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</si>
  <si>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</si>
  <si>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</si>
  <si>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</si>
  <si>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</si>
  <si>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</si>
  <si>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</si>
  <si>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</si>
  <si>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</si>
  <si>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</si>
  <si>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</si>
  <si>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</si>
  <si>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</si>
  <si>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</si>
  <si>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</si>
  <si>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</si>
  <si>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</si>
  <si>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</si>
  <si>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</si>
  <si>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</si>
  <si>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</si>
  <si>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</si>
  <si>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</si>
  <si>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</si>
  <si>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</si>
  <si>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</si>
  <si>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</si>
  <si>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</si>
  <si>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</si>
  <si>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</si>
  <si>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</si>
  <si>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</si>
  <si>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</si>
  <si>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</si>
  <si>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</si>
  <si>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</si>
  <si>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</si>
  <si>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</si>
  <si>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</si>
  <si>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</si>
  <si>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</si>
  <si>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</si>
  <si>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</si>
  <si>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</si>
  <si>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</si>
  <si>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</si>
  <si>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</si>
  <si>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</si>
  <si>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</si>
  <si>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</si>
  <si>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</si>
  <si>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</si>
  <si>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</si>
  <si>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</si>
  <si>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</si>
  <si>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</si>
  <si>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</si>
  <si>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</si>
  <si>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</si>
  <si>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</si>
  <si>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</si>
  <si>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</si>
  <si>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</si>
  <si>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</si>
  <si>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</si>
  <si>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</si>
  <si>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</si>
  <si>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</si>
  <si>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</si>
  <si>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</si>
  <si>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</si>
  <si>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</si>
  <si>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</si>
  <si>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</si>
  <si>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</si>
  <si>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</si>
  <si>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</si>
  <si>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</si>
  <si>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</si>
  <si>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</si>
  <si>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</si>
  <si>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</si>
  <si>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</si>
  <si>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</si>
  <si>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</si>
  <si>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</si>
  <si>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</si>
  <si>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</si>
  <si>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</si>
  <si>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</si>
  <si>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</si>
  <si>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</si>
  <si>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</si>
  <si>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</si>
  <si>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</si>
  <si>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</si>
  <si>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</si>
  <si>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</si>
  <si>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</si>
  <si>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</si>
  <si>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</si>
  <si>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</si>
  <si>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</si>
  <si>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</si>
  <si>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</si>
  <si>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</si>
  <si>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</si>
  <si>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</si>
  <si>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</si>
  <si>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</si>
  <si>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</si>
  <si>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</si>
  <si>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</si>
  <si>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</si>
  <si>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</si>
  <si>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</si>
  <si>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</si>
  <si>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</si>
  <si>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</si>
  <si>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</si>
  <si>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</si>
  <si>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</si>
  <si>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</si>
  <si>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</si>
  <si>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</si>
  <si>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</si>
  <si>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</si>
  <si>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</si>
  <si>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</si>
  <si>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</si>
  <si>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</si>
  <si>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</si>
  <si>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</si>
  <si>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</si>
  <si>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</si>
  <si>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</si>
  <si>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</si>
  <si>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</si>
  <si>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</si>
  <si>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</si>
  <si>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</si>
  <si>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</si>
  <si>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</si>
  <si>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</si>
  <si>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</si>
  <si>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</si>
  <si>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</si>
  <si>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</si>
  <si>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</si>
  <si>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</si>
  <si>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</si>
  <si>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</si>
  <si>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</si>
  <si>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</si>
  <si>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</si>
  <si>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</si>
  <si>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</si>
  <si>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</si>
  <si>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</si>
  <si>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</si>
  <si>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</si>
  <si>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</si>
  <si>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</si>
  <si>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</si>
  <si>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</si>
  <si>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</si>
  <si>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</si>
  <si>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</si>
  <si>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</si>
  <si>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</si>
  <si>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</si>
  <si>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</si>
  <si>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</si>
  <si>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</si>
  <si>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</si>
  <si>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</si>
  <si>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</si>
  <si>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</si>
  <si>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</si>
  <si>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</si>
  <si>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</si>
  <si>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</si>
  <si>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</si>
  <si>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</si>
  <si>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</si>
  <si>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</si>
  <si>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</si>
  <si>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</si>
  <si>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</si>
  <si>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</si>
  <si>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</si>
  <si>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</si>
  <si>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</si>
  <si>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</si>
  <si>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</si>
  <si>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</si>
  <si>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</si>
  <si>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</si>
  <si>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</si>
  <si>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</si>
  <si>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</si>
  <si>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</si>
  <si>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</si>
  <si>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</si>
  <si>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</si>
  <si>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</si>
  <si>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</si>
  <si>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</si>
  <si>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</si>
  <si>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</si>
  <si>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</si>
  <si>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</si>
  <si>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</si>
  <si>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</si>
  <si>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</si>
  <si>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</si>
  <si>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</si>
  <si>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</si>
  <si>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</si>
  <si>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</si>
  <si>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</si>
  <si>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</si>
  <si>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</si>
  <si>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</si>
  <si>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</si>
  <si>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</si>
  <si>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</si>
  <si>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</si>
  <si>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</si>
  <si>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</si>
  <si>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</si>
  <si>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</si>
  <si>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</si>
  <si>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</si>
  <si>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</si>
  <si>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</si>
  <si>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</si>
  <si>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</si>
  <si>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</si>
  <si>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</si>
  <si>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</si>
  <si>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</si>
  <si>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</si>
  <si>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</si>
  <si>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</si>
  <si>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</si>
  <si>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</si>
  <si>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</si>
  <si>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</si>
  <si>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</si>
  <si>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</si>
  <si>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</si>
  <si>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</si>
  <si>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</si>
  <si>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</si>
  <si>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</si>
  <si>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</si>
  <si>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</si>
  <si>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</si>
  <si>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</si>
  <si>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</si>
  <si>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</si>
  <si>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</si>
  <si>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</si>
  <si>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</si>
  <si>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</si>
  <si>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</si>
  <si>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</si>
  <si>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</si>
  <si>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</si>
  <si>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</si>
  <si>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</si>
  <si>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</si>
  <si>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</si>
  <si>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</si>
  <si>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</si>
  <si>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</si>
  <si>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</si>
  <si>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</si>
  <si>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</si>
  <si>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</si>
  <si>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</si>
  <si>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</si>
  <si>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</si>
  <si>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</si>
  <si>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</si>
  <si>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</si>
  <si>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</si>
  <si>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</si>
  <si>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</si>
  <si>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</si>
  <si>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</si>
  <si>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</si>
  <si>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</si>
  <si>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</si>
  <si>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</si>
  <si>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</si>
  <si>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</si>
  <si>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</si>
  <si>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</si>
  <si>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</si>
  <si>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</si>
  <si>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</si>
  <si>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</si>
  <si>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</si>
  <si>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</si>
  <si>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</si>
  <si>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</si>
  <si>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</si>
  <si>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</si>
  <si>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</si>
  <si>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</si>
  <si>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</si>
  <si>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</si>
  <si>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</si>
  <si>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</si>
  <si>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</si>
  <si>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</si>
  <si>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</si>
  <si>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</si>
  <si>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</si>
  <si>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</si>
  <si>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</si>
  <si>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</si>
  <si>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</si>
  <si>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</si>
  <si>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</si>
  <si>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</si>
  <si>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</si>
  <si>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</si>
  <si>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</si>
  <si>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</si>
  <si>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</si>
  <si>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</si>
  <si>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</si>
  <si>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</si>
  <si>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</si>
  <si>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</si>
  <si>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</si>
  <si>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</si>
  <si>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</si>
  <si>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</si>
  <si>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</si>
  <si>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</si>
  <si>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</si>
  <si>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</si>
  <si>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</si>
  <si>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</si>
  <si>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</si>
  <si>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</si>
  <si>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</si>
  <si>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</si>
  <si>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</si>
  <si>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</si>
  <si>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</si>
  <si>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</si>
  <si>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</si>
  <si>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</si>
  <si>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</si>
  <si>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</si>
  <si>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</si>
  <si>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</si>
  <si>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</si>
  <si>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</si>
  <si>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</si>
  <si>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</si>
  <si>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</si>
  <si>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</si>
  <si>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</si>
  <si>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</si>
  <si>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</si>
  <si>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</si>
  <si>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</si>
  <si>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</si>
  <si>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</si>
  <si>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</si>
  <si>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</si>
  <si>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</si>
  <si>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</si>
  <si>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</si>
  <si>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</si>
  <si>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</si>
  <si>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</si>
  <si>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</si>
  <si>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</si>
  <si>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</si>
  <si>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</si>
  <si>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</si>
  <si>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</si>
  <si>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</si>
  <si>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</si>
  <si>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</si>
  <si>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</si>
  <si>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</si>
  <si>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</si>
  <si>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</si>
  <si>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</si>
  <si>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</si>
  <si>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</si>
  <si>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</si>
  <si>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</si>
  <si>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</si>
  <si>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</si>
  <si>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</si>
  <si>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</si>
  <si>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</si>
  <si>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</si>
  <si>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</si>
  <si>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</si>
  <si>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</si>
  <si>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</si>
  <si>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</si>
  <si>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</si>
  <si>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</si>
  <si>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</si>
  <si>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</si>
  <si>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</si>
  <si>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</si>
  <si>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</si>
  <si>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</si>
  <si>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</si>
  <si>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</si>
  <si>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</si>
  <si>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</si>
  <si>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</si>
  <si>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</si>
  <si>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</si>
  <si>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</si>
  <si>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</si>
  <si>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</si>
  <si>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</si>
  <si>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</si>
  <si>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</si>
  <si>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</si>
  <si>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</si>
  <si>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</si>
  <si>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</si>
  <si>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</si>
  <si>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</si>
  <si>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</si>
  <si>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</si>
  <si>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</si>
  <si>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</si>
  <si>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</si>
  <si>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</si>
  <si>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</si>
  <si>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</si>
  <si>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</si>
  <si>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</si>
  <si>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</si>
  <si>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</si>
  <si>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</si>
  <si>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</si>
  <si>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</si>
  <si>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</si>
  <si>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</si>
  <si>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</si>
  <si>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</si>
  <si>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</si>
  <si>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</si>
  <si>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</si>
  <si>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</si>
  <si>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</si>
  <si>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</si>
  <si>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</si>
  <si>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</si>
  <si>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</si>
  <si>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</si>
  <si>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</si>
  <si>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</si>
  <si>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</si>
  <si>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</si>
  <si>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</si>
  <si>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</si>
  <si>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</si>
  <si>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</si>
  <si>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</si>
  <si>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</si>
  <si>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</si>
  <si>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</si>
  <si>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</si>
  <si>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</si>
  <si>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</si>
  <si>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</si>
  <si>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</si>
  <si>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</si>
  <si>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</si>
  <si>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</si>
  <si>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</si>
  <si>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</si>
  <si>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</si>
  <si>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</si>
  <si>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</si>
  <si>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</si>
  <si>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</si>
  <si>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</si>
  <si>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</si>
  <si>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</si>
  <si>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</si>
  <si>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</si>
  <si>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</si>
  <si>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</si>
  <si>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</si>
  <si>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</si>
  <si>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</si>
  <si>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</si>
  <si>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</si>
  <si>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</si>
  <si>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</si>
  <si>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</si>
  <si>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</si>
  <si>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</si>
  <si>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</si>
  <si>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</si>
  <si>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</si>
  <si>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</si>
  <si>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</si>
  <si>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</si>
  <si>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</si>
  <si>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</si>
  <si>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</si>
  <si>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</si>
  <si>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</si>
  <si>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</si>
  <si>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</si>
  <si>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</si>
  <si>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</si>
  <si>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</si>
  <si>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</si>
  <si>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</si>
  <si>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</si>
  <si>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</si>
  <si>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</si>
  <si>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</si>
  <si>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</si>
  <si>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</si>
  <si>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</si>
  <si>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</si>
  <si>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</si>
  <si>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</si>
  <si>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</si>
  <si>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</si>
  <si>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</si>
  <si>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</si>
  <si>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</si>
  <si>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</si>
  <si>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</si>
  <si>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</si>
  <si>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</si>
  <si>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</si>
  <si>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</si>
  <si>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</si>
  <si>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</si>
  <si>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</si>
  <si>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</si>
  <si>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</si>
  <si>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</si>
  <si>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</si>
  <si>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</si>
  <si>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</si>
  <si>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</si>
  <si>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</si>
  <si>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</si>
  <si>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</si>
  <si>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</si>
  <si>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</si>
  <si>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</si>
  <si>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</si>
  <si>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</si>
  <si>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</si>
  <si>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</si>
  <si>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</si>
  <si>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</si>
  <si>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</si>
  <si>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</si>
  <si>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</si>
  <si>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</si>
  <si>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</si>
  <si>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</si>
  <si>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</si>
  <si>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</si>
  <si>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</si>
  <si>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</si>
  <si>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</si>
  <si>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</si>
  <si>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</si>
  <si>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</si>
  <si>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</si>
  <si>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</si>
  <si>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</si>
  <si>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</si>
  <si>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</si>
  <si>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</si>
  <si>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</si>
  <si>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</si>
  <si>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</si>
  <si>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</si>
  <si>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</si>
  <si>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</si>
  <si>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</si>
  <si>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</si>
  <si>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</si>
  <si>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</si>
  <si>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</si>
  <si>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</si>
  <si>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</si>
  <si>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</si>
  <si>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</si>
  <si>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</si>
  <si>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</si>
  <si>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</si>
  <si>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</si>
  <si>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</si>
  <si>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</si>
  <si>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</si>
  <si>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</si>
  <si>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</si>
  <si>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</si>
  <si>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</si>
  <si>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</si>
  <si>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</si>
  <si>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</si>
  <si>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</si>
  <si>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</si>
  <si>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</si>
  <si>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</si>
  <si>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</si>
  <si>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</si>
  <si>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</si>
  <si>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</si>
  <si>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</si>
  <si>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</si>
  <si>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</si>
  <si>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</si>
  <si>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</si>
  <si>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</si>
  <si>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</si>
  <si>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</si>
  <si>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</si>
  <si>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</si>
  <si>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</si>
  <si>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</si>
  <si>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</si>
  <si>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</si>
  <si>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</si>
  <si>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</si>
  <si>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</si>
  <si>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</si>
  <si>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</si>
  <si>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</si>
  <si>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</si>
  <si>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</si>
  <si>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</si>
  <si>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</si>
  <si>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</si>
  <si>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</si>
  <si>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</si>
  <si>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</si>
  <si>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</si>
  <si>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</si>
  <si>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</si>
  <si>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</si>
  <si>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</si>
  <si>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</si>
  <si>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</si>
  <si>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</si>
  <si>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</si>
  <si>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</si>
  <si>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</si>
  <si>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</si>
  <si>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</si>
  <si>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</si>
  <si>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</si>
  <si>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</si>
  <si>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</si>
  <si>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</si>
  <si>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</si>
  <si>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</si>
  <si>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</si>
  <si>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</si>
  <si>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</si>
  <si>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</si>
  <si>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</si>
  <si>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</si>
  <si>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</si>
  <si>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</si>
  <si>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</si>
  <si>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</si>
  <si>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</si>
  <si>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</si>
  <si>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</si>
  <si>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</si>
  <si>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</si>
  <si>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</si>
  <si>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</si>
  <si>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</si>
  <si>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</si>
  <si>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</si>
  <si>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</si>
  <si>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</si>
  <si>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</si>
  <si>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</si>
  <si>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</si>
  <si>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</si>
  <si>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</si>
  <si>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</si>
  <si>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</si>
  <si>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</si>
  <si>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</si>
  <si>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</si>
  <si>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</si>
  <si>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</si>
  <si>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</si>
  <si>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</si>
  <si>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</si>
  <si>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</si>
  <si>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</si>
  <si>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</si>
  <si>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</si>
  <si>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</si>
  <si>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</si>
  <si>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</si>
  <si>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</si>
  <si>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</si>
  <si>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</si>
  <si>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</si>
  <si>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</si>
  <si>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</si>
  <si>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</si>
  <si>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</si>
  <si>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</si>
  <si>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</si>
  <si>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</si>
  <si>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</si>
  <si>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</si>
  <si>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</si>
  <si>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</si>
  <si>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</si>
  <si>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</si>
  <si>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</si>
  <si>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</si>
  <si>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</si>
  <si>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</si>
  <si>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</si>
  <si>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</si>
  <si>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</si>
  <si>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</si>
  <si>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</si>
  <si>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</si>
  <si>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</si>
  <si>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</si>
  <si>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</si>
  <si>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</si>
  <si>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</si>
  <si>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</si>
  <si>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</si>
  <si>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</si>
  <si>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</si>
  <si>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</si>
  <si>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</si>
  <si>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</si>
  <si>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</si>
  <si>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</si>
  <si>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</si>
  <si>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</si>
  <si>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</si>
  <si>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</si>
  <si>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</si>
  <si>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</si>
  <si>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</si>
  <si>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</si>
  <si>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</si>
  <si>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</si>
  <si>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</si>
  <si>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</si>
  <si>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</si>
  <si>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</si>
  <si>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</si>
  <si>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</si>
  <si>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</si>
  <si>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</si>
  <si>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</si>
  <si>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</si>
  <si>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</si>
  <si>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</si>
  <si>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</si>
  <si>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</si>
  <si>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</si>
  <si>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</si>
  <si>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</si>
  <si>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</si>
  <si>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</si>
  <si>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</si>
  <si>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</si>
  <si>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</si>
  <si>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</si>
  <si>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</si>
  <si>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</si>
  <si>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</si>
  <si>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</si>
  <si>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</si>
  <si>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</si>
  <si>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</si>
  <si>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</si>
  <si>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</si>
  <si>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</si>
  <si>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</si>
  <si>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</si>
  <si>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</si>
  <si>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</si>
  <si>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</si>
  <si>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</si>
  <si>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</si>
  <si>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</si>
  <si>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</si>
  <si>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</si>
  <si>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</si>
  <si>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</si>
  <si>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</si>
  <si>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</si>
  <si>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</si>
  <si>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</si>
  <si>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</si>
  <si>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</si>
  <si>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</si>
  <si>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</si>
  <si>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</si>
  <si>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</si>
  <si>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</si>
  <si>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</si>
  <si>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</si>
  <si>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</si>
  <si>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</si>
  <si>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</si>
  <si>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</si>
  <si>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</si>
  <si>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</si>
  <si>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</si>
  <si>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</si>
  <si>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</si>
  <si>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</si>
  <si>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</si>
  <si>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</si>
  <si>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</si>
  <si>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</si>
  <si>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</si>
  <si>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</si>
  <si>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</si>
  <si>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</si>
  <si>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</si>
  <si>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</si>
  <si>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</si>
  <si>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</si>
  <si>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</si>
  <si>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</si>
  <si>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</si>
  <si>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</si>
  <si>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</si>
  <si>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</si>
  <si>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</si>
  <si>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</si>
  <si>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</si>
  <si>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</si>
  <si>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</si>
  <si>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</si>
  <si>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</si>
  <si>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</si>
  <si>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</si>
  <si>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</si>
  <si>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</si>
  <si>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</si>
  <si>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</si>
  <si>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</si>
  <si>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</si>
  <si>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</si>
  <si>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</si>
  <si>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</si>
  <si>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</si>
  <si>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</si>
  <si>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</si>
  <si>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</si>
  <si>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</si>
  <si>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</si>
  <si>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</si>
  <si>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</si>
  <si>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</si>
  <si>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</si>
  <si>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</si>
  <si>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</si>
  <si>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</si>
  <si>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</si>
  <si>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</si>
  <si>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</si>
  <si>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</si>
  <si>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</si>
  <si>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</si>
  <si>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</si>
  <si>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</si>
  <si>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</si>
  <si>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</si>
  <si>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</si>
  <si>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</si>
  <si>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</si>
  <si>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</si>
  <si>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</si>
  <si>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</si>
  <si>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</si>
  <si>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</si>
  <si>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</si>
  <si>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</si>
  <si>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</si>
  <si>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</si>
  <si>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</si>
  <si>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</si>
  <si>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</si>
  <si>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</si>
  <si>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</si>
  <si>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</si>
  <si>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</si>
  <si>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</si>
  <si>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</si>
  <si>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</si>
  <si>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</si>
  <si>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</si>
  <si>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</si>
  <si>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</si>
  <si>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</si>
  <si>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</si>
  <si>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</si>
  <si>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</si>
  <si>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</si>
  <si>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</si>
  <si>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</si>
  <si>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</si>
  <si>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</si>
  <si>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</si>
  <si>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</si>
  <si>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</si>
  <si>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</si>
  <si>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</si>
  <si>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</si>
  <si>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</si>
  <si>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</si>
  <si>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</si>
  <si>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</si>
  <si>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</si>
  <si>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</si>
  <si>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</si>
  <si>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</si>
  <si>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</si>
  <si>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</si>
  <si>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</si>
  <si>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</si>
  <si>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</si>
  <si>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</si>
  <si>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</si>
  <si>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</si>
  <si>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</si>
  <si>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</si>
  <si>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</si>
  <si>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</si>
  <si>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</si>
  <si>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</si>
  <si>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</si>
  <si>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</si>
  <si>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</si>
  <si>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</si>
  <si>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</si>
  <si>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</si>
  <si>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</si>
  <si>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</si>
  <si>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</si>
  <si>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</si>
  <si>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</si>
  <si>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</si>
  <si>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</si>
  <si>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</si>
  <si>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</si>
  <si>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</si>
  <si>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</si>
  <si>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</si>
  <si>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</si>
  <si>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</si>
  <si>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</si>
  <si>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</si>
  <si>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</si>
  <si>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</si>
  <si>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</si>
  <si>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</si>
  <si>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</si>
  <si>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</si>
  <si>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</si>
  <si>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</si>
  <si>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</si>
  <si>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</si>
  <si>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</si>
  <si>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</si>
  <si>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</si>
  <si>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</si>
  <si>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</si>
  <si>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</si>
  <si>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</si>
  <si>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</si>
  <si>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</si>
  <si>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</si>
  <si>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</si>
  <si>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</si>
  <si>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</si>
  <si>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</si>
  <si>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</si>
  <si>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</si>
  <si>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</si>
  <si>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</si>
  <si>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</si>
  <si>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</si>
  <si>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</si>
  <si>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</si>
  <si>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</si>
  <si>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</si>
  <si>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</si>
  <si>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</si>
  <si>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</si>
  <si>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</si>
  <si>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</si>
  <si>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</si>
  <si>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</si>
  <si>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</si>
  <si>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</si>
  <si>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</si>
  <si>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</si>
  <si>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</si>
  <si>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</si>
  <si>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</si>
  <si>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</si>
  <si>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</si>
  <si>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</si>
  <si>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</si>
  <si>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</si>
  <si>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</si>
  <si>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</si>
  <si>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</si>
  <si>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</si>
  <si>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</si>
  <si>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</si>
  <si>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</si>
  <si>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</si>
  <si>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</si>
  <si>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</si>
  <si>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</si>
  <si>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</si>
  <si>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</si>
  <si>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</si>
  <si>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</si>
  <si>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</si>
  <si>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</si>
  <si>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</si>
  <si>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</si>
  <si>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</si>
  <si>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</si>
  <si>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</si>
  <si>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</si>
  <si>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</si>
  <si>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</si>
  <si>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</si>
  <si>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</si>
  <si>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</si>
  <si>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</si>
  <si>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</si>
  <si>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</si>
  <si>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</si>
  <si>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</si>
  <si>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</si>
  <si>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</si>
  <si>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</si>
  <si>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</si>
  <si>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</si>
  <si>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</si>
  <si>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</si>
  <si>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</si>
  <si>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</si>
  <si>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</si>
  <si>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</si>
  <si>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</si>
  <si>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</si>
  <si>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</si>
  <si>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</si>
  <si>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</si>
  <si>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</si>
  <si>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</si>
  <si>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</si>
  <si>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</si>
  <si>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</si>
  <si>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</si>
  <si>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</si>
  <si>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</si>
  <si>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</si>
  <si>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</si>
  <si>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</si>
  <si>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</si>
  <si>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</si>
  <si>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</si>
  <si>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</si>
  <si>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</si>
  <si>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</si>
  <si>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</si>
  <si>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</si>
  <si>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</si>
  <si>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</si>
  <si>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</si>
  <si>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</si>
  <si>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</si>
  <si>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</si>
  <si>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</si>
  <si>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</si>
  <si>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</si>
  <si>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</si>
  <si>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</si>
  <si>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</si>
  <si>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</si>
  <si>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</si>
  <si>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</si>
  <si>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</si>
  <si>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</si>
  <si>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</si>
  <si>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</si>
  <si>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</si>
  <si>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</si>
  <si>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</si>
  <si>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</si>
  <si>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</si>
  <si>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</si>
  <si>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</si>
  <si>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</si>
  <si>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</si>
  <si>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</si>
  <si>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</si>
  <si>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</si>
  <si>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</si>
  <si>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</si>
  <si>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</si>
  <si>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</si>
  <si>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</si>
  <si>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</si>
  <si>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</si>
  <si>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</si>
  <si>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</si>
  <si>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</si>
  <si>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</si>
  <si>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</si>
  <si>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</si>
  <si>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</si>
  <si>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</si>
  <si>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</si>
  <si>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</si>
  <si>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</si>
  <si>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</si>
  <si>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</si>
  <si>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</si>
  <si>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</si>
  <si>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</si>
  <si>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</si>
  <si>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</si>
  <si>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</si>
  <si>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</si>
  <si>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</si>
  <si>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</si>
  <si>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</si>
  <si>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</si>
  <si>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</si>
  <si>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</si>
  <si>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</si>
  <si>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</si>
  <si>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</si>
  <si>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</si>
  <si>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</si>
  <si>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</si>
  <si>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</si>
  <si>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</si>
  <si>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</si>
  <si>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</si>
  <si>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</si>
  <si>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</si>
  <si>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</si>
  <si>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</si>
  <si>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</si>
  <si>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</si>
  <si>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</si>
  <si>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</si>
  <si>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</si>
  <si>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</si>
  <si>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</si>
  <si>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</si>
  <si>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</si>
  <si>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</si>
  <si>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</si>
  <si>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</si>
  <si>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</si>
  <si>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</si>
  <si>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</si>
  <si>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</si>
  <si>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</si>
  <si>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</si>
  <si>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</si>
  <si>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</si>
  <si>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</si>
  <si>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</si>
  <si>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</si>
  <si>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</si>
  <si>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</si>
  <si>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</si>
  <si>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</si>
  <si>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</si>
  <si>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</si>
  <si>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</si>
  <si>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</si>
  <si>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</si>
  <si>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</si>
  <si>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</si>
  <si>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</si>
  <si>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</si>
  <si>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</si>
  <si>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</si>
  <si>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</si>
  <si>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</si>
  <si>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</si>
  <si>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</si>
  <si>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</si>
  <si>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</si>
  <si>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</si>
  <si>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</si>
  <si>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</si>
  <si>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</si>
  <si>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</si>
  <si>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</si>
  <si>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</si>
  <si>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</si>
  <si>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</si>
  <si>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</si>
  <si>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</si>
  <si>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</si>
  <si>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</si>
  <si>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</si>
  <si>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</si>
  <si>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</si>
  <si>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</si>
  <si>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</si>
  <si>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</si>
  <si>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</si>
  <si>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</si>
  <si>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</si>
  <si>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</si>
  <si>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</si>
  <si>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</si>
  <si>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</si>
  <si>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</si>
  <si>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</si>
  <si>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</si>
  <si>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</si>
  <si>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</si>
  <si>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</si>
  <si>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</si>
  <si>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</si>
  <si>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</si>
  <si>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</si>
  <si>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</si>
  <si>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</si>
  <si>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</si>
  <si>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</si>
  <si>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</si>
  <si>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</si>
  <si>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</si>
  <si>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</si>
  <si>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</si>
  <si>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</si>
  <si>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</si>
  <si>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</si>
  <si>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</si>
  <si>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</si>
  <si>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</si>
  <si>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</si>
  <si>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</si>
  <si>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</si>
  <si>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</si>
  <si>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</si>
  <si>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</si>
  <si>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</si>
  <si>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</si>
  <si>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</si>
  <si>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</si>
  <si>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</si>
  <si>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</si>
  <si>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</si>
  <si>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</si>
  <si>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</si>
  <si>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</si>
  <si>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</si>
  <si>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</si>
  <si>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</si>
  <si>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</si>
  <si>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</si>
  <si>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</si>
  <si>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</si>
  <si>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</si>
  <si>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</si>
  <si>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</si>
  <si>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</si>
  <si>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</si>
  <si>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</si>
  <si>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</si>
  <si>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</si>
  <si>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</si>
  <si>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</si>
  <si>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</si>
  <si>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</si>
  <si>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</si>
  <si>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</si>
  <si>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</si>
  <si>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</si>
  <si>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</si>
  <si>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</si>
  <si>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</si>
  <si>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</si>
  <si>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</si>
  <si>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</si>
  <si>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</si>
  <si>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</si>
  <si>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</si>
  <si>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</si>
  <si>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</si>
  <si>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</si>
  <si>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</si>
  <si>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</si>
  <si>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</si>
  <si>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</si>
  <si>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</si>
  <si>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</si>
  <si>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</si>
  <si>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</si>
  <si>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</si>
  <si>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</si>
  <si>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</si>
  <si>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</si>
  <si>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</si>
  <si>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</si>
  <si>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</si>
  <si>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</si>
  <si>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</si>
  <si>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</si>
  <si>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</si>
  <si>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</si>
  <si>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</si>
  <si>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</si>
  <si>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</si>
  <si>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</si>
  <si>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</si>
  <si>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</si>
  <si>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</si>
  <si>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</si>
  <si>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</si>
  <si>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</si>
  <si>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</si>
  <si>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</si>
  <si>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</si>
  <si>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</si>
  <si>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</si>
  <si>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</si>
  <si>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</si>
  <si>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</si>
  <si>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</si>
  <si>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</si>
  <si>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</si>
  <si>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</si>
  <si>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</si>
  <si>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</si>
  <si>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</si>
  <si>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</si>
  <si>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</si>
  <si>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</si>
  <si>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</si>
  <si>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</si>
  <si>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</si>
  <si>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</si>
  <si>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</si>
  <si>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</si>
  <si>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</si>
  <si>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</si>
  <si>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</si>
  <si>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</si>
  <si>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</si>
  <si>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</si>
  <si>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</si>
  <si>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</si>
  <si>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</si>
  <si>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</si>
  <si>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</si>
  <si>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</si>
  <si>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</si>
  <si>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</si>
  <si>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</si>
  <si>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</si>
  <si>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</si>
  <si>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</si>
  <si>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</si>
  <si>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</si>
  <si>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</si>
  <si>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</si>
  <si>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</si>
  <si>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</si>
  <si>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</si>
  <si>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</si>
  <si>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</si>
  <si>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</si>
  <si>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</si>
  <si>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</si>
  <si>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</si>
  <si>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</si>
  <si>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</si>
  <si>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</si>
  <si>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</si>
  <si>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</si>
  <si>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</si>
  <si>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</si>
  <si>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</si>
  <si>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</si>
  <si>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</si>
  <si>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</si>
  <si>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</si>
  <si>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</si>
  <si>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</si>
  <si>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</si>
  <si>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</si>
  <si>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</si>
  <si>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</si>
  <si>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</si>
  <si>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</si>
  <si>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酒店</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</si>
  <si>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</si>
  <si>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</si>
  <si>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</si>
  <si>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</si>
  <si>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</si>
  <si>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</si>
  <si>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</si>
  <si>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</si>
  <si>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</si>
  <si>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</si>
  <si>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</si>
  <si>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</si>
  <si>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</si>
  <si>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</si>
  <si>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</si>
  <si>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</si>
  <si>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</si>
  <si>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phoneticPr fontId="17" type="noConversion"/>
  </si>
  <si>
    <t>押一</t>
  </si>
  <si>
    <t>钢混</t>
  </si>
  <si>
    <t>非生产用房</t>
  </si>
  <si>
    <t>否</t>
  </si>
  <si>
    <t>自定义</t>
  </si>
  <si>
    <t>较好</t>
  </si>
  <si>
    <t>好</t>
  </si>
  <si>
    <t>总价</t>
  </si>
  <si>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</si>
  <si>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</si>
  <si>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</si>
  <si>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</si>
  <si>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</si>
  <si>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</si>
  <si>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</si>
  <si>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</si>
  <si>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</si>
  <si>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</si>
  <si>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</si>
  <si>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</si>
  <si>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</si>
  <si>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</si>
  <si>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</si>
  <si>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</si>
  <si>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情况4</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</si>
  <si>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</si>
  <si>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</si>
  <si>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</si>
  <si>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</si>
  <si>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</si>
  <si>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</si>
  <si>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</si>
  <si>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</si>
  <si>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</si>
  <si>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</si>
  <si>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</si>
  <si>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</si>
  <si>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</si>
  <si>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</si>
  <si>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</si>
  <si>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</si>
  <si>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</si>
  <si>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</si>
  <si>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</si>
  <si>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</si>
  <si>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</si>
  <si>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海淀区西三环北路89号4层A-01等56套</t>
    <phoneticPr fontId="7" type="noConversion"/>
  </si>
  <si>
    <t>北京外文出版纸张有限公司</t>
    <phoneticPr fontId="7" type="noConversion"/>
  </si>
  <si>
    <t>A-01</t>
    <phoneticPr fontId="4" type="noConversion"/>
  </si>
  <si>
    <t>A-02</t>
  </si>
  <si>
    <t>A-03</t>
  </si>
  <si>
    <t>A-04</t>
  </si>
  <si>
    <t>A-05</t>
  </si>
  <si>
    <t>A-06</t>
  </si>
  <si>
    <t>A-07</t>
  </si>
  <si>
    <t>A-08</t>
  </si>
  <si>
    <t>A-09</t>
  </si>
  <si>
    <t>B-01</t>
    <phoneticPr fontId="4" type="noConversion"/>
  </si>
  <si>
    <t>B-02</t>
  </si>
  <si>
    <t>B-03</t>
  </si>
  <si>
    <t>B-04</t>
  </si>
  <si>
    <t>B-05</t>
  </si>
  <si>
    <t>B-06</t>
  </si>
  <si>
    <t>B-07</t>
  </si>
  <si>
    <t>B-08</t>
  </si>
  <si>
    <t>B-09</t>
  </si>
  <si>
    <t>C-01</t>
    <phoneticPr fontId="4" type="noConversion"/>
  </si>
  <si>
    <t>C-02</t>
    <phoneticPr fontId="4" type="noConversion"/>
  </si>
  <si>
    <t>商业</t>
    <phoneticPr fontId="17" type="noConversion"/>
  </si>
  <si>
    <t>商业</t>
    <phoneticPr fontId="8" type="noConversion"/>
  </si>
  <si>
    <t>面积</t>
    <phoneticPr fontId="134" type="noConversion"/>
  </si>
  <si>
    <t>单价</t>
    <phoneticPr fontId="134" type="noConversion"/>
  </si>
  <si>
    <t>商业</t>
    <phoneticPr fontId="32" type="noConversion"/>
  </si>
  <si>
    <t>酒店</t>
    <phoneticPr fontId="32" type="noConversion"/>
  </si>
  <si>
    <t>楼层修正</t>
  </si>
  <si>
    <t>成本法</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</si>
  <si>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</si>
  <si>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</si>
  <si>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</si>
  <si>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</si>
  <si>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</si>
  <si>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</si>
  <si>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</si>
  <si>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</si>
  <si>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</si>
  <si>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较好</t>
    <phoneticPr fontId="31" type="noConversion"/>
  </si>
  <si>
    <t>六通</t>
  </si>
  <si>
    <t>四通</t>
  </si>
  <si>
    <t>比较法-办公</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</si>
  <si>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</si>
  <si>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</si>
  <si>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</si>
  <si>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</si>
  <si>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</si>
  <si>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</si>
  <si>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</si>
  <si>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</si>
  <si>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</si>
  <si>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</si>
  <si>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</si>
  <si>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</si>
  <si>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</si>
  <si>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</si>
  <si>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</si>
  <si>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</si>
  <si>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</si>
  <si>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</si>
  <si>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</si>
  <si>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</si>
  <si>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</si>
  <si>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</si>
  <si>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</si>
  <si>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</si>
  <si>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</si>
  <si>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</si>
  <si>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</si>
  <si>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</si>
  <si>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</si>
  <si>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</si>
  <si>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</si>
  <si>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</si>
  <si>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</si>
  <si>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</si>
  <si>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</si>
  <si>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</si>
  <si>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</si>
  <si>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</si>
  <si>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</si>
  <si>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</si>
  <si>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phoneticPr fontId="134" type="noConversion"/>
  </si>
  <si>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</si>
  <si>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</si>
  <si>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</si>
  <si>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</si>
  <si>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</si>
  <si>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</si>
  <si>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</si>
  <si>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</si>
  <si>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</si>
  <si>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</si>
  <si>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</si>
  <si>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</si>
  <si>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</si>
  <si>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</si>
  <si>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</si>
  <si>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</si>
  <si>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</si>
  <si>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</si>
  <si>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</si>
  <si>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</si>
  <si>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</si>
  <si>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</si>
  <si>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</si>
  <si>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</si>
  <si>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</si>
  <si>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</si>
  <si>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</si>
  <si>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</si>
  <si>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</si>
  <si>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</si>
  <si>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</si>
  <si>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</si>
  <si>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</si>
  <si>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</si>
  <si>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</si>
  <si>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</si>
  <si>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</si>
  <si>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</si>
  <si>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</si>
  <si>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</si>
  <si>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</si>
  <si>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</si>
  <si>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</si>
  <si>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</si>
  <si>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</si>
  <si>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</si>
  <si>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</si>
  <si>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</si>
  <si>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</si>
  <si>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</si>
  <si>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</si>
  <si>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</si>
  <si>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</si>
  <si>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</si>
  <si>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</si>
  <si>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</si>
  <si>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</si>
  <si>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</si>
  <si>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</si>
  <si>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</si>
  <si>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</si>
  <si>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</si>
  <si>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</si>
  <si>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</si>
  <si>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</si>
  <si>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</si>
  <si>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</si>
  <si>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</si>
  <si>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</si>
  <si>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</si>
  <si>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</si>
  <si>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</si>
  <si>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</si>
  <si>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</si>
  <si>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</si>
  <si>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</si>
  <si>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</si>
  <si>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</si>
  <si>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</si>
  <si>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</si>
  <si>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</si>
  <si>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</si>
  <si>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</si>
  <si>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</si>
  <si>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</si>
  <si>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</si>
  <si>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</si>
  <si>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</si>
  <si>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</si>
  <si>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</si>
  <si>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</si>
  <si>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</si>
  <si>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</si>
  <si>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</si>
  <si>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</si>
  <si>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</si>
  <si>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</si>
  <si>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</si>
  <si>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phoneticPr fontId="134" type="noConversion"/>
  </si>
  <si>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</si>
  <si>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</si>
  <si>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</si>
  <si>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</si>
  <si>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</si>
  <si>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</si>
  <si>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</si>
  <si>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</si>
  <si>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</si>
  <si>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</si>
  <si>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</si>
  <si>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</si>
  <si>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</si>
  <si>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</si>
  <si>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</si>
  <si>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</si>
  <si>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</si>
  <si>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</si>
  <si>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</si>
  <si>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</si>
  <si>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</si>
  <si>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</si>
  <si>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</si>
  <si>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</si>
  <si>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</si>
  <si>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</si>
  <si>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</si>
  <si>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</si>
  <si>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</si>
  <si>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</si>
  <si>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</si>
  <si>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</si>
  <si>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</si>
  <si>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</si>
  <si>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</si>
  <si>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</si>
  <si>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</si>
  <si>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</si>
  <si>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</si>
  <si>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</si>
  <si>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</si>
  <si>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</si>
  <si>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</si>
  <si>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</si>
  <si>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</si>
  <si>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</si>
  <si>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</si>
  <si>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</si>
  <si>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</si>
  <si>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</si>
  <si>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</si>
  <si>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</si>
  <si>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</si>
  <si>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</si>
  <si>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</si>
  <si>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</si>
  <si>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</si>
  <si>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</si>
  <si>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</si>
  <si>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</si>
  <si>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</si>
  <si>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</si>
  <si>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</si>
  <si>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</si>
  <si>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</si>
  <si>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</si>
  <si>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</si>
  <si>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</si>
  <si>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</si>
  <si>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</si>
  <si>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</si>
  <si>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</si>
  <si>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</si>
  <si>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</si>
  <si>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</si>
  <si>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</si>
  <si>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</si>
  <si>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</si>
  <si>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</si>
  <si>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</si>
  <si>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</si>
  <si>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</si>
  <si>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</si>
  <si>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</si>
  <si>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</si>
  <si>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</si>
  <si>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</si>
  <si>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</si>
  <si>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</si>
  <si>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</si>
  <si>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</si>
  <si>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</si>
  <si>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</si>
  <si>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</si>
  <si>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</si>
  <si>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</si>
  <si>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</si>
  <si>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</si>
  <si>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</si>
  <si>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</si>
  <si>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</si>
  <si>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</si>
  <si>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</si>
  <si>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</si>
  <si>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</si>
  <si>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</si>
  <si>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</si>
  <si>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</si>
  <si>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</si>
  <si>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</si>
  <si>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</si>
  <si>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</si>
  <si>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</si>
  <si>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</si>
  <si>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</si>
  <si>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</si>
  <si>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</si>
  <si>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</si>
  <si>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</si>
  <si>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</si>
  <si>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</si>
  <si>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</si>
  <si>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</si>
  <si>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</si>
  <si>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</si>
  <si>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</si>
  <si>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</si>
  <si>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</si>
  <si>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</si>
  <si>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</si>
  <si>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</si>
  <si>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</si>
  <si>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</si>
  <si>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</si>
  <si>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</si>
  <si>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</si>
  <si>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</si>
  <si>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</si>
  <si>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</si>
  <si>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</si>
  <si>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</si>
  <si>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</si>
  <si>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</si>
  <si>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</si>
  <si>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</si>
  <si>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</si>
  <si>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</si>
  <si>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</si>
  <si>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</si>
  <si>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</si>
  <si>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</si>
  <si>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</si>
  <si>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</si>
  <si>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</si>
  <si>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</si>
  <si>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</si>
  <si>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</si>
  <si>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</si>
  <si>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</si>
  <si>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</si>
  <si>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</si>
  <si>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</si>
  <si>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</si>
  <si>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</si>
  <si>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</si>
  <si>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</si>
  <si>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</si>
  <si>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</si>
  <si>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</si>
  <si>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</si>
  <si>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</si>
  <si>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</si>
  <si>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</si>
  <si>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</si>
  <si>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</si>
  <si>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</si>
  <si>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</si>
  <si>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</si>
  <si>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</si>
  <si>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</si>
  <si>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</si>
  <si>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</si>
  <si>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</si>
  <si>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</si>
  <si>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</si>
  <si>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</si>
  <si>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</si>
  <si>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</si>
  <si>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</si>
  <si>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</si>
  <si>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</si>
  <si>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</si>
  <si>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</si>
  <si>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</si>
  <si>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</si>
  <si>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</si>
  <si>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</si>
  <si>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</si>
  <si>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</si>
  <si>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</si>
  <si>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</si>
  <si>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</si>
  <si>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</si>
  <si>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</si>
  <si>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</si>
  <si>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</si>
  <si>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</si>
  <si>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</si>
  <si>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</si>
  <si>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</si>
  <si>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</si>
  <si>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</si>
  <si>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</si>
  <si>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</si>
  <si>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</si>
  <si>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</si>
  <si>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</si>
  <si>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</si>
  <si>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</si>
  <si>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</si>
  <si>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</si>
  <si>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</si>
  <si>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</si>
  <si>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</si>
  <si>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</si>
  <si>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</si>
  <si>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</si>
  <si>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</si>
  <si>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</si>
  <si>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</si>
  <si>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</si>
  <si>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</si>
  <si>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</si>
  <si>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</si>
  <si>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</si>
  <si>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</si>
  <si>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</si>
  <si>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</si>
  <si>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</si>
  <si>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</si>
  <si>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</si>
  <si>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</si>
  <si>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</si>
  <si>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</si>
  <si>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</si>
  <si>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</si>
  <si>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</si>
  <si>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</si>
  <si>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</si>
  <si>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</si>
  <si>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</si>
  <si>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</si>
  <si>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</si>
  <si>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</si>
  <si>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</si>
  <si>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</si>
  <si>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</si>
  <si>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</si>
  <si>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</si>
  <si>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</si>
  <si>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</si>
  <si>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</si>
  <si>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</si>
  <si>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</si>
  <si>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</si>
  <si>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</si>
  <si>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</si>
  <si>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</si>
  <si>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</si>
  <si>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</si>
  <si>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</si>
  <si>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</si>
  <si>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</si>
  <si>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</si>
  <si>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</si>
  <si>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</si>
  <si>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</si>
  <si>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</si>
  <si>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</si>
  <si>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</si>
  <si>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</si>
  <si>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</si>
  <si>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phoneticPr fontId="134" type="noConversion"/>
  </si>
  <si>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</si>
  <si>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</si>
  <si>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</si>
  <si>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</si>
  <si>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</si>
  <si>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</si>
  <si>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</si>
  <si>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</si>
  <si>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</si>
  <si>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</si>
  <si>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</si>
  <si>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</si>
  <si>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</si>
  <si>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</si>
  <si>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</si>
  <si>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</si>
  <si>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</si>
  <si>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</si>
  <si>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</si>
  <si>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</si>
  <si>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</si>
  <si>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</si>
  <si>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</si>
  <si>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</si>
  <si>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</si>
  <si>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</si>
  <si>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</si>
  <si>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</si>
  <si>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</si>
  <si>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</si>
  <si>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</si>
  <si>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</si>
  <si>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</si>
  <si>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</si>
  <si>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</si>
  <si>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</si>
  <si>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</si>
  <si>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</si>
  <si>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</si>
  <si>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</si>
  <si>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</si>
  <si>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</si>
  <si>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</si>
  <si>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</si>
  <si>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</si>
  <si>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</si>
  <si>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</si>
  <si>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</si>
  <si>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</si>
  <si>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</si>
  <si>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</si>
  <si>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</si>
  <si>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</si>
  <si>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</si>
  <si>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</si>
  <si>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</si>
  <si>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</si>
  <si>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</si>
  <si>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</si>
  <si>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</si>
  <si>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</si>
  <si>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</si>
  <si>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</si>
  <si>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</si>
  <si>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</si>
  <si>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</si>
  <si>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</si>
  <si>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</si>
  <si>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</si>
  <si>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</si>
  <si>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</si>
  <si>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</si>
  <si>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</si>
  <si>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</si>
  <si>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</si>
  <si>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</si>
  <si>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</si>
  <si>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</si>
  <si>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</si>
  <si>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</si>
  <si>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</si>
  <si>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</si>
  <si>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</si>
  <si>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</si>
  <si>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</si>
  <si>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</si>
  <si>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</si>
  <si>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</si>
  <si>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</si>
  <si>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</si>
  <si>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</si>
  <si>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</si>
  <si>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</si>
  <si>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</si>
  <si>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</si>
  <si>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</si>
  <si>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</si>
  <si>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</si>
  <si>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</si>
  <si>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</si>
  <si>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</si>
  <si>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</si>
  <si>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</si>
  <si>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</si>
  <si>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</si>
  <si>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</si>
  <si>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</si>
  <si>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</si>
  <si>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</si>
  <si>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</si>
  <si>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</si>
  <si>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</si>
  <si>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</si>
  <si>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</si>
  <si>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</si>
  <si>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</si>
  <si>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</si>
  <si>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</si>
  <si>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</si>
  <si>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</si>
  <si>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</si>
  <si>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</si>
  <si>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</si>
  <si>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</si>
  <si>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</si>
  <si>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</si>
  <si>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</si>
  <si>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</si>
  <si>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</si>
  <si>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</si>
  <si>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</si>
  <si>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</si>
  <si>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</si>
  <si>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</si>
  <si>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</si>
  <si>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</si>
  <si>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</si>
  <si>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</si>
  <si>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</si>
  <si>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</si>
  <si>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</si>
  <si>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</si>
  <si>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</si>
  <si>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</si>
  <si>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</si>
  <si>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</si>
  <si>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</si>
  <si>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</si>
  <si>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</si>
  <si>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</si>
  <si>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</si>
  <si>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</si>
  <si>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</si>
  <si>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</si>
  <si>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</si>
  <si>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</si>
  <si>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</si>
  <si>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</si>
  <si>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</si>
  <si>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</si>
  <si>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</si>
  <si>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</si>
  <si>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</si>
  <si>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</si>
  <si>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</si>
  <si>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</si>
  <si>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</si>
  <si>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</si>
  <si>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</si>
  <si>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</si>
  <si>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</si>
  <si>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</si>
  <si>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</si>
  <si>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</si>
  <si>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</si>
  <si>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</si>
  <si>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</si>
  <si>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</si>
  <si>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</si>
  <si>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</si>
  <si>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</si>
  <si>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</si>
  <si>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</si>
  <si>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</si>
  <si>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</si>
  <si>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</si>
  <si>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</si>
  <si>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</si>
  <si>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</si>
  <si>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</si>
  <si>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</si>
  <si>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</si>
  <si>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</si>
  <si>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</si>
  <si>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</si>
  <si>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</si>
  <si>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</si>
  <si>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</si>
  <si>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</si>
  <si>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</si>
  <si>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</si>
  <si>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</si>
  <si>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</si>
  <si>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</si>
  <si>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</si>
  <si>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</si>
  <si>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</si>
  <si>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</si>
  <si>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</si>
  <si>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</si>
  <si>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</si>
  <si>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</si>
  <si>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</si>
  <si>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</si>
  <si>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</si>
  <si>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</si>
  <si>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</si>
  <si>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</si>
  <si>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</si>
  <si>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</si>
  <si>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</si>
  <si>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</si>
  <si>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</si>
  <si>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</si>
  <si>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</si>
  <si>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</si>
  <si>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</si>
  <si>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</si>
  <si>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</si>
  <si>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</si>
  <si>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</si>
  <si>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</si>
  <si>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</si>
  <si>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</si>
  <si>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</si>
  <si>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</si>
  <si>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</si>
  <si>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</si>
  <si>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</si>
  <si>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</si>
  <si>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</si>
  <si>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</si>
  <si>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</si>
  <si>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</si>
  <si>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</si>
  <si>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</si>
  <si>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</si>
  <si>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</si>
  <si>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</si>
  <si>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</si>
  <si>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</si>
  <si>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</si>
  <si>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</si>
  <si>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</si>
  <si>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</si>
  <si>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</si>
  <si>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</si>
  <si>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</si>
  <si>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</si>
  <si>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</si>
  <si>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</si>
  <si>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</si>
  <si>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</si>
  <si>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</si>
  <si>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</si>
  <si>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</si>
  <si>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</si>
  <si>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</si>
  <si>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</si>
  <si>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</si>
  <si>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</si>
  <si>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</si>
  <si>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</si>
  <si>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</si>
  <si>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</si>
  <si>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</si>
  <si>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</si>
  <si>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</si>
  <si>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</si>
  <si>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</si>
  <si>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</si>
  <si>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</si>
  <si>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</si>
  <si>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</si>
  <si>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</si>
  <si>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</si>
  <si>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</si>
  <si>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</si>
  <si>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</si>
  <si>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</si>
  <si>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</si>
  <si>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</si>
  <si>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</si>
  <si>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</si>
  <si>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</si>
  <si>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</si>
  <si>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</si>
  <si>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</si>
  <si>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</si>
  <si>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</si>
  <si>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</si>
  <si>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</si>
  <si>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</si>
  <si>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</si>
  <si>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</si>
  <si>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</si>
  <si>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</si>
  <si>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</si>
  <si>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</si>
  <si>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</si>
  <si>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</si>
  <si>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</si>
  <si>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</si>
  <si>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</si>
  <si>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</si>
  <si>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</si>
  <si>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</si>
  <si>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</si>
  <si>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</si>
  <si>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</si>
  <si>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</si>
  <si>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</si>
  <si>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</si>
  <si>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</si>
  <si>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</si>
  <si>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</si>
  <si>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</si>
  <si>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</si>
  <si>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</si>
  <si>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</si>
  <si>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</si>
  <si>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</si>
  <si>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</si>
  <si>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</si>
  <si>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</si>
  <si>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</si>
  <si>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</si>
  <si>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</si>
  <si>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</si>
  <si>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</si>
  <si>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</si>
  <si>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</si>
  <si>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</si>
  <si>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</si>
  <si>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</si>
  <si>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</si>
  <si>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</si>
  <si>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</si>
  <si>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</si>
  <si>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</si>
  <si>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</si>
  <si>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</si>
  <si>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</si>
  <si>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</si>
  <si>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</si>
  <si>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</si>
  <si>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</si>
  <si>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</si>
  <si>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</si>
  <si>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</si>
  <si>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</si>
  <si>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</si>
  <si>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</si>
  <si>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</si>
  <si>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</si>
  <si>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</si>
  <si>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</si>
  <si>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</si>
  <si>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</si>
  <si>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</si>
  <si>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</si>
  <si>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</si>
  <si>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</si>
  <si>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</si>
  <si>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</si>
  <si>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</si>
  <si>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</si>
  <si>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</si>
  <si>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</si>
  <si>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</si>
  <si>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</si>
  <si>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</si>
  <si>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</si>
  <si>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</si>
  <si>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</si>
  <si>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</si>
  <si>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</si>
  <si>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</si>
  <si>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</si>
  <si>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</si>
  <si>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</si>
  <si>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</si>
  <si>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</si>
  <si>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</si>
  <si>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</si>
  <si>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</si>
  <si>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</si>
  <si>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</si>
  <si>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</si>
  <si>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</si>
  <si>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</si>
  <si>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</si>
  <si>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</si>
  <si>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</si>
  <si>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</si>
  <si>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</si>
  <si>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</si>
  <si>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</si>
  <si>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</si>
  <si>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</si>
  <si>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</si>
  <si>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</si>
  <si>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</si>
  <si>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</si>
  <si>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</si>
  <si>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</si>
  <si>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</si>
  <si>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</si>
  <si>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</si>
  <si>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</si>
  <si>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</si>
  <si>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</si>
  <si>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</si>
  <si>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</si>
  <si>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</si>
  <si>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</si>
  <si>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</si>
  <si>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</si>
  <si>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</si>
  <si>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</si>
  <si>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</si>
  <si>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</si>
  <si>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</si>
  <si>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</si>
  <si>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</si>
  <si>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</si>
  <si>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</si>
  <si>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</si>
  <si>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</si>
  <si>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</si>
  <si>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</si>
  <si>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</si>
  <si>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</si>
  <si>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</si>
  <si>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</si>
  <si>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</si>
  <si>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</si>
  <si>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</si>
  <si>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</si>
  <si>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</si>
  <si>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</si>
  <si>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</si>
  <si>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</si>
  <si>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</si>
  <si>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</si>
  <si>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</si>
  <si>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</si>
  <si>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</si>
  <si>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</si>
  <si>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</si>
  <si>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</si>
  <si>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</si>
  <si>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</si>
  <si>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</si>
  <si>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</si>
  <si>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</si>
  <si>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</si>
  <si>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</si>
  <si>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</si>
  <si>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</si>
  <si>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</si>
  <si>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</si>
  <si>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</si>
  <si>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</si>
  <si>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</si>
  <si>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</si>
  <si>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</si>
  <si>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</si>
  <si>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</si>
  <si>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</si>
  <si>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</si>
  <si>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</si>
  <si>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</si>
  <si>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</si>
  <si>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</si>
  <si>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</si>
  <si>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</si>
  <si>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</si>
  <si>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</si>
  <si>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</si>
  <si>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</si>
  <si>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</si>
  <si>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</si>
  <si>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</si>
  <si>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</si>
  <si>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</si>
  <si>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</si>
  <si>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</si>
  <si>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</si>
  <si>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</si>
  <si>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</si>
  <si>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</si>
  <si>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</si>
  <si>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</si>
  <si>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</si>
  <si>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</si>
  <si>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</si>
  <si>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</si>
  <si>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</si>
  <si>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</si>
  <si>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</si>
  <si>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</si>
  <si>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</si>
  <si>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</si>
  <si>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</si>
  <si>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</si>
  <si>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</si>
  <si>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</si>
  <si>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</si>
  <si>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</si>
  <si>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</si>
  <si>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</si>
  <si>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</si>
  <si>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</si>
  <si>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</si>
  <si>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</si>
  <si>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</si>
  <si>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</si>
  <si>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</si>
  <si>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</si>
  <si>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</si>
  <si>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</si>
  <si>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</si>
  <si>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</si>
  <si>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</si>
  <si>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</si>
  <si>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</si>
  <si>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</si>
  <si>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</si>
  <si>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</si>
  <si>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</si>
  <si>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</si>
  <si>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</si>
  <si>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</si>
  <si>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</si>
  <si>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</si>
  <si>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</si>
  <si>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</si>
  <si>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</si>
  <si>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</si>
  <si>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</si>
  <si>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</si>
  <si>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</si>
  <si>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</si>
  <si>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</si>
  <si>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</si>
  <si>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</si>
  <si>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</si>
  <si>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</si>
  <si>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</si>
  <si>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</si>
  <si>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</si>
  <si>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</si>
  <si>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</si>
  <si>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</si>
  <si>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</si>
  <si>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</si>
  <si>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</si>
  <si>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</si>
  <si>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</si>
  <si>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</si>
  <si>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</si>
  <si>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</si>
  <si>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</si>
  <si>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</si>
  <si>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</si>
  <si>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</si>
  <si>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</si>
  <si>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</si>
  <si>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</si>
  <si>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</si>
  <si>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</si>
  <si>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</si>
  <si>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</si>
  <si>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</si>
  <si>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</si>
  <si>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</si>
  <si>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</si>
  <si>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</si>
  <si>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</si>
  <si>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</si>
  <si>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</si>
  <si>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</si>
  <si>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</si>
  <si>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</si>
  <si>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</si>
  <si>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</si>
  <si>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</si>
  <si>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</si>
  <si>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</si>
  <si>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</si>
  <si>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</si>
  <si>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</si>
  <si>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</si>
  <si>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</si>
  <si>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</si>
  <si>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</si>
  <si>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</si>
  <si>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</si>
  <si>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</si>
  <si>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</si>
  <si>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</si>
  <si>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</si>
  <si>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</si>
  <si>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</si>
  <si>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</si>
  <si>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</si>
  <si>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</si>
  <si>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</si>
  <si>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</si>
  <si>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</si>
  <si>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</si>
  <si>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</si>
  <si>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</si>
  <si>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</si>
  <si>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</si>
  <si>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</si>
  <si>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</si>
  <si>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</si>
  <si>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</si>
  <si>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</si>
  <si>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</si>
  <si>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</si>
  <si>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</si>
  <si>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</si>
  <si>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</si>
  <si>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</si>
  <si>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</si>
  <si>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</si>
  <si>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</si>
  <si>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</si>
  <si>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</si>
  <si>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</si>
  <si>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</si>
  <si>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</si>
  <si>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</si>
  <si>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</si>
  <si>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</si>
  <si>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</si>
  <si>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</si>
  <si>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</si>
  <si>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单价</t>
    <phoneticPr fontId="4" type="noConversion"/>
  </si>
  <si>
    <t>金利安</t>
    <phoneticPr fontId="4" type="noConversion"/>
  </si>
  <si>
    <t>杜鸣</t>
    <phoneticPr fontId="4" type="noConversion"/>
  </si>
  <si>
    <t>康正</t>
    <phoneticPr fontId="4" type="noConversion"/>
  </si>
  <si>
    <t>评估值</t>
    <phoneticPr fontId="4" type="noConversion"/>
  </si>
  <si>
    <t>净值</t>
    <phoneticPr fontId="4" type="noConversion"/>
  </si>
  <si>
    <t>净值扣减值</t>
    <phoneticPr fontId="4" type="noConversion"/>
  </si>
  <si>
    <t>净值比例</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</si>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</sst>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微软雅黑"/>
      <family val="2"/>
      <charset val="134"/>
    </font>
    <font>
      <sz val="9"/>
      <name val="Palatino Linotype"/>
      <family val="1"/>
    </font>
    <font>
      <sz val="11"/>
      <color rgb="FFFF0000"/>
      <name val="宋体"/>
      <family val="2"/>
      <charset val="134"/>
      <scheme val="minor"/>
    </font>
    <font>
      <b/>
      <sz val="10"/>
      <color theme="0"/>
      <name val="宋体"/>
      <family val="3"/>
      <charset val="134"/>
    </font>
    <font>
      <sz val="10"/>
      <color theme="0"/>
      <name val="宋体"/>
      <family val="3"/>
      <charset val="134"/>
    </font>
    <font>
      <sz val="10"/>
      <color rgb="FF00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4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4" fillId="0" borderId="0"/>
    <xf numFmtId="0" fontId="96" fillId="0" borderId="0">
      <alignment vertical="center"/>
    </xf>
    <xf numFmtId="0" fontId="221" fillId="0" borderId="0"/>
  </cellStyleXfs>
  <cellXfs count="38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191" fontId="269" fillId="0" borderId="0" xfId="19" applyNumberFormat="1" applyFont="1" applyFill="1" applyBorder="1" applyAlignment="1">
      <alignment horizontal="center" vertical="center"/>
    </xf>
    <xf numFmtId="185" fontId="269" fillId="0" borderId="0" xfId="19" applyNumberFormat="1" applyFont="1" applyFill="1" applyBorder="1" applyAlignment="1">
      <alignment horizontal="center" vertical="center"/>
    </xf>
    <xf numFmtId="191" fontId="269" fillId="0" borderId="0" xfId="19" applyNumberFormat="1" applyFont="1" applyFill="1" applyBorder="1" applyAlignment="1">
      <alignment horizontal="center" vertical="center" wrapText="1"/>
    </xf>
    <xf numFmtId="43" fontId="269" fillId="0" borderId="0" xfId="21" applyFont="1" applyFill="1" applyBorder="1" applyAlignment="1">
      <alignment horizontal="center" vertical="center"/>
    </xf>
    <xf numFmtId="3" fontId="269" fillId="0" borderId="0" xfId="19" applyNumberFormat="1" applyFont="1" applyFill="1" applyBorder="1" applyAlignment="1">
      <alignment horizontal="center" vertical="center"/>
    </xf>
    <xf numFmtId="0" fontId="269" fillId="0" borderId="0" xfId="19" applyNumberFormat="1" applyFont="1" applyFill="1" applyBorder="1" applyAlignment="1">
      <alignment horizontal="center" vertical="center"/>
    </xf>
    <xf numFmtId="43" fontId="269" fillId="0" borderId="0" xfId="22" applyNumberFormat="1" applyFont="1" applyFill="1" applyBorder="1" applyAlignment="1">
      <alignment horizontal="right" vertical="center"/>
    </xf>
    <xf numFmtId="9" fontId="269" fillId="0" borderId="0" xfId="22" applyFont="1" applyFill="1" applyBorder="1" applyAlignment="1">
      <alignment horizontal="center"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0" fontId="272" fillId="22" borderId="176" xfId="44" applyFont="1" applyFill="1" applyBorder="1" applyAlignment="1">
      <alignment vertical="center" wrapText="1"/>
    </xf>
    <xf numFmtId="0" fontId="1" fillId="0" borderId="176" xfId="44" applyBorder="1">
      <alignment vertical="center"/>
    </xf>
    <xf numFmtId="0" fontId="20" fillId="23" borderId="176" xfId="44" applyFont="1" applyFill="1" applyBorder="1" applyAlignment="1">
      <alignment vertical="center" wrapText="1"/>
    </xf>
    <xf numFmtId="31" fontId="20" fillId="23" borderId="176" xfId="44" applyNumberFormat="1" applyFont="1" applyFill="1" applyBorder="1" applyAlignment="1">
      <alignment vertical="center" wrapText="1"/>
    </xf>
    <xf numFmtId="9" fontId="20" fillId="23" borderId="176" xfId="44" applyNumberFormat="1" applyFont="1" applyFill="1" applyBorder="1" applyAlignment="1">
      <alignment vertical="center" wrapText="1"/>
    </xf>
    <xf numFmtId="0" fontId="273" fillId="24" borderId="176" xfId="44" applyFont="1" applyFill="1" applyBorder="1" applyAlignment="1">
      <alignment vertical="center" wrapText="1"/>
    </xf>
    <xf numFmtId="31" fontId="273" fillId="24" borderId="176" xfId="44" applyNumberFormat="1" applyFont="1" applyFill="1" applyBorder="1" applyAlignment="1">
      <alignment vertical="center" wrapText="1"/>
    </xf>
    <xf numFmtId="9" fontId="273" fillId="24" borderId="176" xfId="44" applyNumberFormat="1" applyFont="1" applyFill="1" applyBorder="1" applyAlignment="1">
      <alignment vertical="center" wrapText="1"/>
    </xf>
    <xf numFmtId="0" fontId="20" fillId="9" borderId="176" xfId="44" applyFont="1" applyFill="1" applyBorder="1" applyAlignment="1">
      <alignment vertical="center" wrapText="1"/>
    </xf>
    <xf numFmtId="31" fontId="20" fillId="9" borderId="176" xfId="44" applyNumberFormat="1" applyFont="1" applyFill="1" applyBorder="1" applyAlignment="1">
      <alignment vertical="center" wrapText="1"/>
    </xf>
    <xf numFmtId="9" fontId="20" fillId="9" borderId="176" xfId="44" applyNumberFormat="1" applyFont="1" applyFill="1" applyBorder="1" applyAlignment="1">
      <alignment vertical="center" wrapText="1"/>
    </xf>
    <xf numFmtId="0" fontId="1" fillId="9" borderId="176" xfId="44" applyFill="1" applyBorder="1">
      <alignment vertical="center"/>
    </xf>
    <xf numFmtId="0" fontId="129" fillId="23" borderId="176" xfId="44" applyFont="1" applyFill="1" applyBorder="1" applyAlignment="1">
      <alignment vertical="center" wrapText="1"/>
    </xf>
    <xf numFmtId="31" fontId="129" fillId="23" borderId="176" xfId="44" applyNumberFormat="1" applyFont="1" applyFill="1" applyBorder="1" applyAlignment="1">
      <alignment vertical="center" wrapText="1"/>
    </xf>
    <xf numFmtId="9" fontId="129" fillId="23" borderId="176" xfId="44" applyNumberFormat="1" applyFont="1" applyFill="1" applyBorder="1" applyAlignment="1">
      <alignment vertical="center" wrapText="1"/>
    </xf>
    <xf numFmtId="0" fontId="271" fillId="0" borderId="176" xfId="44" applyFont="1" applyBorder="1">
      <alignment vertical="center"/>
    </xf>
    <xf numFmtId="0" fontId="273" fillId="9" borderId="176" xfId="44" applyFont="1" applyFill="1" applyBorder="1" applyAlignment="1">
      <alignment vertical="center" wrapText="1"/>
    </xf>
    <xf numFmtId="31" fontId="273" fillId="9" borderId="176" xfId="44" applyNumberFormat="1" applyFont="1" applyFill="1" applyBorder="1" applyAlignment="1">
      <alignment vertical="center" wrapText="1"/>
    </xf>
    <xf numFmtId="9" fontId="273" fillId="9" borderId="176" xfId="44" applyNumberFormat="1" applyFont="1" applyFill="1" applyBorder="1" applyAlignment="1">
      <alignment vertical="center" wrapText="1"/>
    </xf>
    <xf numFmtId="0" fontId="129" fillId="5" borderId="176" xfId="44" applyFont="1" applyFill="1" applyBorder="1" applyAlignment="1">
      <alignment vertical="center" wrapText="1"/>
    </xf>
    <xf numFmtId="31" fontId="129" fillId="5" borderId="176" xfId="44" applyNumberFormat="1" applyFont="1" applyFill="1" applyBorder="1" applyAlignment="1">
      <alignment vertical="center" wrapText="1"/>
    </xf>
    <xf numFmtId="9" fontId="129" fillId="5" borderId="176" xfId="44" applyNumberFormat="1" applyFont="1" applyFill="1" applyBorder="1" applyAlignment="1">
      <alignment vertical="center" wrapText="1"/>
    </xf>
    <xf numFmtId="0" fontId="271" fillId="5" borderId="176" xfId="44" applyFont="1" applyFill="1" applyBorder="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20" fillId="25" borderId="176" xfId="44" applyFont="1" applyFill="1" applyBorder="1" applyAlignment="1">
      <alignment vertical="center" wrapText="1"/>
    </xf>
    <xf numFmtId="31" fontId="20" fillId="25" borderId="176" xfId="44" applyNumberFormat="1" applyFont="1" applyFill="1" applyBorder="1" applyAlignment="1">
      <alignment vertical="center" wrapText="1"/>
    </xf>
    <xf numFmtId="9" fontId="20" fillId="25" borderId="176" xfId="44" applyNumberFormat="1" applyFont="1" applyFill="1" applyBorder="1" applyAlignment="1">
      <alignment vertical="center" wrapText="1"/>
    </xf>
    <xf numFmtId="0" fontId="1" fillId="25" borderId="176" xfId="44" applyFill="1" applyBorder="1">
      <alignment vertical="center"/>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5" borderId="5" xfId="0" applyFont="1" applyFill="1" applyBorder="1" applyAlignment="1" applyProtection="1">
      <alignment horizontal="left" vertical="center"/>
    </xf>
  </cellXfs>
  <cellStyles count="49">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399657</xdr:colOff>
      <xdr:row>14</xdr:row>
      <xdr:rowOff>94938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142857" cy="2495238"/>
        </a:xfrm>
        <a:prstGeom prst="rect">
          <a:avLst/>
        </a:prstGeom>
      </xdr:spPr>
    </xdr:pic>
    <xdr:clientData/>
  </xdr:twoCellAnchor>
  <xdr:twoCellAnchor editAs="oneCell">
    <xdr:from>
      <xdr:col>6</xdr:col>
      <xdr:colOff>0</xdr:colOff>
      <xdr:row>0</xdr:row>
      <xdr:rowOff>1</xdr:rowOff>
    </xdr:from>
    <xdr:to>
      <xdr:col>12</xdr:col>
      <xdr:colOff>501805</xdr:colOff>
      <xdr:row>25</xdr:row>
      <xdr:rowOff>95251</xdr:rowOff>
    </xdr:to>
    <xdr:pic>
      <xdr:nvPicPr>
        <xdr:cNvPr id="5" name="图片 4"/>
        <xdr:cNvPicPr>
          <a:picLocks noChangeAspect="1"/>
        </xdr:cNvPicPr>
      </xdr:nvPicPr>
      <xdr:blipFill>
        <a:blip xmlns:r="http://schemas.openxmlformats.org/officeDocument/2006/relationships" r:embed="rId2"/>
        <a:stretch>
          <a:fillRect/>
        </a:stretch>
      </xdr:blipFill>
      <xdr:spPr>
        <a:xfrm>
          <a:off x="4114800" y="1"/>
          <a:ext cx="4616605" cy="438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2485714</xdr:colOff>
      <xdr:row>18</xdr:row>
      <xdr:rowOff>48897</xdr:rowOff>
    </xdr:to>
    <xdr:pic>
      <xdr:nvPicPr>
        <xdr:cNvPr id="2" name="图片 1"/>
        <xdr:cNvPicPr>
          <a:picLocks noChangeAspect="1"/>
        </xdr:cNvPicPr>
      </xdr:nvPicPr>
      <xdr:blipFill>
        <a:blip xmlns:r="http://schemas.openxmlformats.org/officeDocument/2006/relationships" r:embed="rId1"/>
        <a:stretch>
          <a:fillRect/>
        </a:stretch>
      </xdr:blipFill>
      <xdr:spPr>
        <a:xfrm>
          <a:off x="4426324" y="0"/>
          <a:ext cx="2485714" cy="3276191"/>
        </a:xfrm>
        <a:prstGeom prst="rect">
          <a:avLst/>
        </a:prstGeom>
      </xdr:spPr>
    </xdr:pic>
    <xdr:clientData/>
  </xdr:twoCellAnchor>
  <xdr:twoCellAnchor editAs="oneCell">
    <xdr:from>
      <xdr:col>4</xdr:col>
      <xdr:colOff>0</xdr:colOff>
      <xdr:row>19</xdr:row>
      <xdr:rowOff>0</xdr:rowOff>
    </xdr:from>
    <xdr:to>
      <xdr:col>4</xdr:col>
      <xdr:colOff>2523810</xdr:colOff>
      <xdr:row>38</xdr:row>
      <xdr:rowOff>69603</xdr:rowOff>
    </xdr:to>
    <xdr:pic>
      <xdr:nvPicPr>
        <xdr:cNvPr id="3" name="图片 2"/>
        <xdr:cNvPicPr>
          <a:picLocks noChangeAspect="1"/>
        </xdr:cNvPicPr>
      </xdr:nvPicPr>
      <xdr:blipFill>
        <a:blip xmlns:r="http://schemas.openxmlformats.org/officeDocument/2006/relationships" r:embed="rId2"/>
        <a:stretch>
          <a:fillRect/>
        </a:stretch>
      </xdr:blipFill>
      <xdr:spPr>
        <a:xfrm>
          <a:off x="4426324" y="3406588"/>
          <a:ext cx="2523810" cy="3476191"/>
        </a:xfrm>
        <a:prstGeom prst="rect">
          <a:avLst/>
        </a:prstGeom>
      </xdr:spPr>
    </xdr:pic>
    <xdr:clientData/>
  </xdr:twoCellAnchor>
  <xdr:twoCellAnchor editAs="oneCell">
    <xdr:from>
      <xdr:col>5</xdr:col>
      <xdr:colOff>0</xdr:colOff>
      <xdr:row>1</xdr:row>
      <xdr:rowOff>0</xdr:rowOff>
    </xdr:from>
    <xdr:to>
      <xdr:col>7</xdr:col>
      <xdr:colOff>181235</xdr:colOff>
      <xdr:row>26</xdr:row>
      <xdr:rowOff>127171</xdr:rowOff>
    </xdr:to>
    <xdr:pic>
      <xdr:nvPicPr>
        <xdr:cNvPr id="4" name="图片 3"/>
        <xdr:cNvPicPr>
          <a:picLocks noChangeAspect="1"/>
        </xdr:cNvPicPr>
      </xdr:nvPicPr>
      <xdr:blipFill>
        <a:blip xmlns:r="http://schemas.openxmlformats.org/officeDocument/2006/relationships" r:embed="rId3"/>
        <a:stretch>
          <a:fillRect/>
        </a:stretch>
      </xdr:blipFill>
      <xdr:spPr>
        <a:xfrm>
          <a:off x="6970059" y="179294"/>
          <a:ext cx="2400000" cy="4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35810;&#20215;/2023-1-E000752-&#21556;-&#19978;&#19996;&#20844;&#22253;&#37324;/&#27979;&#31639;&#34920;-&#19978;&#19996;&#20844;&#22253;&#37324;-&#25913;&#22823;&#23447;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基准地价修正"/>
      <sheetName val="信息"/>
      <sheetName val="租约汇总"/>
      <sheetName val="租赁形态表 "/>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酒店</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北京市海淀区西三环北路89号4层A-01等56套房地产市场价值预评估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受贵公司委托，我公司对北京市海淀区西三环北路89号4层A-01等56套房地产市场价值进行了预评估。</v>
      </c>
    </row>
    <row r="7" spans="1:2" s="1203" customFormat="1">
      <c r="A7" s="1201" t="s">
        <v>566</v>
      </c>
      <c r="B7" s="1202" t="str">
        <f>'预评函-1'!A7</f>
        <v>估价对象为北京市海淀区西三环北路89号4层A-01等56套房地产，为北京外文出版纸张有限公司所有。根据《国有土地使用证》[]，估价对象（分摊）出让国有建设用地使用权面积为0平方米，建筑面积为13128.45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西三环北路89号4层A-01等56套房地产,属北京外文出版纸张有限公司开发建设的，该项目尚在开发建设中。根据《国有土地使用证》[]，估价对象（分摊）出让国有建设用地使用权面积为0平方米，规划建筑面积为13128.45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2023年12月19日（评估专业人员实地查勘之日）</v>
      </c>
    </row>
    <row r="13" spans="1:2" s="1203" customFormat="1">
      <c r="A13" s="1201" t="s">
        <v>529</v>
      </c>
      <c r="B13" s="1202"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62290</v>
      </c>
    </row>
    <row r="21" spans="1:2" s="1203" customFormat="1">
      <c r="A21" s="1201" t="s">
        <v>537</v>
      </c>
      <c r="B21" s="1202">
        <f ca="1">'预评函-2'!D7</f>
        <v>47447</v>
      </c>
    </row>
    <row r="22" spans="1:2" s="1203" customFormat="1">
      <c r="A22" s="1201" t="s">
        <v>538</v>
      </c>
      <c r="B22" s="1202" t="str">
        <f ca="1">'预评函-2'!D6</f>
        <v>陆亿贰仟贰佰玖拾万元整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62290</v>
      </c>
    </row>
    <row r="31" spans="1:2" s="1203" customFormat="1">
      <c r="A31" s="1201" t="s">
        <v>576</v>
      </c>
      <c r="B31" s="1202">
        <f ca="1">'预评函-2'!D15</f>
        <v>47447</v>
      </c>
    </row>
    <row r="32" spans="1:2" s="1203" customFormat="1">
      <c r="A32" s="1201" t="s">
        <v>543</v>
      </c>
      <c r="B32" s="1202" t="str">
        <f ca="1">'预评函-2'!D14</f>
        <v>陆亿贰仟贰佰玖拾万元整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北京市海淀区西三环北路89号4层A-01等56套房地产</v>
      </c>
    </row>
    <row r="42" spans="1:2" s="1203" customFormat="1">
      <c r="A42" s="1201" t="s">
        <v>590</v>
      </c>
      <c r="B42" s="1202" t="str">
        <f>'预评函-3'!B2</f>
        <v>建筑面积</v>
      </c>
    </row>
    <row r="43" spans="1:2" s="1203" customFormat="1">
      <c r="A43" s="1201" t="s">
        <v>591</v>
      </c>
      <c r="B43" s="1202">
        <f>'预评函-3'!B4</f>
        <v>13128.449999999992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9" sqref="D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2561</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2562</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3387</v>
      </c>
      <c r="C19" s="1547"/>
    </row>
    <row r="20" spans="1:3">
      <c r="A20" s="1546" t="s">
        <v>1048</v>
      </c>
      <c r="B20" s="1546" t="s">
        <v>3388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3457</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4" t="s">
        <v>385</v>
      </c>
      <c r="C54" s="1551" t="s">
        <v>583</v>
      </c>
    </row>
    <row r="55" spans="1:4">
      <c r="A55" s="3537"/>
      <c r="B55" s="1554" t="s">
        <v>386</v>
      </c>
      <c r="C55" s="1551" t="s">
        <v>584</v>
      </c>
    </row>
    <row r="56" spans="1:4">
      <c r="A56" s="3537"/>
      <c r="B56" s="1554" t="s">
        <v>387</v>
      </c>
      <c r="C56" s="1551" t="s">
        <v>588</v>
      </c>
    </row>
    <row r="57" spans="1:4">
      <c r="A57" s="353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2484</v>
      </c>
      <c r="B1" s="2990"/>
      <c r="C1" s="2990"/>
      <c r="D1" s="2990"/>
      <c r="E1" s="2990"/>
      <c r="F1" s="2991"/>
      <c r="I1" s="3413" t="s">
        <v>2577</v>
      </c>
      <c r="J1" s="3202"/>
      <c r="K1" s="3202"/>
      <c r="L1" s="3202"/>
      <c r="M1" s="3202"/>
      <c r="N1" s="3414"/>
      <c r="O1" s="3414"/>
      <c r="P1" s="3414"/>
      <c r="Q1" s="3414"/>
      <c r="R1" s="3414"/>
    </row>
    <row r="2" spans="1:18">
      <c r="A2" s="2993"/>
      <c r="B2" s="2994"/>
      <c r="C2" s="2994"/>
      <c r="D2" s="2994"/>
      <c r="E2" s="2994"/>
      <c r="F2" s="2995"/>
      <c r="I2" s="3538" t="s">
        <v>2564</v>
      </c>
      <c r="J2" s="3538"/>
      <c r="K2" s="3538"/>
      <c r="L2" s="3538"/>
      <c r="M2" s="3538"/>
      <c r="N2" s="3538"/>
      <c r="O2" s="3538"/>
      <c r="P2" s="3538"/>
      <c r="Q2" s="3538"/>
      <c r="R2" s="3538"/>
    </row>
    <row r="3" spans="1:18">
      <c r="A3" s="2996" t="s">
        <v>2485</v>
      </c>
      <c r="B3" s="2997">
        <f>项目基本情况!D3</f>
        <v>45279</v>
      </c>
      <c r="C3" s="2999"/>
      <c r="D3" s="2999"/>
      <c r="E3" s="2999"/>
      <c r="F3" s="2995"/>
      <c r="I3" s="3415"/>
      <c r="J3" s="3415" t="s">
        <v>2568</v>
      </c>
      <c r="K3" s="3415" t="s">
        <v>2569</v>
      </c>
      <c r="L3" s="3415" t="s">
        <v>2570</v>
      </c>
      <c r="M3" s="3415" t="s">
        <v>2571</v>
      </c>
      <c r="N3" s="3416" t="s">
        <v>2572</v>
      </c>
      <c r="O3" s="3416" t="s">
        <v>2573</v>
      </c>
      <c r="P3" s="3416" t="s">
        <v>2574</v>
      </c>
      <c r="Q3" s="3416" t="s">
        <v>2575</v>
      </c>
      <c r="R3" s="3416" t="s">
        <v>2576</v>
      </c>
    </row>
    <row r="4" spans="1:18">
      <c r="A4" s="2996" t="s">
        <v>2486</v>
      </c>
      <c r="B4" s="2999" t="s">
        <v>2487</v>
      </c>
      <c r="C4" s="2999" t="s">
        <v>2488</v>
      </c>
      <c r="D4" s="2999" t="s">
        <v>2489</v>
      </c>
      <c r="E4" s="2999" t="s">
        <v>2490</v>
      </c>
      <c r="F4" s="2995"/>
      <c r="I4" s="3415" t="s">
        <v>2565</v>
      </c>
      <c r="J4" s="3415">
        <v>80</v>
      </c>
      <c r="K4" s="3415">
        <v>70</v>
      </c>
      <c r="L4" s="3415">
        <v>20</v>
      </c>
      <c r="M4" s="3415">
        <v>30</v>
      </c>
      <c r="N4" s="2999">
        <v>45</v>
      </c>
      <c r="O4" s="2999">
        <v>60</v>
      </c>
      <c r="P4" s="2999">
        <v>50</v>
      </c>
      <c r="Q4" s="2999">
        <v>20</v>
      </c>
      <c r="R4" s="2999">
        <v>375</v>
      </c>
    </row>
    <row r="5" spans="1:18">
      <c r="A5" s="3000">
        <v>40</v>
      </c>
      <c r="B5" s="2997">
        <v>46375</v>
      </c>
      <c r="C5" s="2999">
        <f>ROUNDDOWN(MIN((B5-B3)/365,A5),2)</f>
        <v>3</v>
      </c>
      <c r="D5" s="3001">
        <f>IF(ISERROR(ROUND(POWER(1+E5,A5-C5)*(POWER(1+E5,C5)-1)/(POWER(1+E5,A5)-1),3)),0,ROUND(POWER(1+E5,A5-C5)*(POWER(1+E5,C5)-1)/(POWER(1+E5,A5)-1),4))</f>
        <v>0.14019999999999999</v>
      </c>
      <c r="E5" s="3002">
        <v>0.04</v>
      </c>
      <c r="F5" s="2995"/>
      <c r="I5" s="3415" t="s">
        <v>2566</v>
      </c>
      <c r="J5" s="3415">
        <v>70</v>
      </c>
      <c r="K5" s="3415">
        <v>60</v>
      </c>
      <c r="L5" s="3415">
        <v>15</v>
      </c>
      <c r="M5" s="3415">
        <v>25</v>
      </c>
      <c r="N5" s="2999">
        <v>40</v>
      </c>
      <c r="O5" s="2999">
        <v>50</v>
      </c>
      <c r="P5" s="2999">
        <v>40</v>
      </c>
      <c r="Q5" s="2999">
        <v>15</v>
      </c>
      <c r="R5" s="2999">
        <v>315</v>
      </c>
    </row>
    <row r="6" spans="1:18">
      <c r="A6" s="3000">
        <v>50</v>
      </c>
      <c r="B6" s="2997">
        <v>50028</v>
      </c>
      <c r="C6" s="2999">
        <f>ROUNDDOWN(MIN((B6-B3)/365,A6),2)</f>
        <v>13.01</v>
      </c>
      <c r="D6" s="3001">
        <f>IF(ISERROR(ROUND(POWER(1+E6,A6-C6)*(POWER(1+E6,C6)-1)/(POWER(1+E6,A6)-1),3)),0,ROUND(POWER(1+E6,A6-C6)*(POWER(1+E6,C6)-1)/(POWER(1+E6,A6)-1),4))</f>
        <v>0.46510000000000001</v>
      </c>
      <c r="E6" s="3002">
        <v>0.04</v>
      </c>
      <c r="F6" s="2995"/>
      <c r="I6" s="3415" t="s">
        <v>2567</v>
      </c>
      <c r="J6" s="3415">
        <v>60</v>
      </c>
      <c r="K6" s="3415">
        <v>50</v>
      </c>
      <c r="L6" s="3415">
        <v>10</v>
      </c>
      <c r="M6" s="3415">
        <v>20</v>
      </c>
      <c r="N6" s="2999">
        <v>35</v>
      </c>
      <c r="O6" s="2999">
        <v>40</v>
      </c>
      <c r="P6" s="2999">
        <v>30</v>
      </c>
      <c r="Q6" s="2999">
        <v>10</v>
      </c>
      <c r="R6" s="2999">
        <v>255</v>
      </c>
    </row>
    <row r="7" spans="1:18">
      <c r="A7" s="3000">
        <v>70</v>
      </c>
      <c r="B7" s="2997">
        <v>57333</v>
      </c>
      <c r="C7" s="2999">
        <f>ROUNDDOWN(MIN((B7-B3)/365,A7),2)</f>
        <v>33.020000000000003</v>
      </c>
      <c r="D7" s="3001">
        <f>IF(ISERROR(ROUND(POWER(1+E7,A7-C7)*(POWER(1+E7,C7)-1)/(POWER(1+E7,A7)-1),3)),0,ROUND(POWER(1+E7,A7-C7)*(POWER(1+E7,C7)-1)/(POWER(1+E7,A7)-1),4))</f>
        <v>0.77600000000000002</v>
      </c>
      <c r="E7" s="3002">
        <v>0.04</v>
      </c>
      <c r="F7" s="2995"/>
    </row>
    <row r="8" spans="1:18">
      <c r="A8" s="2993"/>
      <c r="B8" s="2994"/>
      <c r="C8" s="2994"/>
      <c r="D8" s="2994"/>
      <c r="E8" s="2994"/>
      <c r="F8" s="2995"/>
    </row>
    <row r="9" spans="1:18">
      <c r="A9" s="2996" t="s">
        <v>2491</v>
      </c>
      <c r="B9" s="2999"/>
      <c r="C9" s="2999"/>
      <c r="D9" s="2999"/>
      <c r="E9" s="2999"/>
      <c r="F9" s="3003"/>
    </row>
    <row r="10" spans="1:18">
      <c r="A10" s="2996" t="s">
        <v>2492</v>
      </c>
      <c r="B10" s="2999"/>
      <c r="C10" s="2999"/>
      <c r="D10" s="2999" t="s">
        <v>2490</v>
      </c>
      <c r="E10" s="2999"/>
      <c r="F10" s="3003" t="s">
        <v>2489</v>
      </c>
    </row>
    <row r="11" spans="1:18">
      <c r="A11" s="2996" t="s">
        <v>2493</v>
      </c>
      <c r="B11" s="3004">
        <v>70</v>
      </c>
      <c r="C11" s="2999" t="s">
        <v>2494</v>
      </c>
      <c r="D11" s="3005">
        <v>4.4999999999999998E-2</v>
      </c>
      <c r="E11" s="2999" t="s">
        <v>2495</v>
      </c>
      <c r="F11" s="3006">
        <f>ROUND(1-(1/(POWER(1+D11,B11))),4)</f>
        <v>0.95409999999999995</v>
      </c>
    </row>
    <row r="12" spans="1:18">
      <c r="A12" s="2996" t="s">
        <v>2496</v>
      </c>
      <c r="B12" s="3004">
        <v>40</v>
      </c>
      <c r="C12" s="2999" t="s">
        <v>2497</v>
      </c>
      <c r="D12" s="3005">
        <v>4.4999999999999998E-2</v>
      </c>
      <c r="E12" s="2999" t="s">
        <v>2498</v>
      </c>
      <c r="F12" s="3006">
        <f>ROUND(1-(1/(POWER(1+D12,B12))),4)</f>
        <v>0.82809999999999995</v>
      </c>
    </row>
    <row r="13" spans="1:18">
      <c r="A13" s="2996" t="s">
        <v>2499</v>
      </c>
      <c r="B13" s="2999"/>
      <c r="C13" s="2999"/>
      <c r="D13" s="2994"/>
      <c r="E13" s="2994"/>
      <c r="F13" s="2995"/>
    </row>
    <row r="14" spans="1:18">
      <c r="A14" s="2996" t="s">
        <v>2500</v>
      </c>
      <c r="B14" s="3004">
        <v>5000</v>
      </c>
      <c r="C14" s="2998"/>
      <c r="D14" s="2994"/>
      <c r="E14" s="2994"/>
      <c r="F14" s="2995"/>
    </row>
    <row r="15" spans="1:18">
      <c r="A15" s="2996" t="s">
        <v>2501</v>
      </c>
      <c r="B15" s="2999">
        <f>ROUND(B14*F12/F11,2)</f>
        <v>4339.6899999999996</v>
      </c>
      <c r="C15" s="2999">
        <f>ROUND(F12/F11,4)</f>
        <v>0.8679</v>
      </c>
      <c r="D15" s="2994"/>
      <c r="E15" s="2994"/>
      <c r="F15" s="2995"/>
    </row>
    <row r="16" spans="1:18">
      <c r="A16" s="2996" t="s">
        <v>2502</v>
      </c>
      <c r="B16" s="2999"/>
      <c r="C16" s="2999"/>
      <c r="D16" s="2994"/>
      <c r="E16" s="2994"/>
      <c r="F16" s="2995"/>
    </row>
    <row r="17" spans="1:13">
      <c r="A17" s="2996" t="s">
        <v>2501</v>
      </c>
      <c r="B17" s="3005">
        <v>4810</v>
      </c>
      <c r="C17" s="2998"/>
      <c r="D17" s="2994"/>
      <c r="E17" s="2994"/>
      <c r="F17" s="2995"/>
    </row>
    <row r="18" spans="1:13" ht="14.25" thickBot="1">
      <c r="A18" s="3007" t="s">
        <v>2500</v>
      </c>
      <c r="B18" s="3008">
        <f>ROUND(B17*F11/F12,2)</f>
        <v>5541.87</v>
      </c>
      <c r="C18" s="3008">
        <f>ROUND(F11/F12,4)</f>
        <v>1.1521999999999999</v>
      </c>
      <c r="D18" s="3009"/>
      <c r="E18" s="3009"/>
      <c r="F18" s="3010"/>
    </row>
    <row r="19" spans="1:13" ht="14.25" thickBot="1"/>
    <row r="20" spans="1:13" s="3045" customFormat="1" ht="14.25" thickTop="1">
      <c r="A20" s="3042" t="s">
        <v>2503</v>
      </c>
      <c r="B20" s="3043"/>
      <c r="C20" s="3043"/>
      <c r="D20" s="3043"/>
      <c r="E20" s="3043"/>
      <c r="F20" s="3043"/>
      <c r="G20" s="3044"/>
      <c r="I20" s="3046" t="s">
        <v>2548</v>
      </c>
      <c r="J20" s="3046" t="s">
        <v>2553</v>
      </c>
      <c r="K20" s="3046"/>
      <c r="L20" s="3046"/>
      <c r="M20" s="3046"/>
    </row>
    <row r="21" spans="1:13">
      <c r="A21" s="3011"/>
      <c r="B21" s="3012" t="s">
        <v>2504</v>
      </c>
      <c r="C21" s="3012" t="s">
        <v>2505</v>
      </c>
      <c r="D21" s="3012" t="s">
        <v>2506</v>
      </c>
      <c r="E21" s="3012" t="s">
        <v>2507</v>
      </c>
      <c r="F21" s="3012" t="s">
        <v>2508</v>
      </c>
      <c r="G21" s="3013" t="s">
        <v>2509</v>
      </c>
      <c r="I21" s="3034">
        <v>5</v>
      </c>
      <c r="J21" s="3034">
        <v>54.2</v>
      </c>
    </row>
    <row r="22" spans="1:13">
      <c r="A22" s="3011" t="s">
        <v>2510</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2511</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2551</v>
      </c>
      <c r="M23" s="3034" t="s">
        <v>2552</v>
      </c>
    </row>
    <row r="24" spans="1:13">
      <c r="A24" s="3011" t="s">
        <v>2512</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2550</v>
      </c>
      <c r="M24" s="3034">
        <v>10</v>
      </c>
    </row>
    <row r="25" spans="1:13">
      <c r="A25" s="3011" t="s">
        <v>2513</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2554</v>
      </c>
      <c r="M25" s="3034">
        <v>8</v>
      </c>
    </row>
    <row r="26" spans="1:13">
      <c r="A26" s="3016"/>
      <c r="B26" s="3017"/>
      <c r="C26" s="3017"/>
      <c r="D26" s="3017"/>
      <c r="E26" s="3017"/>
      <c r="F26" s="3017"/>
      <c r="G26" s="3018"/>
      <c r="I26" s="3034">
        <v>30</v>
      </c>
      <c r="J26" s="3034">
        <v>90.5</v>
      </c>
      <c r="K26" s="3034">
        <f t="shared" si="2"/>
        <v>4.2000000000000028</v>
      </c>
      <c r="L26" s="3034" t="s">
        <v>2555</v>
      </c>
      <c r="M26" s="3034">
        <v>5</v>
      </c>
    </row>
    <row r="27" spans="1:13">
      <c r="A27" s="3016" t="s">
        <v>2514</v>
      </c>
      <c r="B27" s="3017"/>
      <c r="C27" s="3017"/>
      <c r="D27" s="3017"/>
      <c r="E27" s="3017"/>
      <c r="F27" s="3017"/>
      <c r="G27" s="3018"/>
      <c r="I27" s="3034">
        <v>35</v>
      </c>
      <c r="J27" s="3034">
        <v>93.8</v>
      </c>
      <c r="K27" s="3034">
        <f t="shared" si="2"/>
        <v>3.2999999999999972</v>
      </c>
      <c r="L27" s="3034" t="s">
        <v>2556</v>
      </c>
      <c r="M27" s="3034">
        <v>3</v>
      </c>
    </row>
    <row r="28" spans="1:13">
      <c r="A28" s="3016" t="s">
        <v>2515</v>
      </c>
      <c r="B28" s="3017"/>
      <c r="C28" s="3017"/>
      <c r="D28" s="3017"/>
      <c r="E28" s="3017"/>
      <c r="F28" s="3017"/>
      <c r="G28" s="3018"/>
      <c r="I28" s="3034">
        <v>40</v>
      </c>
      <c r="J28" s="3034">
        <v>96.4</v>
      </c>
      <c r="K28" s="3034">
        <f t="shared" si="2"/>
        <v>2.6000000000000085</v>
      </c>
      <c r="L28" s="3034" t="s">
        <v>2557</v>
      </c>
      <c r="M28" s="3034">
        <v>2</v>
      </c>
    </row>
    <row r="29" spans="1:13">
      <c r="A29" s="3016" t="s">
        <v>2516</v>
      </c>
      <c r="B29" s="3017"/>
      <c r="C29" s="3017"/>
      <c r="D29" s="3017"/>
      <c r="E29" s="3017"/>
      <c r="F29" s="3017"/>
      <c r="G29" s="3018"/>
      <c r="I29" s="3034">
        <v>45</v>
      </c>
      <c r="J29" s="3034">
        <v>98.4</v>
      </c>
      <c r="K29" s="3034">
        <f t="shared" si="2"/>
        <v>2</v>
      </c>
    </row>
    <row r="30" spans="1:13">
      <c r="A30" s="3016" t="s">
        <v>2517</v>
      </c>
      <c r="B30" s="3017"/>
      <c r="C30" s="3017"/>
      <c r="D30" s="3017"/>
      <c r="E30" s="3017"/>
      <c r="F30" s="3017"/>
      <c r="G30" s="3018"/>
      <c r="I30" s="3034">
        <v>50</v>
      </c>
      <c r="J30" s="3034">
        <v>100</v>
      </c>
      <c r="K30" s="3034">
        <f t="shared" si="2"/>
        <v>1.5999999999999943</v>
      </c>
    </row>
    <row r="31" spans="1:13">
      <c r="A31" s="3016" t="s">
        <v>2518</v>
      </c>
      <c r="B31" s="3017"/>
      <c r="C31" s="3017"/>
      <c r="D31" s="3017"/>
      <c r="E31" s="3017"/>
      <c r="F31" s="3017"/>
      <c r="G31" s="3018"/>
      <c r="I31" s="3034" t="s">
        <v>2549</v>
      </c>
    </row>
    <row r="32" spans="1:13">
      <c r="A32" s="3016" t="s">
        <v>2519</v>
      </c>
      <c r="B32" s="3017"/>
      <c r="C32" s="3017"/>
      <c r="D32" s="3017"/>
      <c r="E32" s="3017"/>
      <c r="F32" s="3017"/>
      <c r="G32" s="3018"/>
    </row>
    <row r="33" spans="1:13">
      <c r="A33" s="3016" t="s">
        <v>2520</v>
      </c>
      <c r="B33" s="3017"/>
      <c r="C33" s="3017"/>
      <c r="D33" s="3017"/>
      <c r="E33" s="3017"/>
      <c r="F33" s="3017"/>
      <c r="G33" s="3018"/>
      <c r="I33" s="3034" t="s">
        <v>2548</v>
      </c>
      <c r="J33" s="3034" t="s">
        <v>2558</v>
      </c>
    </row>
    <row r="34" spans="1:13">
      <c r="A34" s="3016" t="s">
        <v>2521</v>
      </c>
      <c r="B34" s="3017"/>
      <c r="C34" s="3017"/>
      <c r="D34" s="3017"/>
      <c r="E34" s="3017"/>
      <c r="F34" s="3017"/>
      <c r="G34" s="3018"/>
      <c r="I34" s="3034">
        <v>5</v>
      </c>
      <c r="J34" s="3034">
        <v>55.1</v>
      </c>
    </row>
    <row r="35" spans="1:13">
      <c r="A35" s="3016" t="s">
        <v>2522</v>
      </c>
      <c r="B35" s="3017"/>
      <c r="C35" s="3017"/>
      <c r="D35" s="3017"/>
      <c r="E35" s="3017"/>
      <c r="F35" s="3017"/>
      <c r="G35" s="3018"/>
      <c r="I35" s="3034">
        <v>10</v>
      </c>
      <c r="J35" s="3034">
        <v>67</v>
      </c>
      <c r="K35" s="3034">
        <f>J35-J34</f>
        <v>11.899999999999999</v>
      </c>
    </row>
    <row r="36" spans="1:13">
      <c r="A36" s="3016" t="s">
        <v>2523</v>
      </c>
      <c r="B36" s="3017"/>
      <c r="C36" s="3017"/>
      <c r="D36" s="3017"/>
      <c r="E36" s="3017"/>
      <c r="F36" s="3017"/>
      <c r="G36" s="3018"/>
      <c r="I36" s="3034">
        <v>15</v>
      </c>
      <c r="J36" s="3034">
        <v>76.3</v>
      </c>
      <c r="K36" s="3034">
        <f t="shared" ref="K36:K41" si="3">J36-J35</f>
        <v>9.2999999999999972</v>
      </c>
      <c r="L36" s="3034" t="s">
        <v>2551</v>
      </c>
      <c r="M36" s="3034" t="s">
        <v>2552</v>
      </c>
    </row>
    <row r="37" spans="1:13">
      <c r="A37" s="3016" t="s">
        <v>2524</v>
      </c>
      <c r="B37" s="3017"/>
      <c r="C37" s="3017"/>
      <c r="D37" s="3017"/>
      <c r="E37" s="3017"/>
      <c r="F37" s="3017"/>
      <c r="G37" s="3018"/>
      <c r="I37" s="3034">
        <v>20</v>
      </c>
      <c r="J37" s="3034">
        <v>83.6</v>
      </c>
      <c r="K37" s="3034">
        <f t="shared" si="3"/>
        <v>7.2999999999999972</v>
      </c>
      <c r="L37" s="3034" t="s">
        <v>2550</v>
      </c>
      <c r="M37" s="3034">
        <v>10</v>
      </c>
    </row>
    <row r="38" spans="1:13">
      <c r="A38" s="3016" t="s">
        <v>2525</v>
      </c>
      <c r="B38" s="3017"/>
      <c r="C38" s="3017"/>
      <c r="D38" s="3017"/>
      <c r="E38" s="3017"/>
      <c r="F38" s="3017"/>
      <c r="G38" s="3018"/>
      <c r="I38" s="3034">
        <v>25</v>
      </c>
      <c r="J38" s="3034">
        <v>89.3</v>
      </c>
      <c r="K38" s="3034">
        <f t="shared" si="3"/>
        <v>5.7000000000000028</v>
      </c>
      <c r="L38" s="3034" t="s">
        <v>2554</v>
      </c>
      <c r="M38" s="3034">
        <v>8</v>
      </c>
    </row>
    <row r="39" spans="1:13">
      <c r="A39" s="3016"/>
      <c r="B39" s="3017"/>
      <c r="C39" s="3017"/>
      <c r="D39" s="3017"/>
      <c r="E39" s="3017"/>
      <c r="F39" s="3017"/>
      <c r="G39" s="3018"/>
      <c r="I39" s="3034">
        <v>30</v>
      </c>
      <c r="J39" s="3034">
        <v>93.8</v>
      </c>
      <c r="K39" s="3034">
        <f t="shared" si="3"/>
        <v>4.5</v>
      </c>
      <c r="L39" s="3034" t="s">
        <v>2555</v>
      </c>
      <c r="M39" s="3034">
        <v>6</v>
      </c>
    </row>
    <row r="40" spans="1:13">
      <c r="A40" s="3019" t="s">
        <v>2526</v>
      </c>
      <c r="B40" s="3020"/>
      <c r="C40" s="3020"/>
      <c r="D40" s="3020"/>
      <c r="E40" s="3020"/>
      <c r="F40" s="3020"/>
      <c r="G40" s="3021"/>
      <c r="I40" s="3034">
        <v>35</v>
      </c>
      <c r="J40" s="3034">
        <v>97.2</v>
      </c>
      <c r="K40" s="3034">
        <f t="shared" si="3"/>
        <v>3.4000000000000057</v>
      </c>
      <c r="L40" s="3034" t="s">
        <v>2556</v>
      </c>
      <c r="M40" s="3034">
        <v>3</v>
      </c>
    </row>
    <row r="41" spans="1:13">
      <c r="A41" s="3022" t="s">
        <v>2527</v>
      </c>
      <c r="B41" s="3023" t="s">
        <v>2528</v>
      </c>
      <c r="C41" s="3024" t="s">
        <v>2529</v>
      </c>
      <c r="D41" s="3024" t="s">
        <v>2530</v>
      </c>
      <c r="E41" s="3025"/>
      <c r="F41" s="3026"/>
      <c r="G41" s="3027"/>
      <c r="I41" s="3034">
        <v>40</v>
      </c>
      <c r="J41" s="3034">
        <v>100</v>
      </c>
      <c r="K41" s="3034">
        <f t="shared" si="3"/>
        <v>2.7999999999999972</v>
      </c>
    </row>
    <row r="42" spans="1:13">
      <c r="A42" s="3022" t="s">
        <v>2531</v>
      </c>
      <c r="B42" s="3023" t="s">
        <v>2532</v>
      </c>
      <c r="C42" s="3024" t="s">
        <v>2533</v>
      </c>
      <c r="D42" s="3028" t="s">
        <v>2534</v>
      </c>
      <c r="E42" s="3020" t="s">
        <v>2535</v>
      </c>
      <c r="F42" s="3020"/>
      <c r="G42" s="3021"/>
    </row>
    <row r="43" spans="1:13">
      <c r="A43" s="3022" t="s">
        <v>2536</v>
      </c>
      <c r="B43" s="3023" t="s">
        <v>2537</v>
      </c>
      <c r="C43" s="3024" t="s">
        <v>2538</v>
      </c>
      <c r="D43" s="3024" t="s">
        <v>2539</v>
      </c>
      <c r="E43" s="3025" t="s">
        <v>2540</v>
      </c>
      <c r="F43" s="3026"/>
      <c r="G43" s="3027"/>
      <c r="I43" s="3034" t="s">
        <v>2548</v>
      </c>
      <c r="J43" s="3034" t="s">
        <v>2559</v>
      </c>
    </row>
    <row r="44" spans="1:13">
      <c r="A44" s="3022" t="s">
        <v>2541</v>
      </c>
      <c r="B44" s="3023" t="s">
        <v>2542</v>
      </c>
      <c r="C44" s="3024" t="s">
        <v>2543</v>
      </c>
      <c r="D44" s="3028">
        <v>0.5</v>
      </c>
      <c r="E44" s="3025" t="s">
        <v>2544</v>
      </c>
      <c r="F44" s="3026"/>
      <c r="G44" s="3027"/>
      <c r="I44" s="3034">
        <v>30</v>
      </c>
      <c r="J44" s="3034">
        <v>81.7</v>
      </c>
    </row>
    <row r="45" spans="1:13" ht="14.25" thickBot="1">
      <c r="A45" s="3029" t="s">
        <v>2545</v>
      </c>
      <c r="B45" s="3030" t="s">
        <v>2532</v>
      </c>
      <c r="C45" s="3031" t="s">
        <v>2532</v>
      </c>
      <c r="D45" s="3031" t="s">
        <v>2546</v>
      </c>
      <c r="E45" s="3032" t="s">
        <v>2547</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27" sqref="N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547" t="str">
        <f>IF(B10="北京市","北京市",C10)&amp;F10&amp;IF(结果表!G1="在建","出让国有建设用地使用权及在建建筑物",IF(结果表!G1="土地","出让国有建设用地使用权",))&amp;B9&amp;"预评估"</f>
        <v>北京市海淀区西三环北路89号4层A-01等56套房地产市场价值预评估</v>
      </c>
      <c r="C1" s="3548"/>
      <c r="D1" s="3548"/>
      <c r="E1" s="3548"/>
      <c r="F1" s="3548"/>
      <c r="G1" s="3548"/>
      <c r="H1" s="3548"/>
      <c r="I1" s="354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北京市海淀区西三环北路89号4层A-01等56套房地产市场价值</v>
      </c>
      <c r="T1" s="1745"/>
      <c r="U1" s="1745"/>
      <c r="V1" s="1745"/>
      <c r="W1" s="1745"/>
      <c r="X1" s="1745"/>
      <c r="Y1" s="1745"/>
      <c r="Z1" s="1745"/>
      <c r="AA1" s="1745"/>
      <c r="AB1" s="1745"/>
    </row>
    <row r="2" spans="1:30">
      <c r="A2" s="2367" t="s">
        <v>2153</v>
      </c>
      <c r="B2" s="2371"/>
      <c r="C2" s="2372"/>
      <c r="D2" s="2646"/>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北京市海淀区西三环北路89号4层A-01等56套房地产</v>
      </c>
      <c r="T2" s="1745"/>
      <c r="U2" s="1745"/>
      <c r="V2" s="1745"/>
      <c r="W2" s="1745"/>
      <c r="X2" s="1745"/>
      <c r="Y2" s="1745"/>
      <c r="Z2" s="1745"/>
      <c r="AA2" s="1745"/>
      <c r="AB2" s="1745"/>
    </row>
    <row r="3" spans="1:30">
      <c r="A3" s="302" t="s">
        <v>2154</v>
      </c>
      <c r="B3" s="2373">
        <v>45279</v>
      </c>
      <c r="C3" s="2374" t="s">
        <v>2155</v>
      </c>
      <c r="D3" s="2373">
        <f>B3</f>
        <v>45279</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3363</v>
      </c>
      <c r="C4" s="2376">
        <f ca="1">SUMIF(注册房地产估价师,B4,估价师及机构信息!B3:B24)</f>
        <v>1120100036</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3362</v>
      </c>
      <c r="C8" s="2390"/>
      <c r="D8" s="3550" t="s">
        <v>2161</v>
      </c>
      <c r="E8" s="2391" t="s">
        <v>3366</v>
      </c>
      <c r="F8" s="2392"/>
      <c r="G8" s="2640"/>
      <c r="H8" s="2640"/>
      <c r="I8" s="2640"/>
      <c r="J8" s="2438"/>
      <c r="K8" s="2591"/>
      <c r="L8" s="2590"/>
      <c r="M8" s="2590"/>
      <c r="N8" s="2438"/>
      <c r="O8" s="2449"/>
      <c r="P8" s="2438"/>
      <c r="Q8" s="2438"/>
      <c r="R8" s="2438"/>
    </row>
    <row r="9" spans="1:30" ht="13.5" thickBot="1">
      <c r="A9" s="2393" t="s">
        <v>2162</v>
      </c>
      <c r="B9" s="2394" t="s">
        <v>3365</v>
      </c>
      <c r="C9" s="2395"/>
      <c r="D9" s="3551"/>
      <c r="E9" s="2394" t="s">
        <v>43</v>
      </c>
      <c r="F9" s="2396"/>
      <c r="G9" s="2642"/>
      <c r="H9" s="2642"/>
      <c r="I9" s="2642"/>
      <c r="J9" s="2438"/>
      <c r="K9" s="2593"/>
      <c r="L9" s="2590"/>
      <c r="M9" s="2590"/>
      <c r="N9" s="2438"/>
      <c r="O9" s="2449"/>
      <c r="P9" s="2438"/>
      <c r="Q9" s="2438"/>
      <c r="R9" s="2438"/>
    </row>
    <row r="10" spans="1:30" ht="13.5" thickTop="1">
      <c r="A10" s="2397" t="s">
        <v>2163</v>
      </c>
      <c r="B10" s="2398" t="s">
        <v>3367</v>
      </c>
      <c r="C10" s="2399"/>
      <c r="D10" s="2382"/>
      <c r="E10" s="2400" t="s">
        <v>2164</v>
      </c>
      <c r="F10" s="3469" t="s">
        <v>3435</v>
      </c>
      <c r="G10" s="2643"/>
      <c r="H10" s="2644"/>
      <c r="I10" s="2645"/>
      <c r="J10" s="2438"/>
      <c r="K10" s="2593"/>
      <c r="L10" s="2590"/>
      <c r="M10" s="2590"/>
      <c r="N10" s="2438"/>
      <c r="O10" s="2449"/>
      <c r="P10" s="2438"/>
      <c r="Q10" s="2438"/>
      <c r="R10" s="2438"/>
    </row>
    <row r="11" spans="1:30" ht="24">
      <c r="A11" s="2401" t="s">
        <v>2165</v>
      </c>
      <c r="B11" s="2402" t="s">
        <v>3368</v>
      </c>
      <c r="C11" s="3436" t="s">
        <v>3436</v>
      </c>
      <c r="D11" s="2403"/>
      <c r="E11" s="2370"/>
      <c r="F11" s="2370"/>
      <c r="G11" s="2370"/>
      <c r="H11" s="2370"/>
      <c r="I11" s="2370"/>
      <c r="J11" s="3037"/>
      <c r="K11" s="3036"/>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5" t="s">
        <v>2560</v>
      </c>
      <c r="J12" s="3038"/>
      <c r="K12" s="2590"/>
      <c r="L12" s="2590"/>
      <c r="M12" s="2438"/>
      <c r="N12" s="2449"/>
      <c r="O12" s="2438"/>
      <c r="P12" s="2438"/>
      <c r="Q12" s="2438"/>
      <c r="AD12" s="1745"/>
    </row>
    <row r="13" spans="1:30">
      <c r="A13" s="3399" t="s">
        <v>3316</v>
      </c>
      <c r="B13" s="2406" t="s">
        <v>2174</v>
      </c>
      <c r="C13" s="856"/>
      <c r="D13" s="856">
        <v>52121</v>
      </c>
      <c r="E13" s="856"/>
      <c r="F13" s="856"/>
      <c r="G13" s="856"/>
      <c r="H13" s="856"/>
      <c r="I13" s="856"/>
      <c r="J13" s="3038"/>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39"/>
      <c r="K14" s="2590"/>
      <c r="L14" s="2590"/>
      <c r="M14" s="2438"/>
      <c r="N14" s="2449"/>
      <c r="O14" s="2438"/>
      <c r="P14" s="2438"/>
      <c r="Q14" s="2438"/>
      <c r="AD14" s="1745"/>
    </row>
    <row r="15" spans="1:30">
      <c r="A15" s="320"/>
      <c r="B15" s="2408" t="s">
        <v>2176</v>
      </c>
      <c r="C15" s="2409" t="str">
        <f>IF(A13="出让",IF(C13="","",ROUNDDOWN(MIN((C13-$D$3)/365,C14),2)),C14)</f>
        <v/>
      </c>
      <c r="D15" s="2409">
        <f>IF(A13="出让",IF(D13="","",ROUNDDOWN(MIN((D13-$D$3)/365,D14),2)),D14)</f>
        <v>18.739999999999998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40"/>
      <c r="K15" s="2450"/>
      <c r="L15" s="2450"/>
      <c r="M15" s="2506"/>
      <c r="N15" s="2450"/>
      <c r="O15" s="2506"/>
      <c r="P15" s="2438"/>
      <c r="Q15" s="2438"/>
      <c r="AD15" s="1745"/>
    </row>
    <row r="16" spans="1:30">
      <c r="A16" s="2400" t="s">
        <v>2177</v>
      </c>
      <c r="B16" s="3557"/>
      <c r="C16" s="3558"/>
      <c r="D16" s="3559"/>
      <c r="E16" s="2412" t="s">
        <v>2178</v>
      </c>
      <c r="F16" s="3560"/>
      <c r="G16" s="3561"/>
      <c r="H16" s="3561"/>
      <c r="I16" s="3562"/>
      <c r="J16" s="2438"/>
      <c r="K16" s="2594"/>
      <c r="L16" s="2450"/>
      <c r="M16" s="2450"/>
      <c r="N16" s="2506"/>
      <c r="O16" s="2450"/>
      <c r="P16" s="2506"/>
      <c r="Q16" s="2438"/>
      <c r="R16" s="2438"/>
    </row>
    <row r="17" spans="1:28">
      <c r="A17" s="313" t="s">
        <v>2179</v>
      </c>
      <c r="B17" s="302" t="s">
        <v>2180</v>
      </c>
      <c r="C17" s="8">
        <f>'数据-汇总表'!E3</f>
        <v>13128.449999999992</v>
      </c>
      <c r="D17" s="2322" t="s">
        <v>2181</v>
      </c>
      <c r="E17" s="3563" t="s">
        <v>2182</v>
      </c>
      <c r="F17" s="3564"/>
      <c r="G17" s="3564"/>
      <c r="H17" s="3564"/>
      <c r="I17" s="3565"/>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0</v>
      </c>
      <c r="D18" s="1092" t="s">
        <v>2185</v>
      </c>
      <c r="E18" s="3566" t="s">
        <v>2186</v>
      </c>
      <c r="F18" s="3567"/>
      <c r="G18" s="3567"/>
      <c r="H18" s="3567"/>
      <c r="I18" s="3568"/>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553" t="s">
        <v>2190</v>
      </c>
      <c r="C20" s="3554"/>
      <c r="D20" s="3555" t="s">
        <v>2191</v>
      </c>
      <c r="E20" s="3556"/>
      <c r="F20" s="2624" t="s">
        <v>1056</v>
      </c>
      <c r="G20" s="2641"/>
      <c r="H20" s="2641"/>
      <c r="I20" s="2641"/>
      <c r="J20" s="2438"/>
      <c r="K20" s="3552"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55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55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540"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540"/>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540"/>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541"/>
      <c r="B30" s="302" t="s">
        <v>2202</v>
      </c>
      <c r="C30" s="3542"/>
      <c r="D30" s="3543"/>
      <c r="E30" s="2641"/>
      <c r="F30" s="2641"/>
      <c r="G30" s="2641"/>
      <c r="H30" s="2641"/>
      <c r="I30" s="2641"/>
      <c r="J30" s="2438"/>
      <c r="K30" s="2593"/>
      <c r="L30" s="2590"/>
      <c r="M30" s="2590"/>
      <c r="N30" s="2438"/>
      <c r="O30" s="2449"/>
      <c r="P30" s="2438"/>
      <c r="Q30" s="2438"/>
      <c r="R30" s="2438"/>
      <c r="S30" s="2438"/>
      <c r="T30" s="2438"/>
      <c r="U30" s="2438"/>
      <c r="V30" s="2438"/>
    </row>
    <row r="31" spans="1:28">
      <c r="A31" s="3544"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545"/>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545"/>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539" t="s">
        <v>2212</v>
      </c>
      <c r="T34" s="2427" t="str">
        <f>NUMBERSTRING(7-K34,1)&amp;"通"</f>
        <v>七通</v>
      </c>
      <c r="U34" s="2438"/>
      <c r="V34" s="2438"/>
    </row>
    <row r="35" spans="1:30">
      <c r="A35" s="2428"/>
      <c r="B35" s="3546" t="s">
        <v>2213</v>
      </c>
      <c r="C35" s="3546"/>
      <c r="D35" s="3546"/>
      <c r="E35" s="3546"/>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1"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c r="E37" s="2430"/>
      <c r="F37" s="2430"/>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156</v>
      </c>
      <c r="C38" s="2431" t="s">
        <v>156</v>
      </c>
      <c r="D38" s="2431"/>
      <c r="E38" s="2431"/>
      <c r="F38" s="2431"/>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13128.449999999992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13128.449999999992</v>
      </c>
      <c r="H5" s="13">
        <f t="shared" ref="H5:AT5" si="0">SUM(H13:H656)</f>
        <v>13128.449999999992</v>
      </c>
      <c r="I5" s="13">
        <f t="shared" si="0"/>
        <v>13128.449999999992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13128.449999999992</v>
      </c>
      <c r="BA5" s="15">
        <f t="shared" si="1"/>
        <v>13128.449999999992</v>
      </c>
      <c r="BB5" s="15">
        <f t="shared" si="1"/>
        <v>13128.449999999992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4</v>
      </c>
      <c r="C13" s="1051" t="s">
        <v>3437</v>
      </c>
      <c r="D13" s="1625" t="s">
        <v>3371</v>
      </c>
      <c r="E13" s="13">
        <f>IF($C$3="是",ROUND($A$3*G13/$B$3,2),ROUND($A$3*(G13-AT13)/$B$3,2))</f>
        <v>0</v>
      </c>
      <c r="F13" s="29"/>
      <c r="G13" s="30">
        <f>H13+AC13+AT13</f>
        <v>474.03</v>
      </c>
      <c r="H13" s="17">
        <f>SUMIF(I$12:AB$12,"总值",I13:AB13)</f>
        <v>474.03</v>
      </c>
      <c r="I13" s="1626">
        <v>474.03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4</v>
      </c>
      <c r="AX13" s="8" t="str">
        <f t="shared" si="6"/>
        <v>A-01</v>
      </c>
      <c r="AY13" s="1349">
        <f>ROUND($AY$6*AZ13/$AZ$5,2)</f>
        <v>0</v>
      </c>
      <c r="AZ13" s="13">
        <f>BA13+BL13</f>
        <v>474.03</v>
      </c>
      <c r="BA13" s="13">
        <f>SUM(BB13:BK13)</f>
        <v>474.03</v>
      </c>
      <c r="BB13" s="13">
        <f>IF($D13="是",I13-J13,0)</f>
        <v>474.03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3438</v>
      </c>
      <c r="D14" s="1625" t="s">
        <v>3371</v>
      </c>
      <c r="E14" s="13">
        <f>IF($C$3="是",ROUND($A$3*G14/$B$3,2),ROUND($A$3*(G14-AT14)/$B$3,2))</f>
        <v>0</v>
      </c>
      <c r="F14" s="29"/>
      <c r="G14" s="30">
        <f>H14+AC14+AT14</f>
        <v>296.56</v>
      </c>
      <c r="H14" s="17">
        <f>SUMIF(I$12:AB$12,"总值",I14:AB14)</f>
        <v>296.56</v>
      </c>
      <c r="I14" s="1626">
        <v>296.56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A-02</v>
      </c>
      <c r="AY14" s="1349">
        <f>ROUND($AY$6*AZ14/$AZ$5,2)</f>
        <v>0</v>
      </c>
      <c r="AZ14" s="13">
        <f>BA14+BL14</f>
        <v>296.56</v>
      </c>
      <c r="BA14" s="13">
        <f>SUM(BB14:BK14)</f>
        <v>296.56</v>
      </c>
      <c r="BB14" s="13">
        <f>IF($D14="是",I14-J14,0)</f>
        <v>296.56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3439</v>
      </c>
      <c r="D15" s="1625" t="s">
        <v>3371</v>
      </c>
      <c r="E15" s="13">
        <f>IF($C$3="是",ROUND($A$3*G15/$B$3,2),ROUND($A$3*(G15-AT15)/$B$3,2))</f>
        <v>0</v>
      </c>
      <c r="F15" s="29"/>
      <c r="G15" s="30">
        <f>H15+AC15+AT15</f>
        <v>474.03</v>
      </c>
      <c r="H15" s="17">
        <f>SUMIF(I$12:AB$12,"总值",I15:AB15)</f>
        <v>474.03</v>
      </c>
      <c r="I15" s="1626">
        <v>474.03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A-03</v>
      </c>
      <c r="AY15" s="1349">
        <f>ROUND($AY$6*AZ15/$AZ$5,2)</f>
        <v>0</v>
      </c>
      <c r="AZ15" s="13">
        <f>BA15+BL15</f>
        <v>474.03</v>
      </c>
      <c r="BA15" s="13">
        <f>SUM(BB15:BK15)</f>
        <v>474.03</v>
      </c>
      <c r="BB15" s="13">
        <f>IF($D15="是",I15-J15,0)</f>
        <v>474.03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3440</v>
      </c>
      <c r="D16" s="1625" t="s">
        <v>3371</v>
      </c>
      <c r="E16" s="13">
        <f>IF($C$3="是",ROUND($A$3*G16/$B$3,2),ROUND($A$3*(G16-AT16)/$B$3,2))</f>
        <v>0</v>
      </c>
      <c r="F16" s="29"/>
      <c r="G16" s="30">
        <f>H16+AC16+AT16</f>
        <v>311.93</v>
      </c>
      <c r="H16" s="17">
        <f>SUMIF(I$12:AB$12,"总值",I16:AB16)</f>
        <v>311.93</v>
      </c>
      <c r="I16" s="1626">
        <v>311.93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A-04</v>
      </c>
      <c r="AY16" s="1349">
        <f>ROUND($AY$6*AZ16/$AZ$5,2)</f>
        <v>0</v>
      </c>
      <c r="AZ16" s="13">
        <f>BA16+BL16</f>
        <v>311.93</v>
      </c>
      <c r="BA16" s="13">
        <f>SUM(BB16:BK16)</f>
        <v>311.93</v>
      </c>
      <c r="BB16" s="13">
        <f>IF($D16="是",I16-J16,0)</f>
        <v>311.93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3441</v>
      </c>
      <c r="D17" s="1625" t="s">
        <v>3371</v>
      </c>
      <c r="E17" s="13">
        <f>IF($C$3="是",ROUND($A$3*G17/$B$3,2),ROUND($A$3*(G17-AT17)/$B$3,2))</f>
        <v>0</v>
      </c>
      <c r="F17" s="29"/>
      <c r="G17" s="30">
        <f>H17+AC17+AT17</f>
        <v>76.7</v>
      </c>
      <c r="H17" s="17">
        <f>SUMIF(I$12:AB$12,"总值",I17:AB17)</f>
        <v>76.7</v>
      </c>
      <c r="I17" s="1626">
        <v>76.7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A-05</v>
      </c>
      <c r="AY17" s="1349">
        <f>ROUND($AY$6*AZ17/$AZ$5,2)</f>
        <v>0</v>
      </c>
      <c r="AZ17" s="13">
        <f>BA17+BL17</f>
        <v>76.7</v>
      </c>
      <c r="BA17" s="13">
        <f>SUM(BB17:BK17)</f>
        <v>76.7</v>
      </c>
      <c r="BB17" s="13">
        <f>IF($D17="是",I17-J17,0)</f>
        <v>76.7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t="s">
        <v>3442</v>
      </c>
      <c r="D18" s="1625" t="s">
        <v>3371</v>
      </c>
      <c r="E18" s="32">
        <f t="shared" ref="E18:E112" si="7">IF($C$3="是",ROUND($A$3*G18/$B$3,2),ROUND($A$3*(G18-AT18)/$B$3,2))</f>
        <v>0</v>
      </c>
      <c r="F18" s="33"/>
      <c r="G18" s="34">
        <f t="shared" ref="G18:G109" si="8">H18+AC18+AT18</f>
        <v>69.989999999999995</v>
      </c>
      <c r="H18" s="35">
        <f t="shared" ref="H18:H109" si="9">SUMIF(I$12:AB$12,"总值",I18:AB18)</f>
        <v>69.989999999999995</v>
      </c>
      <c r="I18" s="36">
        <v>69.989999999999995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A-06</v>
      </c>
      <c r="AY18" s="39">
        <f t="shared" ref="AY18:AY109" si="14">ROUND($AY$6*AZ18/$AZ$5,2)</f>
        <v>0</v>
      </c>
      <c r="AZ18" s="32">
        <f t="shared" ref="AZ18:AZ109" si="15">BA18+BL18</f>
        <v>69.989999999999995</v>
      </c>
      <c r="BA18" s="32">
        <f t="shared" ref="BA18:BA109" si="16">SUM(BB18:BK18)</f>
        <v>69.989999999999995</v>
      </c>
      <c r="BB18" s="32">
        <f t="shared" ref="BB18:BB109" si="17">IF($D18="是",I18-J18,0)</f>
        <v>69.989999999999995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t="s">
        <v>3443</v>
      </c>
      <c r="D19" s="1625" t="s">
        <v>3371</v>
      </c>
      <c r="E19" s="32">
        <f t="shared" si="7"/>
        <v>0</v>
      </c>
      <c r="F19" s="33"/>
      <c r="G19" s="34">
        <f t="shared" si="8"/>
        <v>69.989999999999995</v>
      </c>
      <c r="H19" s="35">
        <f t="shared" si="9"/>
        <v>69.989999999999995</v>
      </c>
      <c r="I19" s="36">
        <v>69.989999999999995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A-07</v>
      </c>
      <c r="AY19" s="39">
        <f t="shared" si="14"/>
        <v>0</v>
      </c>
      <c r="AZ19" s="32">
        <f t="shared" si="15"/>
        <v>69.989999999999995</v>
      </c>
      <c r="BA19" s="32">
        <f t="shared" si="16"/>
        <v>69.989999999999995</v>
      </c>
      <c r="BB19" s="32">
        <f t="shared" si="17"/>
        <v>69.989999999999995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t="s">
        <v>3444</v>
      </c>
      <c r="D20" s="1625" t="s">
        <v>3371</v>
      </c>
      <c r="E20" s="32">
        <f t="shared" si="7"/>
        <v>0</v>
      </c>
      <c r="F20" s="33"/>
      <c r="G20" s="34">
        <f t="shared" si="8"/>
        <v>38.340000000000003</v>
      </c>
      <c r="H20" s="35">
        <f t="shared" si="9"/>
        <v>38.340000000000003</v>
      </c>
      <c r="I20" s="36">
        <v>38.340000000000003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A-08</v>
      </c>
      <c r="AY20" s="39">
        <f t="shared" si="14"/>
        <v>0</v>
      </c>
      <c r="AZ20" s="32">
        <f t="shared" si="15"/>
        <v>38.340000000000003</v>
      </c>
      <c r="BA20" s="32">
        <f t="shared" si="16"/>
        <v>38.340000000000003</v>
      </c>
      <c r="BB20" s="32">
        <f t="shared" si="17"/>
        <v>38.340000000000003</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t="s">
        <v>3445</v>
      </c>
      <c r="D21" s="1625" t="s">
        <v>3371</v>
      </c>
      <c r="E21" s="32">
        <f t="shared" si="7"/>
        <v>0</v>
      </c>
      <c r="F21" s="33"/>
      <c r="G21" s="34">
        <f t="shared" si="8"/>
        <v>311.93</v>
      </c>
      <c r="H21" s="35">
        <f t="shared" si="9"/>
        <v>311.93</v>
      </c>
      <c r="I21" s="36">
        <v>311.93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A-09</v>
      </c>
      <c r="AY21" s="39">
        <f t="shared" si="14"/>
        <v>0</v>
      </c>
      <c r="AZ21" s="32">
        <f t="shared" si="15"/>
        <v>311.93</v>
      </c>
      <c r="BA21" s="32">
        <f t="shared" si="16"/>
        <v>311.93</v>
      </c>
      <c r="BB21" s="32">
        <f t="shared" si="17"/>
        <v>311.93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4</v>
      </c>
      <c r="C22" s="31" t="s">
        <v>3446</v>
      </c>
      <c r="D22" s="1625" t="s">
        <v>3371</v>
      </c>
      <c r="E22" s="32">
        <f t="shared" si="7"/>
        <v>0</v>
      </c>
      <c r="F22" s="33"/>
      <c r="G22" s="34">
        <f t="shared" si="8"/>
        <v>474.03</v>
      </c>
      <c r="H22" s="35">
        <f t="shared" si="9"/>
        <v>474.03</v>
      </c>
      <c r="I22" s="36">
        <v>474.03</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4</v>
      </c>
      <c r="AX22" s="1343" t="str">
        <f t="shared" si="13"/>
        <v>B-01</v>
      </c>
      <c r="AY22" s="39">
        <f t="shared" si="14"/>
        <v>0</v>
      </c>
      <c r="AZ22" s="32">
        <f t="shared" si="15"/>
        <v>474.03</v>
      </c>
      <c r="BA22" s="32">
        <f t="shared" si="16"/>
        <v>474.03</v>
      </c>
      <c r="BB22" s="32">
        <f t="shared" si="17"/>
        <v>474.03</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3447</v>
      </c>
      <c r="D23" s="1625" t="s">
        <v>3371</v>
      </c>
      <c r="E23" s="32">
        <f t="shared" si="7"/>
        <v>0</v>
      </c>
      <c r="F23" s="33"/>
      <c r="G23" s="34">
        <f t="shared" si="8"/>
        <v>296.56</v>
      </c>
      <c r="H23" s="35">
        <f t="shared" si="9"/>
        <v>296.56</v>
      </c>
      <c r="I23" s="36">
        <v>296.56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B-02</v>
      </c>
      <c r="AY23" s="39">
        <f t="shared" si="14"/>
        <v>0</v>
      </c>
      <c r="AZ23" s="32">
        <f t="shared" si="15"/>
        <v>296.56</v>
      </c>
      <c r="BA23" s="32">
        <f t="shared" si="16"/>
        <v>296.56</v>
      </c>
      <c r="BB23" s="32">
        <f t="shared" si="17"/>
        <v>296.56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3448</v>
      </c>
      <c r="D24" s="1625" t="s">
        <v>3371</v>
      </c>
      <c r="E24" s="32">
        <f t="shared" si="7"/>
        <v>0</v>
      </c>
      <c r="F24" s="33"/>
      <c r="G24" s="34">
        <f t="shared" si="8"/>
        <v>474.03</v>
      </c>
      <c r="H24" s="35">
        <f t="shared" si="9"/>
        <v>474.03</v>
      </c>
      <c r="I24" s="36">
        <v>474.03</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B-03</v>
      </c>
      <c r="AY24" s="39">
        <f t="shared" si="14"/>
        <v>0</v>
      </c>
      <c r="AZ24" s="32">
        <f t="shared" si="15"/>
        <v>474.03</v>
      </c>
      <c r="BA24" s="32">
        <f t="shared" si="16"/>
        <v>474.03</v>
      </c>
      <c r="BB24" s="32">
        <f t="shared" si="17"/>
        <v>474.03</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3449</v>
      </c>
      <c r="D25" s="1625" t="s">
        <v>3371</v>
      </c>
      <c r="E25" s="32">
        <f t="shared" si="7"/>
        <v>0</v>
      </c>
      <c r="F25" s="33"/>
      <c r="G25" s="34">
        <f t="shared" si="8"/>
        <v>311.93</v>
      </c>
      <c r="H25" s="35">
        <f t="shared" si="9"/>
        <v>311.93</v>
      </c>
      <c r="I25" s="36">
        <v>311.93</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B-04</v>
      </c>
      <c r="AY25" s="39">
        <f t="shared" si="14"/>
        <v>0</v>
      </c>
      <c r="AZ25" s="32">
        <f t="shared" si="15"/>
        <v>311.93</v>
      </c>
      <c r="BA25" s="32">
        <f t="shared" si="16"/>
        <v>311.93</v>
      </c>
      <c r="BB25" s="32">
        <f t="shared" si="17"/>
        <v>311.93</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3450</v>
      </c>
      <c r="D26" s="1625" t="s">
        <v>3371</v>
      </c>
      <c r="E26" s="32">
        <f t="shared" si="7"/>
        <v>0</v>
      </c>
      <c r="F26" s="33"/>
      <c r="G26" s="34">
        <f t="shared" si="8"/>
        <v>76.7</v>
      </c>
      <c r="H26" s="35">
        <f t="shared" si="9"/>
        <v>76.7</v>
      </c>
      <c r="I26" s="36">
        <v>76.7</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B-05</v>
      </c>
      <c r="AY26" s="39">
        <f t="shared" si="14"/>
        <v>0</v>
      </c>
      <c r="AZ26" s="32">
        <f t="shared" si="15"/>
        <v>76.7</v>
      </c>
      <c r="BA26" s="32">
        <f t="shared" si="16"/>
        <v>76.7</v>
      </c>
      <c r="BB26" s="32">
        <f t="shared" si="17"/>
        <v>76.7</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3451</v>
      </c>
      <c r="D27" s="1625" t="s">
        <v>3371</v>
      </c>
      <c r="E27" s="32">
        <f t="shared" si="7"/>
        <v>0</v>
      </c>
      <c r="F27" s="33"/>
      <c r="G27" s="34">
        <f t="shared" si="8"/>
        <v>69.989999999999995</v>
      </c>
      <c r="H27" s="35">
        <f t="shared" si="9"/>
        <v>69.989999999999995</v>
      </c>
      <c r="I27" s="36">
        <v>69.989999999999995</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B-06</v>
      </c>
      <c r="AY27" s="39">
        <f t="shared" si="14"/>
        <v>0</v>
      </c>
      <c r="AZ27" s="32">
        <f t="shared" si="15"/>
        <v>69.989999999999995</v>
      </c>
      <c r="BA27" s="32">
        <f t="shared" si="16"/>
        <v>69.989999999999995</v>
      </c>
      <c r="BB27" s="32">
        <f t="shared" si="17"/>
        <v>69.989999999999995</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3452</v>
      </c>
      <c r="D28" s="1625" t="s">
        <v>3371</v>
      </c>
      <c r="E28" s="32">
        <f t="shared" si="7"/>
        <v>0</v>
      </c>
      <c r="F28" s="33"/>
      <c r="G28" s="34">
        <f t="shared" si="8"/>
        <v>69.989999999999995</v>
      </c>
      <c r="H28" s="35">
        <f t="shared" si="9"/>
        <v>69.989999999999995</v>
      </c>
      <c r="I28" s="36">
        <v>69.989999999999995</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B-07</v>
      </c>
      <c r="AY28" s="39">
        <f t="shared" si="14"/>
        <v>0</v>
      </c>
      <c r="AZ28" s="32">
        <f t="shared" si="15"/>
        <v>69.989999999999995</v>
      </c>
      <c r="BA28" s="32">
        <f t="shared" si="16"/>
        <v>69.989999999999995</v>
      </c>
      <c r="BB28" s="32">
        <f t="shared" si="17"/>
        <v>69.989999999999995</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3453</v>
      </c>
      <c r="D29" s="1625" t="s">
        <v>3371</v>
      </c>
      <c r="E29" s="32">
        <f t="shared" si="7"/>
        <v>0</v>
      </c>
      <c r="F29" s="33"/>
      <c r="G29" s="34">
        <f t="shared" si="8"/>
        <v>38.340000000000003</v>
      </c>
      <c r="H29" s="35">
        <f t="shared" si="9"/>
        <v>38.340000000000003</v>
      </c>
      <c r="I29" s="36">
        <v>38.340000000000003</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B-08</v>
      </c>
      <c r="AY29" s="39">
        <f t="shared" si="14"/>
        <v>0</v>
      </c>
      <c r="AZ29" s="32">
        <f t="shared" si="15"/>
        <v>38.340000000000003</v>
      </c>
      <c r="BA29" s="32">
        <f t="shared" si="16"/>
        <v>38.340000000000003</v>
      </c>
      <c r="BB29" s="32">
        <f t="shared" si="17"/>
        <v>38.340000000000003</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3454</v>
      </c>
      <c r="D30" s="1625" t="s">
        <v>3371</v>
      </c>
      <c r="E30" s="32">
        <f t="shared" si="7"/>
        <v>0</v>
      </c>
      <c r="F30" s="33"/>
      <c r="G30" s="34">
        <f t="shared" si="8"/>
        <v>311.93</v>
      </c>
      <c r="H30" s="35">
        <f t="shared" si="9"/>
        <v>311.93</v>
      </c>
      <c r="I30" s="36">
        <v>311.93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B-09</v>
      </c>
      <c r="AY30" s="39">
        <f t="shared" si="14"/>
        <v>0</v>
      </c>
      <c r="AZ30" s="32">
        <f t="shared" si="15"/>
        <v>311.93</v>
      </c>
      <c r="BA30" s="32">
        <f t="shared" si="16"/>
        <v>311.93</v>
      </c>
      <c r="BB30" s="32">
        <f t="shared" si="17"/>
        <v>311.93</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8</v>
      </c>
      <c r="C31" s="1051" t="s">
        <v>3437</v>
      </c>
      <c r="D31" s="1625" t="s">
        <v>3371</v>
      </c>
      <c r="E31" s="32">
        <f t="shared" si="7"/>
        <v>0</v>
      </c>
      <c r="F31" s="33"/>
      <c r="G31" s="34">
        <f t="shared" si="8"/>
        <v>474.03</v>
      </c>
      <c r="H31" s="35">
        <f t="shared" si="9"/>
        <v>474.03</v>
      </c>
      <c r="I31" s="36">
        <v>474.03</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8</v>
      </c>
      <c r="AX31" s="1343" t="str">
        <f t="shared" si="13"/>
        <v>A-01</v>
      </c>
      <c r="AY31" s="39">
        <f t="shared" si="14"/>
        <v>0</v>
      </c>
      <c r="AZ31" s="32">
        <f t="shared" si="15"/>
        <v>474.03</v>
      </c>
      <c r="BA31" s="32">
        <f t="shared" si="16"/>
        <v>474.03</v>
      </c>
      <c r="BB31" s="32">
        <f t="shared" si="17"/>
        <v>474.03</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t="s">
        <v>3438</v>
      </c>
      <c r="D32" s="1625" t="s">
        <v>3371</v>
      </c>
      <c r="E32" s="32">
        <f t="shared" si="7"/>
        <v>0</v>
      </c>
      <c r="F32" s="33"/>
      <c r="G32" s="34">
        <f t="shared" si="8"/>
        <v>296.56</v>
      </c>
      <c r="H32" s="35">
        <f t="shared" si="9"/>
        <v>296.56</v>
      </c>
      <c r="I32" s="36">
        <v>296.56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A-02</v>
      </c>
      <c r="AY32" s="39">
        <f t="shared" si="14"/>
        <v>0</v>
      </c>
      <c r="AZ32" s="32">
        <f t="shared" si="15"/>
        <v>296.56</v>
      </c>
      <c r="BA32" s="32">
        <f t="shared" si="16"/>
        <v>296.56</v>
      </c>
      <c r="BB32" s="32">
        <f t="shared" si="17"/>
        <v>296.56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t="s">
        <v>3439</v>
      </c>
      <c r="D33" s="1625" t="s">
        <v>3371</v>
      </c>
      <c r="E33" s="32">
        <f t="shared" si="7"/>
        <v>0</v>
      </c>
      <c r="F33" s="33"/>
      <c r="G33" s="34">
        <f t="shared" si="8"/>
        <v>474.03</v>
      </c>
      <c r="H33" s="35">
        <f t="shared" si="9"/>
        <v>474.03</v>
      </c>
      <c r="I33" s="36">
        <v>474.03</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A-03</v>
      </c>
      <c r="AY33" s="39">
        <f t="shared" si="14"/>
        <v>0</v>
      </c>
      <c r="AZ33" s="32">
        <f t="shared" si="15"/>
        <v>474.03</v>
      </c>
      <c r="BA33" s="32">
        <f t="shared" si="16"/>
        <v>474.03</v>
      </c>
      <c r="BB33" s="32">
        <f t="shared" si="17"/>
        <v>474.03</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t="s">
        <v>3440</v>
      </c>
      <c r="D34" s="1625" t="s">
        <v>3371</v>
      </c>
      <c r="E34" s="32">
        <f t="shared" si="7"/>
        <v>0</v>
      </c>
      <c r="F34" s="33"/>
      <c r="G34" s="34">
        <f t="shared" si="8"/>
        <v>311.93</v>
      </c>
      <c r="H34" s="35">
        <f t="shared" si="9"/>
        <v>311.93</v>
      </c>
      <c r="I34" s="36">
        <v>311.93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A-04</v>
      </c>
      <c r="AY34" s="39">
        <f t="shared" si="14"/>
        <v>0</v>
      </c>
      <c r="AZ34" s="32">
        <f t="shared" si="15"/>
        <v>311.93</v>
      </c>
      <c r="BA34" s="32">
        <f t="shared" si="16"/>
        <v>311.93</v>
      </c>
      <c r="BB34" s="32">
        <f t="shared" si="17"/>
        <v>311.93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t="s">
        <v>3441</v>
      </c>
      <c r="D35" s="1625" t="s">
        <v>3371</v>
      </c>
      <c r="E35" s="32">
        <f t="shared" si="7"/>
        <v>0</v>
      </c>
      <c r="F35" s="33"/>
      <c r="G35" s="34">
        <f t="shared" si="8"/>
        <v>76.7</v>
      </c>
      <c r="H35" s="35">
        <f t="shared" si="9"/>
        <v>76.7</v>
      </c>
      <c r="I35" s="36">
        <v>76.7</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A-05</v>
      </c>
      <c r="AY35" s="39">
        <f t="shared" si="14"/>
        <v>0</v>
      </c>
      <c r="AZ35" s="32">
        <f t="shared" si="15"/>
        <v>76.7</v>
      </c>
      <c r="BA35" s="32">
        <f t="shared" si="16"/>
        <v>76.7</v>
      </c>
      <c r="BB35" s="32">
        <f t="shared" si="17"/>
        <v>76.7</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t="s">
        <v>3442</v>
      </c>
      <c r="D36" s="1625" t="s">
        <v>3371</v>
      </c>
      <c r="E36" s="32">
        <f t="shared" si="7"/>
        <v>0</v>
      </c>
      <c r="F36" s="33"/>
      <c r="G36" s="34">
        <f t="shared" si="8"/>
        <v>69.989999999999995</v>
      </c>
      <c r="H36" s="35">
        <f t="shared" si="9"/>
        <v>69.989999999999995</v>
      </c>
      <c r="I36" s="36">
        <v>69.989999999999995</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A-06</v>
      </c>
      <c r="AY36" s="39">
        <f t="shared" si="14"/>
        <v>0</v>
      </c>
      <c r="AZ36" s="32">
        <f t="shared" si="15"/>
        <v>69.989999999999995</v>
      </c>
      <c r="BA36" s="32">
        <f t="shared" si="16"/>
        <v>69.989999999999995</v>
      </c>
      <c r="BB36" s="32">
        <f t="shared" si="17"/>
        <v>69.989999999999995</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t="s">
        <v>3443</v>
      </c>
      <c r="D37" s="1625" t="s">
        <v>3371</v>
      </c>
      <c r="E37" s="32">
        <f t="shared" si="7"/>
        <v>0</v>
      </c>
      <c r="F37" s="33"/>
      <c r="G37" s="34">
        <f t="shared" si="8"/>
        <v>69.989999999999995</v>
      </c>
      <c r="H37" s="35">
        <f t="shared" si="9"/>
        <v>69.989999999999995</v>
      </c>
      <c r="I37" s="36">
        <v>69.989999999999995</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A-07</v>
      </c>
      <c r="AY37" s="39">
        <f t="shared" si="14"/>
        <v>0</v>
      </c>
      <c r="AZ37" s="32">
        <f t="shared" si="15"/>
        <v>69.989999999999995</v>
      </c>
      <c r="BA37" s="32">
        <f t="shared" si="16"/>
        <v>69.989999999999995</v>
      </c>
      <c r="BB37" s="32">
        <f t="shared" si="17"/>
        <v>69.989999999999995</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t="s">
        <v>3444</v>
      </c>
      <c r="D38" s="1625" t="s">
        <v>3371</v>
      </c>
      <c r="E38" s="32">
        <f t="shared" si="7"/>
        <v>0</v>
      </c>
      <c r="F38" s="33"/>
      <c r="G38" s="34">
        <f t="shared" si="8"/>
        <v>38.340000000000003</v>
      </c>
      <c r="H38" s="35">
        <f t="shared" si="9"/>
        <v>38.340000000000003</v>
      </c>
      <c r="I38" s="36">
        <v>38.340000000000003</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A-08</v>
      </c>
      <c r="AY38" s="39">
        <f t="shared" si="14"/>
        <v>0</v>
      </c>
      <c r="AZ38" s="32">
        <f t="shared" si="15"/>
        <v>38.340000000000003</v>
      </c>
      <c r="BA38" s="32">
        <f t="shared" si="16"/>
        <v>38.340000000000003</v>
      </c>
      <c r="BB38" s="32">
        <f t="shared" si="17"/>
        <v>38.340000000000003</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t="s">
        <v>3445</v>
      </c>
      <c r="D39" s="1625" t="s">
        <v>3371</v>
      </c>
      <c r="E39" s="32">
        <f t="shared" si="7"/>
        <v>0</v>
      </c>
      <c r="F39" s="33"/>
      <c r="G39" s="34">
        <f t="shared" si="8"/>
        <v>311.93</v>
      </c>
      <c r="H39" s="35">
        <f t="shared" si="9"/>
        <v>311.93</v>
      </c>
      <c r="I39" s="36">
        <v>311.93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A-09</v>
      </c>
      <c r="AY39" s="39">
        <f t="shared" si="14"/>
        <v>0</v>
      </c>
      <c r="AZ39" s="32">
        <f t="shared" si="15"/>
        <v>311.93</v>
      </c>
      <c r="BA39" s="32">
        <f t="shared" si="16"/>
        <v>311.93</v>
      </c>
      <c r="BB39" s="32">
        <f t="shared" si="17"/>
        <v>311.93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3446</v>
      </c>
      <c r="D40" s="1625" t="s">
        <v>3371</v>
      </c>
      <c r="E40" s="32">
        <f t="shared" si="7"/>
        <v>0</v>
      </c>
      <c r="F40" s="33"/>
      <c r="G40" s="34">
        <f t="shared" si="8"/>
        <v>474.03</v>
      </c>
      <c r="H40" s="35">
        <f t="shared" si="9"/>
        <v>474.03</v>
      </c>
      <c r="I40" s="36">
        <v>474.03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B-01</v>
      </c>
      <c r="AY40" s="39">
        <f t="shared" si="14"/>
        <v>0</v>
      </c>
      <c r="AZ40" s="32">
        <f t="shared" si="15"/>
        <v>474.03</v>
      </c>
      <c r="BA40" s="32">
        <f t="shared" si="16"/>
        <v>474.03</v>
      </c>
      <c r="BB40" s="32">
        <f t="shared" si="17"/>
        <v>474.03</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t="s">
        <v>3447</v>
      </c>
      <c r="D41" s="1625" t="s">
        <v>3371</v>
      </c>
      <c r="E41" s="32">
        <f t="shared" si="7"/>
        <v>0</v>
      </c>
      <c r="F41" s="33"/>
      <c r="G41" s="34">
        <f t="shared" si="8"/>
        <v>296.56</v>
      </c>
      <c r="H41" s="35">
        <f t="shared" si="9"/>
        <v>296.56</v>
      </c>
      <c r="I41" s="36">
        <v>296.56</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B-02</v>
      </c>
      <c r="AY41" s="39">
        <f t="shared" si="14"/>
        <v>0</v>
      </c>
      <c r="AZ41" s="32">
        <f t="shared" si="15"/>
        <v>296.56</v>
      </c>
      <c r="BA41" s="32">
        <f t="shared" si="16"/>
        <v>296.56</v>
      </c>
      <c r="BB41" s="32">
        <f t="shared" si="17"/>
        <v>296.56</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t="s">
        <v>3448</v>
      </c>
      <c r="D42" s="1625" t="s">
        <v>3371</v>
      </c>
      <c r="E42" s="32">
        <f t="shared" si="7"/>
        <v>0</v>
      </c>
      <c r="F42" s="33"/>
      <c r="G42" s="34">
        <f t="shared" si="8"/>
        <v>474.03</v>
      </c>
      <c r="H42" s="35">
        <f t="shared" si="9"/>
        <v>474.03</v>
      </c>
      <c r="I42" s="36">
        <v>474.03</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t="str">
        <f t="shared" si="13"/>
        <v>B-03</v>
      </c>
      <c r="AY42" s="39">
        <f t="shared" si="14"/>
        <v>0</v>
      </c>
      <c r="AZ42" s="32">
        <f t="shared" si="15"/>
        <v>474.03</v>
      </c>
      <c r="BA42" s="32">
        <f t="shared" si="16"/>
        <v>474.03</v>
      </c>
      <c r="BB42" s="32">
        <f t="shared" si="17"/>
        <v>474.03</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t="s">
        <v>3449</v>
      </c>
      <c r="D43" s="1625" t="s">
        <v>3371</v>
      </c>
      <c r="E43" s="32">
        <f t="shared" si="7"/>
        <v>0</v>
      </c>
      <c r="F43" s="33"/>
      <c r="G43" s="34">
        <f t="shared" si="8"/>
        <v>311.93</v>
      </c>
      <c r="H43" s="35">
        <f t="shared" si="9"/>
        <v>311.93</v>
      </c>
      <c r="I43" s="36">
        <v>311.93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t="str">
        <f t="shared" si="13"/>
        <v>B-04</v>
      </c>
      <c r="AY43" s="39">
        <f t="shared" si="14"/>
        <v>0</v>
      </c>
      <c r="AZ43" s="32">
        <f t="shared" si="15"/>
        <v>311.93</v>
      </c>
      <c r="BA43" s="32">
        <f t="shared" si="16"/>
        <v>311.93</v>
      </c>
      <c r="BB43" s="32">
        <f t="shared" si="17"/>
        <v>311.93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t="s">
        <v>3450</v>
      </c>
      <c r="D44" s="1625" t="s">
        <v>3371</v>
      </c>
      <c r="E44" s="32">
        <f t="shared" si="7"/>
        <v>0</v>
      </c>
      <c r="F44" s="33"/>
      <c r="G44" s="34">
        <f t="shared" si="8"/>
        <v>76.7</v>
      </c>
      <c r="H44" s="35">
        <f t="shared" si="9"/>
        <v>76.7</v>
      </c>
      <c r="I44" s="36">
        <v>76.7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t="str">
        <f t="shared" si="13"/>
        <v>B-05</v>
      </c>
      <c r="AY44" s="39">
        <f t="shared" si="14"/>
        <v>0</v>
      </c>
      <c r="AZ44" s="32">
        <f t="shared" si="15"/>
        <v>76.7</v>
      </c>
      <c r="BA44" s="32">
        <f t="shared" si="16"/>
        <v>76.7</v>
      </c>
      <c r="BB44" s="32">
        <f t="shared" si="17"/>
        <v>76.7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t="s">
        <v>3451</v>
      </c>
      <c r="D45" s="1625" t="s">
        <v>3371</v>
      </c>
      <c r="E45" s="32">
        <f t="shared" si="7"/>
        <v>0</v>
      </c>
      <c r="F45" s="33"/>
      <c r="G45" s="34">
        <f t="shared" si="8"/>
        <v>69.989999999999995</v>
      </c>
      <c r="H45" s="35">
        <f t="shared" si="9"/>
        <v>69.989999999999995</v>
      </c>
      <c r="I45" s="36">
        <v>69.989999999999995</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t="str">
        <f t="shared" si="13"/>
        <v>B-06</v>
      </c>
      <c r="AY45" s="39">
        <f t="shared" si="14"/>
        <v>0</v>
      </c>
      <c r="AZ45" s="32">
        <f t="shared" si="15"/>
        <v>69.989999999999995</v>
      </c>
      <c r="BA45" s="32">
        <f t="shared" si="16"/>
        <v>69.989999999999995</v>
      </c>
      <c r="BB45" s="32">
        <f t="shared" si="17"/>
        <v>69.989999999999995</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t="s">
        <v>3452</v>
      </c>
      <c r="D46" s="1625" t="s">
        <v>3371</v>
      </c>
      <c r="E46" s="32">
        <f t="shared" si="7"/>
        <v>0</v>
      </c>
      <c r="F46" s="33"/>
      <c r="G46" s="34">
        <f t="shared" si="8"/>
        <v>69.989999999999995</v>
      </c>
      <c r="H46" s="35">
        <f t="shared" si="9"/>
        <v>69.989999999999995</v>
      </c>
      <c r="I46" s="36">
        <v>69.989999999999995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t="str">
        <f t="shared" si="13"/>
        <v>B-07</v>
      </c>
      <c r="AY46" s="39">
        <f t="shared" si="14"/>
        <v>0</v>
      </c>
      <c r="AZ46" s="32">
        <f t="shared" si="15"/>
        <v>69.989999999999995</v>
      </c>
      <c r="BA46" s="32">
        <f t="shared" si="16"/>
        <v>69.989999999999995</v>
      </c>
      <c r="BB46" s="32">
        <f t="shared" si="17"/>
        <v>69.989999999999995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t="s">
        <v>3453</v>
      </c>
      <c r="D47" s="1625" t="s">
        <v>3371</v>
      </c>
      <c r="E47" s="32">
        <f t="shared" si="7"/>
        <v>0</v>
      </c>
      <c r="F47" s="33"/>
      <c r="G47" s="34">
        <f t="shared" si="8"/>
        <v>38.340000000000003</v>
      </c>
      <c r="H47" s="35">
        <f t="shared" si="9"/>
        <v>38.340000000000003</v>
      </c>
      <c r="I47" s="36">
        <v>38.340000000000003</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t="str">
        <f t="shared" si="13"/>
        <v>B-08</v>
      </c>
      <c r="AY47" s="39">
        <f t="shared" si="14"/>
        <v>0</v>
      </c>
      <c r="AZ47" s="32">
        <f t="shared" si="15"/>
        <v>38.340000000000003</v>
      </c>
      <c r="BA47" s="32">
        <f t="shared" si="16"/>
        <v>38.340000000000003</v>
      </c>
      <c r="BB47" s="32">
        <f t="shared" si="17"/>
        <v>38.340000000000003</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t="s">
        <v>3454</v>
      </c>
      <c r="D48" s="1625" t="s">
        <v>3371</v>
      </c>
      <c r="E48" s="32">
        <f t="shared" si="7"/>
        <v>0</v>
      </c>
      <c r="F48" s="33"/>
      <c r="G48" s="34">
        <f t="shared" si="8"/>
        <v>311.93</v>
      </c>
      <c r="H48" s="35">
        <f t="shared" si="9"/>
        <v>311.93</v>
      </c>
      <c r="I48" s="36">
        <v>311.93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t="str">
        <f t="shared" si="13"/>
        <v>B-09</v>
      </c>
      <c r="AY48" s="39">
        <f t="shared" si="14"/>
        <v>0</v>
      </c>
      <c r="AZ48" s="32">
        <f t="shared" si="15"/>
        <v>311.93</v>
      </c>
      <c r="BA48" s="32">
        <f t="shared" si="16"/>
        <v>311.93</v>
      </c>
      <c r="BB48" s="32">
        <f t="shared" si="17"/>
        <v>311.93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9</v>
      </c>
      <c r="C49" s="1051" t="s">
        <v>3437</v>
      </c>
      <c r="D49" s="1625" t="s">
        <v>3371</v>
      </c>
      <c r="E49" s="32">
        <f t="shared" si="7"/>
        <v>0</v>
      </c>
      <c r="F49" s="33"/>
      <c r="G49" s="34">
        <f t="shared" si="8"/>
        <v>479.21</v>
      </c>
      <c r="H49" s="35">
        <f t="shared" si="9"/>
        <v>479.21</v>
      </c>
      <c r="I49" s="36">
        <v>479.21</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9</v>
      </c>
      <c r="AX49" s="1343" t="str">
        <f t="shared" si="13"/>
        <v>A-01</v>
      </c>
      <c r="AY49" s="39">
        <f t="shared" si="14"/>
        <v>0</v>
      </c>
      <c r="AZ49" s="32">
        <f t="shared" si="15"/>
        <v>479.21</v>
      </c>
      <c r="BA49" s="32">
        <f t="shared" si="16"/>
        <v>479.21</v>
      </c>
      <c r="BB49" s="32">
        <f t="shared" si="17"/>
        <v>479.21</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51" t="s">
        <v>3438</v>
      </c>
      <c r="D50" s="1625" t="s">
        <v>3371</v>
      </c>
      <c r="E50" s="32">
        <f t="shared" si="7"/>
        <v>0</v>
      </c>
      <c r="F50" s="33"/>
      <c r="G50" s="34">
        <f t="shared" si="8"/>
        <v>299.58999999999997</v>
      </c>
      <c r="H50" s="35">
        <f t="shared" si="9"/>
        <v>299.58999999999997</v>
      </c>
      <c r="I50" s="36">
        <v>299.58999999999997</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t="str">
        <f t="shared" si="13"/>
        <v>A-02</v>
      </c>
      <c r="AY50" s="39">
        <f t="shared" si="14"/>
        <v>0</v>
      </c>
      <c r="AZ50" s="32">
        <f t="shared" si="15"/>
        <v>299.58999999999997</v>
      </c>
      <c r="BA50" s="32">
        <f t="shared" si="16"/>
        <v>299.58999999999997</v>
      </c>
      <c r="BB50" s="32">
        <f t="shared" si="17"/>
        <v>299.58999999999997</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51" t="s">
        <v>3439</v>
      </c>
      <c r="D51" s="1625" t="s">
        <v>3371</v>
      </c>
      <c r="E51" s="32">
        <f t="shared" si="7"/>
        <v>0</v>
      </c>
      <c r="F51" s="33"/>
      <c r="G51" s="34">
        <f t="shared" si="8"/>
        <v>479.21</v>
      </c>
      <c r="H51" s="35">
        <f t="shared" si="9"/>
        <v>479.21</v>
      </c>
      <c r="I51" s="36">
        <v>479.21</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t="str">
        <f t="shared" si="13"/>
        <v>A-03</v>
      </c>
      <c r="AY51" s="39">
        <f t="shared" si="14"/>
        <v>0</v>
      </c>
      <c r="AZ51" s="32">
        <f t="shared" si="15"/>
        <v>479.21</v>
      </c>
      <c r="BA51" s="32">
        <f t="shared" si="16"/>
        <v>479.21</v>
      </c>
      <c r="BB51" s="32">
        <f t="shared" si="17"/>
        <v>479.21</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51" t="s">
        <v>3440</v>
      </c>
      <c r="D52" s="1625" t="s">
        <v>3371</v>
      </c>
      <c r="E52" s="32">
        <f t="shared" si="7"/>
        <v>0</v>
      </c>
      <c r="F52" s="33"/>
      <c r="G52" s="34">
        <f t="shared" si="8"/>
        <v>309.51</v>
      </c>
      <c r="H52" s="35">
        <f t="shared" si="9"/>
        <v>309.51</v>
      </c>
      <c r="I52" s="36">
        <v>309.51</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t="str">
        <f t="shared" si="13"/>
        <v>A-04</v>
      </c>
      <c r="AY52" s="39">
        <f t="shared" si="14"/>
        <v>0</v>
      </c>
      <c r="AZ52" s="32">
        <f t="shared" si="15"/>
        <v>309.51</v>
      </c>
      <c r="BA52" s="32">
        <f t="shared" si="16"/>
        <v>309.51</v>
      </c>
      <c r="BB52" s="32">
        <f t="shared" si="17"/>
        <v>309.51</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51" t="s">
        <v>3441</v>
      </c>
      <c r="D53" s="1625" t="s">
        <v>3371</v>
      </c>
      <c r="E53" s="32">
        <f t="shared" si="7"/>
        <v>0</v>
      </c>
      <c r="F53" s="33"/>
      <c r="G53" s="34">
        <f t="shared" si="8"/>
        <v>38.729999999999997</v>
      </c>
      <c r="H53" s="35">
        <f t="shared" si="9"/>
        <v>38.729999999999997</v>
      </c>
      <c r="I53" s="36">
        <v>38.729999999999997</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t="str">
        <f t="shared" si="13"/>
        <v>A-05</v>
      </c>
      <c r="AY53" s="39">
        <f t="shared" si="14"/>
        <v>0</v>
      </c>
      <c r="AZ53" s="32">
        <f t="shared" si="15"/>
        <v>38.729999999999997</v>
      </c>
      <c r="BA53" s="32">
        <f t="shared" si="16"/>
        <v>38.729999999999997</v>
      </c>
      <c r="BB53" s="32">
        <f t="shared" si="17"/>
        <v>38.729999999999997</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51" t="s">
        <v>3442</v>
      </c>
      <c r="D54" s="1625" t="s">
        <v>3371</v>
      </c>
      <c r="E54" s="32">
        <f t="shared" si="7"/>
        <v>0</v>
      </c>
      <c r="F54" s="33"/>
      <c r="G54" s="34">
        <f t="shared" si="8"/>
        <v>70.709999999999994</v>
      </c>
      <c r="H54" s="35">
        <f t="shared" si="9"/>
        <v>70.709999999999994</v>
      </c>
      <c r="I54" s="36">
        <v>70.709999999999994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t="str">
        <f t="shared" si="13"/>
        <v>A-06</v>
      </c>
      <c r="AY54" s="39">
        <f t="shared" si="14"/>
        <v>0</v>
      </c>
      <c r="AZ54" s="32">
        <f t="shared" si="15"/>
        <v>70.709999999999994</v>
      </c>
      <c r="BA54" s="32">
        <f t="shared" si="16"/>
        <v>70.709999999999994</v>
      </c>
      <c r="BB54" s="32">
        <f t="shared" si="17"/>
        <v>70.709999999999994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51" t="s">
        <v>3443</v>
      </c>
      <c r="D55" s="1625" t="s">
        <v>3371</v>
      </c>
      <c r="E55" s="32">
        <f t="shared" si="7"/>
        <v>0</v>
      </c>
      <c r="F55" s="33"/>
      <c r="G55" s="34">
        <f t="shared" si="8"/>
        <v>70.709999999999994</v>
      </c>
      <c r="H55" s="35">
        <f t="shared" si="9"/>
        <v>70.709999999999994</v>
      </c>
      <c r="I55" s="36">
        <v>70.709999999999994</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t="str">
        <f t="shared" si="13"/>
        <v>A-07</v>
      </c>
      <c r="AY55" s="39">
        <f t="shared" si="14"/>
        <v>0</v>
      </c>
      <c r="AZ55" s="32">
        <f t="shared" si="15"/>
        <v>70.709999999999994</v>
      </c>
      <c r="BA55" s="32">
        <f t="shared" si="16"/>
        <v>70.709999999999994</v>
      </c>
      <c r="BB55" s="32">
        <f t="shared" si="17"/>
        <v>70.709999999999994</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51" t="s">
        <v>3444</v>
      </c>
      <c r="D56" s="1625" t="s">
        <v>3371</v>
      </c>
      <c r="E56" s="32">
        <f t="shared" si="7"/>
        <v>0</v>
      </c>
      <c r="F56" s="33"/>
      <c r="G56" s="34">
        <f t="shared" si="8"/>
        <v>38.729999999999997</v>
      </c>
      <c r="H56" s="35">
        <f t="shared" si="9"/>
        <v>38.729999999999997</v>
      </c>
      <c r="I56" s="36">
        <v>38.729999999999997</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t="str">
        <f t="shared" si="13"/>
        <v>A-08</v>
      </c>
      <c r="AY56" s="39">
        <f t="shared" si="14"/>
        <v>0</v>
      </c>
      <c r="AZ56" s="32">
        <f t="shared" si="15"/>
        <v>38.729999999999997</v>
      </c>
      <c r="BA56" s="32">
        <f t="shared" si="16"/>
        <v>38.729999999999997</v>
      </c>
      <c r="BB56" s="32">
        <f t="shared" si="17"/>
        <v>38.729999999999997</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51" t="s">
        <v>3445</v>
      </c>
      <c r="D57" s="1625" t="s">
        <v>3371</v>
      </c>
      <c r="E57" s="32">
        <f t="shared" si="7"/>
        <v>0</v>
      </c>
      <c r="F57" s="33"/>
      <c r="G57" s="34">
        <f t="shared" si="8"/>
        <v>309.51</v>
      </c>
      <c r="H57" s="35">
        <f t="shared" si="9"/>
        <v>309.51</v>
      </c>
      <c r="I57" s="36">
        <v>309.51</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t="str">
        <f t="shared" si="13"/>
        <v>A-09</v>
      </c>
      <c r="AY57" s="39">
        <f t="shared" si="14"/>
        <v>0</v>
      </c>
      <c r="AZ57" s="32">
        <f t="shared" si="15"/>
        <v>309.51</v>
      </c>
      <c r="BA57" s="32">
        <f t="shared" si="16"/>
        <v>309.51</v>
      </c>
      <c r="BB57" s="32">
        <f t="shared" si="17"/>
        <v>309.51</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t="s">
        <v>3446</v>
      </c>
      <c r="D58" s="1625" t="s">
        <v>3371</v>
      </c>
      <c r="E58" s="32">
        <f t="shared" si="7"/>
        <v>0</v>
      </c>
      <c r="F58" s="33"/>
      <c r="G58" s="34">
        <f t="shared" si="8"/>
        <v>479.21</v>
      </c>
      <c r="H58" s="35">
        <f t="shared" si="9"/>
        <v>479.21</v>
      </c>
      <c r="I58" s="36">
        <v>479.21</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t="str">
        <f t="shared" si="13"/>
        <v>B-01</v>
      </c>
      <c r="AY58" s="39">
        <f t="shared" si="14"/>
        <v>0</v>
      </c>
      <c r="AZ58" s="32">
        <f t="shared" si="15"/>
        <v>479.21</v>
      </c>
      <c r="BA58" s="32">
        <f t="shared" si="16"/>
        <v>479.21</v>
      </c>
      <c r="BB58" s="32">
        <f t="shared" si="17"/>
        <v>479.21</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t="s">
        <v>3447</v>
      </c>
      <c r="D59" s="1625" t="s">
        <v>3371</v>
      </c>
      <c r="E59" s="32">
        <f t="shared" si="7"/>
        <v>0</v>
      </c>
      <c r="F59" s="33"/>
      <c r="G59" s="34">
        <f t="shared" si="8"/>
        <v>299.58999999999997</v>
      </c>
      <c r="H59" s="35">
        <f t="shared" si="9"/>
        <v>299.58999999999997</v>
      </c>
      <c r="I59" s="36">
        <v>299.58999999999997</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t="str">
        <f t="shared" si="13"/>
        <v>B-02</v>
      </c>
      <c r="AY59" s="39">
        <f t="shared" si="14"/>
        <v>0</v>
      </c>
      <c r="AZ59" s="32">
        <f t="shared" si="15"/>
        <v>299.58999999999997</v>
      </c>
      <c r="BA59" s="32">
        <f t="shared" si="16"/>
        <v>299.58999999999997</v>
      </c>
      <c r="BB59" s="32">
        <f t="shared" si="17"/>
        <v>299.58999999999997</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t="s">
        <v>3448</v>
      </c>
      <c r="D60" s="1625" t="s">
        <v>3371</v>
      </c>
      <c r="E60" s="32">
        <f t="shared" si="7"/>
        <v>0</v>
      </c>
      <c r="F60" s="33"/>
      <c r="G60" s="34">
        <f t="shared" si="8"/>
        <v>479.21</v>
      </c>
      <c r="H60" s="35">
        <f t="shared" si="9"/>
        <v>479.21</v>
      </c>
      <c r="I60" s="36">
        <v>479.21</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t="str">
        <f t="shared" si="13"/>
        <v>B-03</v>
      </c>
      <c r="AY60" s="39">
        <f t="shared" si="14"/>
        <v>0</v>
      </c>
      <c r="AZ60" s="32">
        <f t="shared" si="15"/>
        <v>479.21</v>
      </c>
      <c r="BA60" s="32">
        <f t="shared" si="16"/>
        <v>479.21</v>
      </c>
      <c r="BB60" s="32">
        <f t="shared" si="17"/>
        <v>479.21</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t="s">
        <v>3449</v>
      </c>
      <c r="D61" s="1625" t="s">
        <v>3371</v>
      </c>
      <c r="E61" s="32">
        <f t="shared" si="7"/>
        <v>0</v>
      </c>
      <c r="F61" s="33"/>
      <c r="G61" s="34">
        <f t="shared" si="8"/>
        <v>309.51</v>
      </c>
      <c r="H61" s="35">
        <f t="shared" si="9"/>
        <v>309.51</v>
      </c>
      <c r="I61" s="36">
        <v>309.51</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t="str">
        <f t="shared" si="13"/>
        <v>B-04</v>
      </c>
      <c r="AY61" s="39">
        <f t="shared" si="14"/>
        <v>0</v>
      </c>
      <c r="AZ61" s="32">
        <f t="shared" si="15"/>
        <v>309.51</v>
      </c>
      <c r="BA61" s="32">
        <f t="shared" si="16"/>
        <v>309.51</v>
      </c>
      <c r="BB61" s="32">
        <f t="shared" si="17"/>
        <v>309.51</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t="s">
        <v>3450</v>
      </c>
      <c r="D62" s="1625" t="s">
        <v>3371</v>
      </c>
      <c r="E62" s="32">
        <f t="shared" si="7"/>
        <v>0</v>
      </c>
      <c r="F62" s="33"/>
      <c r="G62" s="34">
        <f t="shared" si="8"/>
        <v>76.61</v>
      </c>
      <c r="H62" s="35">
        <f t="shared" si="9"/>
        <v>76.61</v>
      </c>
      <c r="I62" s="36">
        <v>76.61</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t="str">
        <f t="shared" si="13"/>
        <v>B-05</v>
      </c>
      <c r="AY62" s="39">
        <f t="shared" si="14"/>
        <v>0</v>
      </c>
      <c r="AZ62" s="32">
        <f t="shared" si="15"/>
        <v>76.61</v>
      </c>
      <c r="BA62" s="32">
        <f t="shared" si="16"/>
        <v>76.61</v>
      </c>
      <c r="BB62" s="32">
        <f t="shared" si="17"/>
        <v>76.61</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t="s">
        <v>3451</v>
      </c>
      <c r="D63" s="1625" t="s">
        <v>3371</v>
      </c>
      <c r="E63" s="32">
        <f t="shared" si="7"/>
        <v>0</v>
      </c>
      <c r="F63" s="33"/>
      <c r="G63" s="34">
        <f t="shared" si="8"/>
        <v>70.709999999999994</v>
      </c>
      <c r="H63" s="35">
        <f t="shared" si="9"/>
        <v>70.709999999999994</v>
      </c>
      <c r="I63" s="36">
        <v>70.709999999999994</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t="str">
        <f t="shared" si="13"/>
        <v>B-06</v>
      </c>
      <c r="AY63" s="39">
        <f t="shared" si="14"/>
        <v>0</v>
      </c>
      <c r="AZ63" s="32">
        <f t="shared" si="15"/>
        <v>70.709999999999994</v>
      </c>
      <c r="BA63" s="32">
        <f t="shared" si="16"/>
        <v>70.709999999999994</v>
      </c>
      <c r="BB63" s="32">
        <f t="shared" si="17"/>
        <v>70.709999999999994</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t="s">
        <v>3452</v>
      </c>
      <c r="D64" s="1625" t="s">
        <v>3371</v>
      </c>
      <c r="E64" s="32">
        <f t="shared" si="7"/>
        <v>0</v>
      </c>
      <c r="F64" s="33"/>
      <c r="G64" s="34">
        <f t="shared" si="8"/>
        <v>70.709999999999994</v>
      </c>
      <c r="H64" s="35">
        <f t="shared" si="9"/>
        <v>70.709999999999994</v>
      </c>
      <c r="I64" s="36">
        <v>70.709999999999994</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t="str">
        <f t="shared" si="13"/>
        <v>B-07</v>
      </c>
      <c r="AY64" s="39">
        <f t="shared" si="14"/>
        <v>0</v>
      </c>
      <c r="AZ64" s="32">
        <f t="shared" si="15"/>
        <v>70.709999999999994</v>
      </c>
      <c r="BA64" s="32">
        <f t="shared" si="16"/>
        <v>70.709999999999994</v>
      </c>
      <c r="BB64" s="32">
        <f t="shared" si="17"/>
        <v>70.709999999999994</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t="s">
        <v>3453</v>
      </c>
      <c r="D65" s="1625" t="s">
        <v>3371</v>
      </c>
      <c r="E65" s="32">
        <f t="shared" si="7"/>
        <v>0</v>
      </c>
      <c r="F65" s="33"/>
      <c r="G65" s="34">
        <f t="shared" si="8"/>
        <v>38.729999999999997</v>
      </c>
      <c r="H65" s="35">
        <f t="shared" si="9"/>
        <v>38.729999999999997</v>
      </c>
      <c r="I65" s="36">
        <v>38.729999999999997</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t="str">
        <f t="shared" si="13"/>
        <v>B-08</v>
      </c>
      <c r="AY65" s="39">
        <f t="shared" si="14"/>
        <v>0</v>
      </c>
      <c r="AZ65" s="32">
        <f t="shared" si="15"/>
        <v>38.729999999999997</v>
      </c>
      <c r="BA65" s="32">
        <f t="shared" si="16"/>
        <v>38.729999999999997</v>
      </c>
      <c r="BB65" s="32">
        <f t="shared" si="17"/>
        <v>38.729999999999997</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t="s">
        <v>3454</v>
      </c>
      <c r="D66" s="1625" t="s">
        <v>3371</v>
      </c>
      <c r="E66" s="32">
        <f t="shared" si="7"/>
        <v>0</v>
      </c>
      <c r="F66" s="33"/>
      <c r="G66" s="34">
        <f t="shared" si="8"/>
        <v>309.51</v>
      </c>
      <c r="H66" s="35">
        <f t="shared" si="9"/>
        <v>309.51</v>
      </c>
      <c r="I66" s="36">
        <v>309.51</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t="str">
        <f t="shared" si="13"/>
        <v>B-09</v>
      </c>
      <c r="AY66" s="39">
        <f t="shared" si="14"/>
        <v>0</v>
      </c>
      <c r="AZ66" s="32">
        <f t="shared" si="15"/>
        <v>309.51</v>
      </c>
      <c r="BA66" s="32">
        <f t="shared" si="16"/>
        <v>309.51</v>
      </c>
      <c r="BB66" s="32">
        <f t="shared" si="17"/>
        <v>309.51</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t="s">
        <v>3455</v>
      </c>
      <c r="D67" s="1625" t="s">
        <v>3371</v>
      </c>
      <c r="E67" s="32">
        <f t="shared" si="7"/>
        <v>0</v>
      </c>
      <c r="F67" s="33"/>
      <c r="G67" s="34">
        <f t="shared" si="8"/>
        <v>250.34</v>
      </c>
      <c r="H67" s="35">
        <f t="shared" si="9"/>
        <v>250.34</v>
      </c>
      <c r="I67" s="36">
        <v>250.34</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t="str">
        <f t="shared" si="13"/>
        <v>C-01</v>
      </c>
      <c r="AY67" s="39">
        <f t="shared" si="14"/>
        <v>0</v>
      </c>
      <c r="AZ67" s="32">
        <f t="shared" si="15"/>
        <v>250.34</v>
      </c>
      <c r="BA67" s="32">
        <f t="shared" si="16"/>
        <v>250.34</v>
      </c>
      <c r="BB67" s="32">
        <f t="shared" si="17"/>
        <v>250.34</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t="s">
        <v>3456</v>
      </c>
      <c r="D68" s="1625" t="s">
        <v>3371</v>
      </c>
      <c r="E68" s="32">
        <f t="shared" si="7"/>
        <v>0</v>
      </c>
      <c r="F68" s="33"/>
      <c r="G68" s="34">
        <f t="shared" si="8"/>
        <v>154.41</v>
      </c>
      <c r="H68" s="35">
        <f t="shared" si="9"/>
        <v>154.41</v>
      </c>
      <c r="I68" s="36">
        <v>154.41</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t="str">
        <f t="shared" si="13"/>
        <v>C-02</v>
      </c>
      <c r="AY68" s="39">
        <f t="shared" si="14"/>
        <v>0</v>
      </c>
      <c r="AZ68" s="32">
        <f t="shared" si="15"/>
        <v>154.41</v>
      </c>
      <c r="BA68" s="32">
        <f t="shared" si="16"/>
        <v>154.41</v>
      </c>
      <c r="BB68" s="32">
        <f t="shared" si="17"/>
        <v>154.41</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7" sqref="D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8" t="s">
        <v>1131</v>
      </c>
      <c r="B2" s="3578"/>
      <c r="C2" s="3578"/>
      <c r="D2" s="796" t="s">
        <v>1107</v>
      </c>
      <c r="E2" s="1639" t="s">
        <v>1108</v>
      </c>
      <c r="F2" s="2636"/>
      <c r="G2" s="2627"/>
      <c r="H2" s="2628"/>
      <c r="I2" s="2325" t="s">
        <v>1132</v>
      </c>
      <c r="J2" s="2636"/>
      <c r="K2" s="2636"/>
      <c r="L2" s="2636"/>
      <c r="M2" s="2636"/>
      <c r="N2" s="2638"/>
      <c r="O2" s="2636"/>
      <c r="P2" s="2636"/>
    </row>
    <row r="3" spans="1:16" ht="15.75" thickBot="1">
      <c r="A3" s="3579" t="s">
        <v>1105</v>
      </c>
      <c r="B3" s="3579"/>
      <c r="C3" s="3579"/>
      <c r="D3" s="43">
        <f>'数据-基础表'!AY6</f>
        <v>0</v>
      </c>
      <c r="E3" s="43">
        <f>'数据-基础表'!AZ5</f>
        <v>13128.449999999992</v>
      </c>
      <c r="F3" s="2636"/>
      <c r="G3" s="1145"/>
      <c r="H3" s="1026" t="s">
        <v>1106</v>
      </c>
      <c r="I3" s="855" t="e">
        <f>ROUND('数据-基础表'!B3/'数据-基础表'!A3,2)</f>
        <v>#DIV/0!</v>
      </c>
      <c r="J3" s="2636"/>
      <c r="K3" s="2636"/>
      <c r="L3" s="2636"/>
      <c r="M3" s="2636"/>
      <c r="N3" s="2638"/>
      <c r="O3" s="2636"/>
      <c r="P3" s="2636"/>
    </row>
    <row r="4" spans="1:16" ht="15">
      <c r="A4" s="3580"/>
      <c r="B4" s="3581"/>
      <c r="C4" s="3582"/>
      <c r="D4" s="1641" t="s">
        <v>1107</v>
      </c>
      <c r="E4" s="1642" t="s">
        <v>1108</v>
      </c>
      <c r="F4" s="2636"/>
      <c r="G4" s="2629" t="s">
        <v>1133</v>
      </c>
      <c r="H4" s="1026" t="s">
        <v>1113</v>
      </c>
      <c r="I4" s="855" t="e">
        <f>ROUND(SUMIF('数据-基础表'!I9:AS9,"地上",'数据-基础表'!I5:AS5)/'数据-基础表'!A3,2)</f>
        <v>#DIV/0!</v>
      </c>
      <c r="J4" s="2636"/>
      <c r="K4" s="2636"/>
      <c r="L4" s="2636"/>
      <c r="M4" s="2636"/>
      <c r="N4" s="2638"/>
      <c r="O4" s="2636"/>
      <c r="P4" s="2636"/>
    </row>
    <row r="5" spans="1:16">
      <c r="A5" s="44" t="s">
        <v>1109</v>
      </c>
      <c r="B5" s="3583" t="s">
        <v>1110</v>
      </c>
      <c r="C5" s="3583"/>
      <c r="D5" s="45">
        <f>ROUND($D$3*E5/$E$3,2)</f>
        <v>0</v>
      </c>
      <c r="E5" s="46">
        <f>SUMIF('数据-基础表'!$11:$11,"住宅",'数据-基础表'!$5:$5)</f>
        <v>0</v>
      </c>
      <c r="F5" s="2636"/>
      <c r="G5" s="1145"/>
      <c r="H5" s="1026" t="s">
        <v>1106</v>
      </c>
      <c r="I5" s="855" t="e">
        <f>ROUND(E31/D31,2)</f>
        <v>#DIV/0!</v>
      </c>
      <c r="J5" s="2636"/>
      <c r="K5" s="2636"/>
      <c r="L5" s="2636"/>
      <c r="M5" s="2636"/>
      <c r="N5" s="2636"/>
      <c r="O5" s="2636"/>
      <c r="P5" s="2636"/>
    </row>
    <row r="6" spans="1:16" ht="15" thickBot="1">
      <c r="A6" s="1644"/>
      <c r="B6" s="3583" t="s">
        <v>1111</v>
      </c>
      <c r="C6" s="3583"/>
      <c r="D6" s="45">
        <f>ROUND($D$3*E6/$E$3,2)</f>
        <v>0</v>
      </c>
      <c r="E6" s="46">
        <f>E3-E5</f>
        <v>13128.449999999992</v>
      </c>
      <c r="F6" s="2636"/>
      <c r="G6" s="2630" t="s">
        <v>1112</v>
      </c>
      <c r="H6" s="1146" t="s">
        <v>1113</v>
      </c>
      <c r="I6" s="2631" t="e">
        <f>ROUND(F31/D31,2)</f>
        <v>#DIV/0!</v>
      </c>
      <c r="J6" s="2636"/>
      <c r="K6" s="2636"/>
      <c r="L6" s="2636"/>
      <c r="M6" s="2636"/>
      <c r="N6" s="2636"/>
      <c r="O6" s="2636"/>
      <c r="P6" s="2636"/>
    </row>
    <row r="7" spans="1:16" ht="15.75" thickBot="1">
      <c r="A7" s="3575"/>
      <c r="B7" s="3576"/>
      <c r="C7" s="3577"/>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0</v>
      </c>
      <c r="E8" s="48">
        <f>SUMIF('数据-基础表'!BB10:BK10,"地上",'数据-基础表'!BB5:BK5)</f>
        <v>13128.449999999992</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0</v>
      </c>
      <c r="E16" s="50">
        <f>SUM(E8:E15)</f>
        <v>13128.449999999992</v>
      </c>
      <c r="F16" s="2636"/>
      <c r="G16" s="2637"/>
      <c r="H16" s="1648" t="s">
        <v>1135</v>
      </c>
      <c r="I16" s="1649"/>
      <c r="J16" s="1139"/>
      <c r="K16" s="3572" t="s">
        <v>1135</v>
      </c>
      <c r="L16" s="3573"/>
      <c r="M16" s="3573"/>
      <c r="N16" s="3573"/>
      <c r="O16" s="3573"/>
      <c r="P16" s="3574"/>
    </row>
    <row r="17" spans="1:19" ht="15">
      <c r="A17" s="1650" t="s">
        <v>1136</v>
      </c>
      <c r="B17" s="1651" t="s">
        <v>1137</v>
      </c>
      <c r="C17" s="1652" t="s">
        <v>1138</v>
      </c>
      <c r="D17" s="1653" t="s">
        <v>1126</v>
      </c>
      <c r="E17" s="1654" t="s">
        <v>1127</v>
      </c>
      <c r="F17" s="1655"/>
      <c r="G17" s="1656"/>
      <c r="H17" s="1657" t="s">
        <v>1139</v>
      </c>
      <c r="I17" s="1658" t="s">
        <v>1124</v>
      </c>
      <c r="J17" s="1139"/>
      <c r="K17" s="3569" t="s">
        <v>1140</v>
      </c>
      <c r="L17" s="3570"/>
      <c r="M17" s="3571"/>
      <c r="N17" s="3569" t="s">
        <v>1141</v>
      </c>
      <c r="O17" s="3570"/>
      <c r="P17" s="357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3" t="s">
        <v>3458</v>
      </c>
      <c r="D19" s="45">
        <f>ROUND($D$3*E19/$E$3,2)</f>
        <v>0</v>
      </c>
      <c r="E19" s="53">
        <f t="shared" ref="E19:E26" si="1">SUM(F19:G19)</f>
        <v>13128.449999999992</v>
      </c>
      <c r="F19" s="2771">
        <f>'数据-基础表'!I5</f>
        <v>13128.449999999992</v>
      </c>
      <c r="G19" s="277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13128.449999999992</v>
      </c>
    </row>
    <row r="20" spans="1:19">
      <c r="A20" s="1670"/>
      <c r="B20" s="47" t="s">
        <v>1153</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13128.449999999992</v>
      </c>
      <c r="F27" s="1140">
        <f>IF(SUM(F19:F26)=E8,SUM(F19:F26),"地上面积有误")</f>
        <v>13128.449999999992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13128.449999999992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0</v>
      </c>
      <c r="E31" s="676">
        <f>E27+E30</f>
        <v>13128.449999999992</v>
      </c>
      <c r="F31" s="677">
        <f>F27+F30</f>
        <v>13128.449999999992</v>
      </c>
      <c r="G31" s="678">
        <f>G27+G30</f>
        <v>0</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1161</v>
      </c>
      <c r="B2" s="1045">
        <f>项目基本情况!D3</f>
        <v>45279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52121</v>
      </c>
      <c r="F6" s="64">
        <f>SUMIF(项目基本情况!C$12:I$12,C6,项目基本情况!C$15:I$15)</f>
        <v>18.739999999999998</v>
      </c>
      <c r="G6" s="65">
        <f>IF(ISERROR(ROUND(POWER(1+H6,D6-F6)*(POWER(1+H6,F6)-1)/(POWER(1+H6,D6)-1),3)),0,ROUND(POWER(1+H6,D6-F6)*(POWER(1+H6,F6)-1)/(POWER(1+H6,D6)-1),3))</f>
        <v>0.69799999999999995</v>
      </c>
      <c r="H6" s="732">
        <v>0.05</v>
      </c>
      <c r="I6" s="732">
        <v>5.5E-2</v>
      </c>
      <c r="J6" s="66">
        <v>7.0000000000000007E-2</v>
      </c>
      <c r="K6" s="1030">
        <f>SUMIF('数据-汇总表'!C$19:C$33,A6,'数据-汇总表'!E$19:E$33)</f>
        <v>13128.449999999992</v>
      </c>
      <c r="L6" s="733">
        <v>5500</v>
      </c>
      <c r="M6" s="67">
        <f t="shared" ref="M6:M14" si="0">ROUND(K6*L6/10000,0)</f>
        <v>7221</v>
      </c>
      <c r="N6" s="731">
        <f>N23</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7</v>
      </c>
      <c r="V6" s="70">
        <v>0.03</v>
      </c>
      <c r="W6" s="70">
        <v>0.1</v>
      </c>
      <c r="X6" s="1040"/>
      <c r="Y6" s="71">
        <f>N6</f>
        <v>0.79</v>
      </c>
      <c r="Z6" s="72"/>
      <c r="AA6" s="66"/>
      <c r="AB6" s="66"/>
      <c r="AC6" s="1040"/>
      <c r="AD6" s="73"/>
      <c r="AE6" s="1041">
        <f ca="1">IF(AN6="",0,SUMIF(INDIRECT("'"&amp;AN6&amp;"'"&amp;"!E:E"),$AE$5,INDIRECT("'"&amp;AN6&amp;"'"&amp;"!F:F")))</f>
        <v>18.739999999999998</v>
      </c>
      <c r="AF6" s="1348"/>
      <c r="AG6" s="138">
        <f>IF(AF6="",0,AE6-AF6)</f>
        <v>0</v>
      </c>
      <c r="AH6" s="74"/>
      <c r="AI6" s="76">
        <v>365</v>
      </c>
      <c r="AJ6" s="77"/>
      <c r="AK6" s="78">
        <v>5.0000000000000001E-3</v>
      </c>
      <c r="AL6" s="79">
        <v>1E-3</v>
      </c>
      <c r="AM6" s="80">
        <v>5.0000000000000001E-3</v>
      </c>
      <c r="AN6" s="1715" t="s">
        <v>3386</v>
      </c>
      <c r="AO6" s="52">
        <f ca="1">SUMIF(INDIRECT("'"&amp;AN6&amp;"'"&amp;"!A:A"),"总价",INDIRECT("'"&amp;AN6&amp;"'"&amp;"!B:B"))</f>
        <v>36434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0.05</v>
      </c>
      <c r="I16" s="91"/>
      <c r="J16" s="91"/>
      <c r="K16" s="92">
        <f>SUM(K6:K15)</f>
        <v>13128.449999999992</v>
      </c>
      <c r="L16" s="93">
        <f>ROUND(M16*10000/SUM(K6:K14),0)</f>
        <v>5500</v>
      </c>
      <c r="M16" s="93">
        <f>SUM(M6:M14)</f>
        <v>7221</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1210</v>
      </c>
      <c r="B18" s="2661"/>
      <c r="C18" s="2649"/>
      <c r="D18" s="2652"/>
      <c r="E18" s="2649"/>
      <c r="F18" s="2649"/>
      <c r="G18" s="2649"/>
      <c r="H18" s="2649"/>
      <c r="I18" s="2649"/>
      <c r="J18" s="2649"/>
      <c r="K18" s="2648"/>
      <c r="L18" s="2648"/>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1211</v>
      </c>
      <c r="B19" s="103">
        <v>0</v>
      </c>
      <c r="C19" s="2775" t="s">
        <v>2285</v>
      </c>
      <c r="D19" s="2652"/>
      <c r="E19" s="2649"/>
      <c r="F19" s="2649"/>
      <c r="G19" s="2649"/>
      <c r="H19" s="2649"/>
      <c r="I19" s="2649"/>
      <c r="J19" s="2649"/>
      <c r="K19" s="2648"/>
      <c r="L19" s="2648"/>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1212</v>
      </c>
      <c r="B20" s="104">
        <v>2</v>
      </c>
      <c r="C20" s="2776" t="s">
        <v>2283</v>
      </c>
      <c r="D20" s="2652"/>
      <c r="E20" s="2649"/>
      <c r="F20" s="2649"/>
      <c r="G20" s="2649"/>
      <c r="H20" s="2649"/>
      <c r="I20" s="2649"/>
      <c r="J20" s="2649"/>
      <c r="K20" s="2648"/>
      <c r="L20" s="2648"/>
      <c r="M20" s="2647"/>
      <c r="N20" s="2647">
        <v>2004</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1213</v>
      </c>
      <c r="B21" s="104">
        <f>B20</f>
        <v>2</v>
      </c>
      <c r="C21" s="2649"/>
      <c r="D21" s="2652"/>
      <c r="E21" s="2649"/>
      <c r="F21" s="2649"/>
      <c r="G21" s="2649"/>
      <c r="H21" s="2649"/>
      <c r="I21" s="2649"/>
      <c r="J21" s="2649"/>
      <c r="K21" s="2648"/>
      <c r="L21" s="2648"/>
      <c r="M21" s="3445" t="s">
        <v>3397</v>
      </c>
      <c r="N21" s="2647">
        <f>ROUND(1-(1-0%)*(2023-N20)/60,2)</f>
        <v>0.68</v>
      </c>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1214</v>
      </c>
      <c r="B22" s="105">
        <f>B19+B20</f>
        <v>2</v>
      </c>
      <c r="C22" s="2649"/>
      <c r="D22" s="2652"/>
      <c r="E22" s="2649"/>
      <c r="F22" s="2649"/>
      <c r="G22" s="2649"/>
      <c r="H22" s="2649"/>
      <c r="I22" s="2649"/>
      <c r="J22" s="2649"/>
      <c r="K22" s="2648"/>
      <c r="L22" s="2648"/>
      <c r="M22" s="3445" t="s">
        <v>3398</v>
      </c>
      <c r="N22" s="3446">
        <v>0.9</v>
      </c>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1215</v>
      </c>
      <c r="B23" s="105">
        <f>B19+B21</f>
        <v>2</v>
      </c>
      <c r="C23" s="2649"/>
      <c r="D23" s="2652"/>
      <c r="E23" s="2649"/>
      <c r="F23" s="2649"/>
      <c r="G23" s="2649"/>
      <c r="H23" s="2649"/>
      <c r="I23" s="2649"/>
      <c r="J23" s="2649"/>
      <c r="K23" s="2648"/>
      <c r="L23" s="2648"/>
      <c r="M23" s="2647"/>
      <c r="N23" s="2647">
        <f>ROUND((N22+N21)/2,2)</f>
        <v>0.79</v>
      </c>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1216</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1217</v>
      </c>
      <c r="B26" s="1726" t="s">
        <v>1218</v>
      </c>
      <c r="C26" s="2653" t="s">
        <v>1219</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1220</v>
      </c>
      <c r="B27" s="107">
        <v>160</v>
      </c>
      <c r="C27" s="2777" t="s">
        <v>2287</v>
      </c>
      <c r="D27" s="2655"/>
      <c r="E27" s="2638"/>
      <c r="F27" s="2638"/>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6"/>
      <c r="D28" s="2655"/>
      <c r="E28" s="2638"/>
      <c r="F28" s="2638"/>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263</v>
      </c>
      <c r="C29" s="2778" t="s">
        <v>2274</v>
      </c>
      <c r="D29" s="2655"/>
      <c r="E29" s="2638"/>
      <c r="F29" s="2638"/>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6"/>
      <c r="D30" s="2655"/>
      <c r="E30" s="2638"/>
      <c r="F30" s="2638"/>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4"/>
      <c r="D31" s="2655"/>
      <c r="E31" s="2638"/>
      <c r="F31" s="2638"/>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79" t="s">
        <v>2275</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79" t="s">
        <v>2276</v>
      </c>
      <c r="D34" s="2660" t="s">
        <v>2284</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79" t="s">
        <v>2277</v>
      </c>
      <c r="D35" s="2655"/>
      <c r="E35" s="2638"/>
      <c r="F35" s="2638"/>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79" t="s">
        <v>2278</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1230</v>
      </c>
      <c r="B37" s="115">
        <v>0.02</v>
      </c>
      <c r="C37" s="2779" t="s">
        <v>2279</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1231</v>
      </c>
      <c r="B38" s="113">
        <v>0.02</v>
      </c>
      <c r="C38" s="2779" t="s">
        <v>2279</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1232</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2294</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1233</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1234</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1235</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1236</v>
      </c>
      <c r="B44" s="119">
        <v>7.0000000000000007E-2</v>
      </c>
      <c r="C44" s="2779" t="s">
        <v>2288</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1237</v>
      </c>
      <c r="B45" s="117">
        <v>0.03</v>
      </c>
      <c r="C45" s="2778" t="s">
        <v>2280</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1238</v>
      </c>
      <c r="B46" s="117">
        <v>0.02</v>
      </c>
      <c r="C46" s="2778" t="s">
        <v>2281</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1239</v>
      </c>
      <c r="B47" s="120">
        <v>0</v>
      </c>
      <c r="C47" s="2781" t="s">
        <v>2289</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1240</v>
      </c>
      <c r="B48" s="121">
        <v>0.03</v>
      </c>
      <c r="C48" s="2778" t="s">
        <v>2280</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1241</v>
      </c>
      <c r="B49" s="117">
        <v>5.0000000000000001E-4</v>
      </c>
      <c r="C49" s="2778" t="s">
        <v>2282</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1242</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1243</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1244</v>
      </c>
      <c r="B52" s="124">
        <f>SUMIF(A54:A63,B53,B54:B63)</f>
        <v>12</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1245</v>
      </c>
      <c r="B53" s="1738" t="s">
        <v>110</v>
      </c>
      <c r="C53" s="2638" t="s">
        <v>1246</v>
      </c>
      <c r="D53" s="2780" t="s">
        <v>2286</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1247</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1248</v>
      </c>
      <c r="B55" s="75"/>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1249</v>
      </c>
      <c r="B56" s="75"/>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1250</v>
      </c>
      <c r="B57" s="75">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1251</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1252</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1253</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1254</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1255</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1256</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84" t="s">
        <v>2266</v>
      </c>
      <c r="B1" s="3585"/>
      <c r="C1" s="3585"/>
      <c r="D1" s="3585"/>
      <c r="E1" s="3585"/>
      <c r="F1" s="3585"/>
      <c r="G1" s="358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447" t="s">
        <v>3404</v>
      </c>
      <c r="D3" s="2463"/>
      <c r="E3" s="2441" t="s">
        <v>2264</v>
      </c>
      <c r="F3" s="2464" t="s">
        <v>2237</v>
      </c>
      <c r="G3" s="2465" t="s">
        <v>2265</v>
      </c>
      <c r="H3" s="799"/>
      <c r="I3" s="799"/>
      <c r="J3" s="799"/>
      <c r="K3" s="799"/>
      <c r="L3" s="799"/>
      <c r="M3" s="799"/>
      <c r="N3" s="799"/>
      <c r="O3" s="799"/>
      <c r="P3" s="799"/>
      <c r="Q3" s="799"/>
      <c r="R3" s="799"/>
    </row>
    <row r="4" spans="1:29" ht="36">
      <c r="A4" s="2441"/>
      <c r="B4" s="323" t="s">
        <v>2238</v>
      </c>
      <c r="C4" s="3448" t="s">
        <v>4560</v>
      </c>
      <c r="D4" s="2463"/>
      <c r="E4" s="2466"/>
      <c r="F4" s="1373" t="s">
        <v>2239</v>
      </c>
      <c r="G4" s="2467" t="s">
        <v>2240</v>
      </c>
      <c r="H4" s="799"/>
      <c r="I4" s="799"/>
      <c r="J4" s="799"/>
      <c r="K4" s="799"/>
      <c r="L4" s="799"/>
      <c r="M4" s="799"/>
      <c r="N4" s="799"/>
      <c r="O4" s="799"/>
      <c r="P4" s="799"/>
      <c r="Q4" s="799"/>
      <c r="R4" s="799"/>
    </row>
    <row r="5" spans="1:29" ht="24">
      <c r="A5" s="2441"/>
      <c r="B5" s="323" t="s">
        <v>2241</v>
      </c>
      <c r="C5" s="3449" t="s">
        <v>3404</v>
      </c>
      <c r="D5" s="2463"/>
      <c r="E5" s="2466"/>
      <c r="F5" s="323" t="s">
        <v>2242</v>
      </c>
      <c r="G5" s="2467" t="s">
        <v>2243</v>
      </c>
      <c r="H5" s="799"/>
      <c r="I5" s="799"/>
      <c r="J5" s="799"/>
      <c r="K5" s="799"/>
      <c r="L5" s="799"/>
      <c r="M5" s="799"/>
      <c r="N5" s="799"/>
      <c r="O5" s="799"/>
      <c r="P5" s="799"/>
      <c r="Q5" s="799"/>
      <c r="R5" s="799"/>
    </row>
    <row r="6" spans="1:29">
      <c r="A6" s="2441"/>
      <c r="B6" s="323" t="s">
        <v>2244</v>
      </c>
      <c r="C6" s="3449" t="s">
        <v>3405</v>
      </c>
      <c r="D6" s="2463"/>
      <c r="E6" s="2466"/>
      <c r="F6" s="323" t="s">
        <v>2245</v>
      </c>
      <c r="G6" s="2467" t="s">
        <v>2246</v>
      </c>
      <c r="H6" s="799"/>
      <c r="I6" s="799"/>
      <c r="J6" s="799"/>
      <c r="K6" s="799"/>
      <c r="L6" s="799"/>
      <c r="M6" s="799"/>
      <c r="N6" s="799"/>
      <c r="O6" s="799"/>
      <c r="P6" s="799"/>
      <c r="Q6" s="799"/>
      <c r="R6" s="799"/>
    </row>
    <row r="7" spans="1:29" ht="24.75" thickBot="1">
      <c r="A7" s="2441"/>
      <c r="B7" s="323" t="s">
        <v>2242</v>
      </c>
      <c r="C7" s="3449" t="s">
        <v>3405</v>
      </c>
      <c r="D7" s="2468"/>
      <c r="E7" s="2469"/>
      <c r="F7" s="2470" t="s">
        <v>2247</v>
      </c>
      <c r="G7" s="2471" t="s">
        <v>2248</v>
      </c>
      <c r="H7" s="799"/>
      <c r="I7" s="799"/>
      <c r="J7" s="799"/>
      <c r="K7" s="799"/>
      <c r="L7" s="799"/>
      <c r="M7" s="799"/>
      <c r="N7" s="799"/>
      <c r="O7" s="799"/>
      <c r="P7" s="799"/>
      <c r="Q7" s="799"/>
      <c r="R7" s="799"/>
    </row>
    <row r="8" spans="1:29">
      <c r="A8" s="2441"/>
      <c r="B8" s="323" t="s">
        <v>2245</v>
      </c>
      <c r="C8" s="3449" t="s">
        <v>3406</v>
      </c>
      <c r="D8" s="2468"/>
      <c r="E8" s="2468"/>
      <c r="F8" s="2472"/>
      <c r="G8" s="2472"/>
      <c r="H8" s="799"/>
      <c r="I8" s="799"/>
      <c r="J8" s="799"/>
      <c r="K8" s="799"/>
      <c r="L8" s="799"/>
      <c r="M8" s="799"/>
      <c r="N8" s="799"/>
      <c r="O8" s="799"/>
      <c r="P8" s="799"/>
      <c r="Q8" s="799"/>
      <c r="R8" s="799"/>
    </row>
    <row r="9" spans="1:29">
      <c r="A9" s="2441"/>
      <c r="B9" s="323" t="s">
        <v>2249</v>
      </c>
      <c r="C9" s="3449" t="s">
        <v>3405</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25.5">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一般</v>
      </c>
      <c r="D16" s="2463"/>
      <c r="E16" s="2446"/>
      <c r="F16" s="2499" t="s">
        <v>2239</v>
      </c>
      <c r="G16" s="2500" t="str">
        <f>G4</f>
        <v>估价对象周边道路状况、公共交通通达情况、停车便捷程度，综合评价交通便捷度较好</v>
      </c>
    </row>
    <row r="17" spans="1:18">
      <c r="A17" s="2445"/>
      <c r="B17" s="2497" t="s">
        <v>2241</v>
      </c>
      <c r="C17" s="2498" t="str">
        <f>C5</f>
        <v>较好</v>
      </c>
      <c r="D17" s="2468"/>
      <c r="E17" s="2446"/>
      <c r="F17" s="2499" t="s">
        <v>2256</v>
      </c>
      <c r="G17" s="2501"/>
    </row>
    <row r="18" spans="1:18" ht="25.5">
      <c r="A18" s="2445"/>
      <c r="B18" s="2499" t="s">
        <v>2244</v>
      </c>
      <c r="C18" s="2500" t="str">
        <f>C6</f>
        <v>较好</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c r="A20" s="2445"/>
      <c r="B20" s="2499" t="s">
        <v>2258</v>
      </c>
      <c r="C20" s="2498" t="str">
        <f>C9</f>
        <v>较好</v>
      </c>
      <c r="D20" s="2468"/>
      <c r="E20" s="2446"/>
      <c r="F20" s="323" t="s">
        <v>2245</v>
      </c>
      <c r="G20" s="2500" t="str">
        <f>G6</f>
        <v>估价对象所在区域基础设施水平</v>
      </c>
    </row>
    <row r="21" spans="1:18">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13128.449999999992</v>
      </c>
      <c r="C1" s="2662"/>
      <c r="D1" s="2662"/>
      <c r="E1" s="2662"/>
      <c r="F1" s="2662"/>
      <c r="G1" s="2663"/>
      <c r="H1" s="2664"/>
      <c r="I1" s="2664"/>
      <c r="J1" s="2664"/>
      <c r="K1" s="2664"/>
    </row>
    <row r="2" spans="1:11" ht="16.5">
      <c r="A2" s="2509" t="s">
        <v>653</v>
      </c>
      <c r="B2" s="2509">
        <f>SUM(C14:C23)</f>
        <v>0</v>
      </c>
      <c r="C2" s="2662"/>
      <c r="D2" s="2662"/>
      <c r="E2" s="2662"/>
      <c r="F2" s="2662"/>
      <c r="G2" s="2663"/>
      <c r="H2" s="2664"/>
      <c r="I2" s="2664"/>
      <c r="J2" s="2664"/>
      <c r="K2" s="2664"/>
    </row>
    <row r="3" spans="1:11" ht="16.5">
      <c r="A3" s="2509" t="s">
        <v>662</v>
      </c>
      <c r="B3" s="2511">
        <f>项目基本情况!D3</f>
        <v>45279</v>
      </c>
      <c r="C3" s="2662"/>
      <c r="D3" s="2662"/>
      <c r="E3" s="2662"/>
      <c r="F3" s="2662"/>
      <c r="G3" s="2663"/>
      <c r="H3" s="2664"/>
      <c r="I3" s="2664"/>
      <c r="J3" s="2664"/>
      <c r="K3" s="2664"/>
    </row>
    <row r="4" spans="1:11" ht="33">
      <c r="A4" s="2509" t="s">
        <v>661</v>
      </c>
      <c r="B4" s="2509" t="s">
        <v>660</v>
      </c>
      <c r="C4" s="2509" t="s">
        <v>659</v>
      </c>
      <c r="D4" s="2509" t="s">
        <v>658</v>
      </c>
      <c r="E4" s="2662"/>
      <c r="F4" s="2663"/>
      <c r="G4" s="2663"/>
      <c r="H4" s="2664"/>
      <c r="I4" s="2664"/>
      <c r="J4" s="2664"/>
      <c r="K4" s="2664"/>
    </row>
    <row r="5" spans="1:11" ht="16.5">
      <c r="A5" s="2509" t="s">
        <v>657</v>
      </c>
      <c r="B5" s="2509">
        <f ca="1">SUM(D14:D23)</f>
        <v>62290</v>
      </c>
      <c r="C5" s="2509">
        <f ca="1">IF(B5=D14,结果表!H102,ROUND(B5*10000/$B$1,0))</f>
        <v>47447</v>
      </c>
      <c r="D5" s="2509" t="e">
        <f ca="1">ROUND(B5*10000/$B$2,0)</f>
        <v>#DIV/0!</v>
      </c>
      <c r="E5" s="2662"/>
      <c r="F5" s="2663"/>
      <c r="G5" s="2663"/>
      <c r="H5" s="2664"/>
      <c r="I5" s="2664"/>
      <c r="J5" s="2664"/>
      <c r="K5" s="2664"/>
    </row>
    <row r="6" spans="1:11" ht="16.5">
      <c r="A6" s="2509" t="s">
        <v>656</v>
      </c>
      <c r="B6" s="2509">
        <f ca="1">SUM(G14:G23)</f>
        <v>62290</v>
      </c>
      <c r="C6" s="2509">
        <f ca="1">IF(B6=G14,结果表!H108,ROUND(B6*10000/$B$1,0))</f>
        <v>47447</v>
      </c>
      <c r="D6" s="2509" t="e">
        <f ca="1">ROUND(B6*10000/$B$2,0)</f>
        <v>#DIV/0!</v>
      </c>
      <c r="E6" s="2662"/>
      <c r="F6" s="2663"/>
      <c r="G6" s="2663"/>
      <c r="H6" s="2664"/>
      <c r="I6" s="2664"/>
      <c r="J6" s="2664"/>
      <c r="K6" s="2664"/>
    </row>
    <row r="7" spans="1:11" ht="16.5">
      <c r="A7" s="2509" t="s">
        <v>664</v>
      </c>
      <c r="B7" s="2509">
        <f>SUM(H14:H23)</f>
        <v>0</v>
      </c>
      <c r="C7" s="2509" t="str">
        <f>IF(B7=H14,结果表!H110,ROUND(B7*10000/$B$1,0))</f>
        <v>——</v>
      </c>
      <c r="D7" s="2509" t="e">
        <f>ROUND(B7*10000/$B$2,0)</f>
        <v>#DIV/0!</v>
      </c>
      <c r="E7" s="2662"/>
      <c r="F7" s="2663"/>
      <c r="G7" s="2663"/>
      <c r="H7" s="2664"/>
      <c r="I7" s="2664"/>
      <c r="J7" s="2664"/>
      <c r="K7" s="2664"/>
    </row>
    <row r="8" spans="1:11" ht="16.5">
      <c r="A8" s="2509" t="s">
        <v>587</v>
      </c>
      <c r="B8" s="2509">
        <f>SUM(I14:I23)</f>
        <v>0</v>
      </c>
      <c r="C8" s="2509" t="str">
        <f>IF(B8=I14,结果表!H112,ROUND(B8*10000/$B$1,0))</f>
        <v>——</v>
      </c>
      <c r="D8" s="2509" t="e">
        <f>ROUND(B8*10000/$B$2,0)</f>
        <v>#DIV/0!</v>
      </c>
      <c r="E8" s="2662"/>
      <c r="F8" s="2663"/>
      <c r="G8" s="2663"/>
      <c r="H8" s="2664"/>
      <c r="I8" s="2664"/>
      <c r="J8" s="2664"/>
      <c r="K8" s="2664"/>
    </row>
    <row r="9" spans="1:11" ht="16.5">
      <c r="A9" s="2509" t="s">
        <v>655</v>
      </c>
      <c r="B9" s="2517"/>
      <c r="C9" s="2662"/>
      <c r="D9" s="2662"/>
      <c r="E9" s="2662"/>
      <c r="F9" s="2663"/>
      <c r="G9" s="2663"/>
      <c r="H9" s="2664"/>
      <c r="I9" s="2664"/>
      <c r="J9" s="2664"/>
      <c r="K9" s="2664"/>
    </row>
    <row r="10" spans="1:11" ht="16.5">
      <c r="A10" s="2509" t="s">
        <v>654</v>
      </c>
      <c r="B10" s="2509">
        <f>IF(E10="",0,ROUND(B1*(E10*365/G10)/10000,0))</f>
        <v>0</v>
      </c>
      <c r="C10" s="2509" t="s">
        <v>3339</v>
      </c>
      <c r="D10" s="2509" t="s">
        <v>3340</v>
      </c>
      <c r="E10" s="3417"/>
      <c r="F10" s="3421" t="s">
        <v>3341</v>
      </c>
      <c r="G10" s="3418"/>
      <c r="H10" s="2664"/>
      <c r="I10" s="2664"/>
      <c r="J10" s="2664"/>
      <c r="K10" s="2664"/>
    </row>
    <row r="11" spans="1:11" ht="16.5">
      <c r="A11" s="2509" t="s">
        <v>670</v>
      </c>
      <c r="B11" s="2517"/>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2" t="s">
        <v>669</v>
      </c>
      <c r="B13" s="2513" t="s">
        <v>666</v>
      </c>
      <c r="C13" s="2513" t="s">
        <v>668</v>
      </c>
      <c r="D13" s="2513" t="s">
        <v>667</v>
      </c>
      <c r="E13" s="2509" t="s">
        <v>659</v>
      </c>
      <c r="F13" s="2509" t="s">
        <v>658</v>
      </c>
      <c r="G13" s="2513" t="s">
        <v>652</v>
      </c>
      <c r="H13" s="2513" t="s">
        <v>663</v>
      </c>
      <c r="I13" s="2513" t="s">
        <v>651</v>
      </c>
      <c r="J13" s="2663"/>
      <c r="K13" s="2664"/>
    </row>
    <row r="14" spans="1:11" ht="16.5">
      <c r="A14" s="2514" t="s">
        <v>650</v>
      </c>
      <c r="B14" s="2515">
        <f>'数据-汇总表'!E3</f>
        <v>13128.449999999992</v>
      </c>
      <c r="C14" s="2515">
        <f>'数据-汇总表'!D3</f>
        <v>0</v>
      </c>
      <c r="D14" s="2515">
        <f ca="1">结果表!H101</f>
        <v>62290</v>
      </c>
      <c r="E14" s="2515">
        <f ca="1">ROUND(D14*10000/B14,0)</f>
        <v>47447</v>
      </c>
      <c r="F14" s="2515" t="e">
        <f ca="1">ROUND(D14*10000/C14,0)</f>
        <v>#DIV/0!</v>
      </c>
      <c r="G14" s="2515">
        <f ca="1">D14</f>
        <v>62290</v>
      </c>
      <c r="H14" s="2515"/>
      <c r="I14" s="2515"/>
      <c r="J14" s="2663"/>
      <c r="K14" s="2664"/>
    </row>
    <row r="15" spans="1:11" ht="16.5">
      <c r="A15" s="2514" t="s">
        <v>649</v>
      </c>
      <c r="B15" s="2516"/>
      <c r="C15" s="2516"/>
      <c r="D15" s="2516"/>
      <c r="E15" s="2515" t="e">
        <f t="shared" ref="E15:E23" si="0">ROUND(D15*10000/B15,0)</f>
        <v>#DIV/0!</v>
      </c>
      <c r="F15" s="2515" t="e">
        <f t="shared" ref="F15:F23" si="1">ROUND(D15*10000/C15,0)</f>
        <v>#DIV/0!</v>
      </c>
      <c r="G15" s="1331"/>
      <c r="H15" s="1331"/>
      <c r="I15" s="2516"/>
      <c r="J15" s="2663"/>
      <c r="K15" s="2664"/>
    </row>
    <row r="16" spans="1:11" ht="16.5">
      <c r="A16" s="2514" t="s">
        <v>648</v>
      </c>
      <c r="B16" s="2516"/>
      <c r="C16" s="2516"/>
      <c r="D16" s="2516"/>
      <c r="E16" s="2515" t="e">
        <f t="shared" si="0"/>
        <v>#DIV/0!</v>
      </c>
      <c r="F16" s="2515" t="e">
        <f t="shared" si="1"/>
        <v>#DIV/0!</v>
      </c>
      <c r="G16" s="1331"/>
      <c r="H16" s="1331"/>
      <c r="I16" s="2516"/>
      <c r="J16" s="2664"/>
      <c r="K16" s="2664"/>
    </row>
    <row r="17" spans="1:11" ht="16.5">
      <c r="A17" s="2514" t="s">
        <v>647</v>
      </c>
      <c r="B17" s="2516"/>
      <c r="C17" s="2516"/>
      <c r="D17" s="2516"/>
      <c r="E17" s="2515" t="e">
        <f t="shared" si="0"/>
        <v>#DIV/0!</v>
      </c>
      <c r="F17" s="2515" t="e">
        <f t="shared" si="1"/>
        <v>#DIV/0!</v>
      </c>
      <c r="G17" s="1331"/>
      <c r="H17" s="1331"/>
      <c r="I17" s="2516"/>
      <c r="J17" s="2664"/>
      <c r="K17" s="2664"/>
    </row>
    <row r="18" spans="1:11" ht="16.5">
      <c r="A18" s="2514" t="s">
        <v>646</v>
      </c>
      <c r="B18" s="2516"/>
      <c r="C18" s="2516"/>
      <c r="D18" s="2516"/>
      <c r="E18" s="2515" t="e">
        <f t="shared" si="0"/>
        <v>#DIV/0!</v>
      </c>
      <c r="F18" s="2515" t="e">
        <f t="shared" si="1"/>
        <v>#DIV/0!</v>
      </c>
      <c r="G18" s="2516"/>
      <c r="H18" s="2516"/>
      <c r="I18" s="2516"/>
      <c r="J18" s="2664"/>
      <c r="K18" s="2664"/>
    </row>
    <row r="19" spans="1:11" ht="16.5">
      <c r="A19" s="2514" t="s">
        <v>645</v>
      </c>
      <c r="B19" s="2516"/>
      <c r="C19" s="2516"/>
      <c r="D19" s="2516"/>
      <c r="E19" s="2515" t="e">
        <f t="shared" si="0"/>
        <v>#DIV/0!</v>
      </c>
      <c r="F19" s="2515" t="e">
        <f t="shared" si="1"/>
        <v>#DIV/0!</v>
      </c>
      <c r="G19" s="2516"/>
      <c r="H19" s="2516"/>
      <c r="I19" s="2516"/>
      <c r="J19" s="2664"/>
      <c r="K19" s="2664"/>
    </row>
    <row r="20" spans="1:11" ht="16.5">
      <c r="A20" s="2514" t="s">
        <v>644</v>
      </c>
      <c r="B20" s="2516"/>
      <c r="C20" s="2516"/>
      <c r="D20" s="2516"/>
      <c r="E20" s="2515" t="e">
        <f t="shared" si="0"/>
        <v>#DIV/0!</v>
      </c>
      <c r="F20" s="2515" t="e">
        <f t="shared" si="1"/>
        <v>#DIV/0!</v>
      </c>
      <c r="G20" s="2516"/>
      <c r="H20" s="2516"/>
      <c r="I20" s="2516"/>
      <c r="J20" s="2664"/>
      <c r="K20" s="2664"/>
    </row>
    <row r="21" spans="1:11" ht="16.5">
      <c r="A21" s="2514" t="s">
        <v>643</v>
      </c>
      <c r="B21" s="2516"/>
      <c r="C21" s="2516"/>
      <c r="D21" s="2516"/>
      <c r="E21" s="2515" t="e">
        <f t="shared" si="0"/>
        <v>#DIV/0!</v>
      </c>
      <c r="F21" s="2515" t="e">
        <f t="shared" si="1"/>
        <v>#DIV/0!</v>
      </c>
      <c r="G21" s="2516"/>
      <c r="H21" s="2516"/>
      <c r="I21" s="2516"/>
      <c r="J21" s="2664"/>
      <c r="K21" s="2664"/>
    </row>
    <row r="22" spans="1:11" ht="16.5">
      <c r="A22" s="2514" t="s">
        <v>642</v>
      </c>
      <c r="B22" s="2516"/>
      <c r="C22" s="2516"/>
      <c r="D22" s="2516"/>
      <c r="E22" s="2515" t="e">
        <f t="shared" si="0"/>
        <v>#DIV/0!</v>
      </c>
      <c r="F22" s="2515" t="e">
        <f t="shared" si="1"/>
        <v>#DIV/0!</v>
      </c>
      <c r="G22" s="2516"/>
      <c r="H22" s="2516"/>
      <c r="I22" s="2516"/>
      <c r="J22" s="2664"/>
      <c r="K22" s="2664"/>
    </row>
    <row r="23" spans="1:11" ht="16.5">
      <c r="A23" s="2514" t="s">
        <v>641</v>
      </c>
      <c r="B23" s="2516"/>
      <c r="C23" s="2516"/>
      <c r="D23" s="2516"/>
      <c r="E23" s="2517" t="e">
        <f t="shared" si="0"/>
        <v>#DIV/0!</v>
      </c>
      <c r="F23" s="2517" t="e">
        <f t="shared" si="1"/>
        <v>#DIV/0!</v>
      </c>
      <c r="G23" s="2516"/>
      <c r="H23" s="2516"/>
      <c r="I23" s="2516"/>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9" sqref="J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北京市海淀区西三环北路89号4层A-01等56套房地产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3477</v>
      </c>
      <c r="D4" s="1756" t="s">
        <v>3464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00" t="s">
        <v>1268</v>
      </c>
      <c r="B5" s="3587">
        <v>25</v>
      </c>
      <c r="C5" s="3603"/>
      <c r="D5" s="3623"/>
      <c r="E5" s="131" t="s">
        <v>1269</v>
      </c>
      <c r="F5" s="1757"/>
      <c r="G5" s="1757"/>
      <c r="H5" s="1757"/>
      <c r="I5" s="1373"/>
    </row>
    <row r="6" spans="1:12" ht="12.75">
      <c r="A6" s="3600"/>
      <c r="B6" s="3587"/>
      <c r="C6" s="3604"/>
      <c r="D6" s="3623"/>
      <c r="E6" s="131" t="s">
        <v>1270</v>
      </c>
      <c r="F6" s="1757"/>
      <c r="G6" s="1757"/>
      <c r="H6" s="1757"/>
      <c r="I6" s="1373"/>
    </row>
    <row r="7" spans="1:12" ht="12.75">
      <c r="A7" s="3600"/>
      <c r="B7" s="3587"/>
      <c r="C7" s="3605"/>
      <c r="D7" s="3623"/>
      <c r="E7" s="131" t="s">
        <v>1271</v>
      </c>
      <c r="F7" s="1757"/>
      <c r="G7" s="1757"/>
      <c r="H7" s="1757"/>
      <c r="I7" s="1373"/>
    </row>
    <row r="8" spans="1:12" ht="12.75">
      <c r="A8" s="3600" t="s">
        <v>1272</v>
      </c>
      <c r="B8" s="3587">
        <v>15</v>
      </c>
      <c r="C8" s="3603"/>
      <c r="D8" s="3623"/>
      <c r="E8" s="131" t="s">
        <v>1273</v>
      </c>
      <c r="F8" s="1757"/>
      <c r="G8" s="1757"/>
      <c r="H8" s="1757"/>
      <c r="I8" s="1373"/>
    </row>
    <row r="9" spans="1:12" ht="12.75">
      <c r="A9" s="3600"/>
      <c r="B9" s="3587"/>
      <c r="C9" s="3605"/>
      <c r="D9" s="3623"/>
      <c r="E9" s="131" t="s">
        <v>1274</v>
      </c>
      <c r="F9" s="1757"/>
      <c r="G9" s="1757"/>
      <c r="H9" s="1757"/>
      <c r="I9" s="1373"/>
    </row>
    <row r="10" spans="1:12" ht="12.75">
      <c r="A10" s="3600" t="s">
        <v>1275</v>
      </c>
      <c r="B10" s="3587">
        <v>15</v>
      </c>
      <c r="C10" s="3603"/>
      <c r="D10" s="3623"/>
      <c r="E10" s="131" t="s">
        <v>1276</v>
      </c>
      <c r="F10" s="1757"/>
      <c r="G10" s="1757"/>
      <c r="H10" s="1757"/>
      <c r="I10" s="1373"/>
    </row>
    <row r="11" spans="1:12" ht="12.75">
      <c r="A11" s="3600"/>
      <c r="B11" s="3587"/>
      <c r="C11" s="3605"/>
      <c r="D11" s="3623"/>
      <c r="E11" s="131" t="s">
        <v>1277</v>
      </c>
      <c r="F11" s="1757"/>
      <c r="G11" s="1757"/>
      <c r="H11" s="1757"/>
      <c r="I11" s="1373"/>
    </row>
    <row r="12" spans="1:12" ht="12.75">
      <c r="A12" s="3600" t="s">
        <v>1278</v>
      </c>
      <c r="B12" s="3587">
        <v>15</v>
      </c>
      <c r="C12" s="3603"/>
      <c r="D12" s="3623"/>
      <c r="E12" s="131" t="s">
        <v>1279</v>
      </c>
      <c r="F12" s="1757"/>
      <c r="G12" s="1757"/>
      <c r="H12" s="1757"/>
      <c r="I12" s="1373"/>
    </row>
    <row r="13" spans="1:12" ht="12.75">
      <c r="A13" s="3600"/>
      <c r="B13" s="3587"/>
      <c r="C13" s="3605"/>
      <c r="D13" s="3623"/>
      <c r="E13" s="131" t="s">
        <v>1280</v>
      </c>
      <c r="F13" s="1757"/>
      <c r="G13" s="1757"/>
      <c r="H13" s="1757"/>
      <c r="I13" s="1373"/>
    </row>
    <row r="14" spans="1:12" ht="12.75">
      <c r="A14" s="3600" t="s">
        <v>1281</v>
      </c>
      <c r="B14" s="3587">
        <v>30</v>
      </c>
      <c r="C14" s="3603">
        <v>7</v>
      </c>
      <c r="D14" s="3623">
        <f>10-C14</f>
        <v>3</v>
      </c>
      <c r="E14" s="131" t="s">
        <v>1282</v>
      </c>
      <c r="F14" s="1757"/>
      <c r="G14" s="1757"/>
      <c r="H14" s="1757"/>
      <c r="I14" s="1373"/>
    </row>
    <row r="15" spans="1:12" ht="12.75">
      <c r="A15" s="3600"/>
      <c r="B15" s="3587"/>
      <c r="C15" s="3604"/>
      <c r="D15" s="3623"/>
      <c r="E15" s="131" t="s">
        <v>1283</v>
      </c>
      <c r="F15" s="1757"/>
      <c r="G15" s="1757"/>
      <c r="H15" s="1757"/>
      <c r="I15" s="1373"/>
    </row>
    <row r="16" spans="1:12" ht="12.75">
      <c r="A16" s="3600"/>
      <c r="B16" s="3587"/>
      <c r="C16" s="3605"/>
      <c r="D16" s="362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10" t="s">
        <v>2115</v>
      </c>
      <c r="F18" s="3611"/>
      <c r="G18" s="3611"/>
      <c r="H18" s="3611"/>
      <c r="I18" s="3611"/>
      <c r="J18" s="3848" t="s">
        <v>4551</v>
      </c>
      <c r="K18" s="302" t="s">
        <v>1289</v>
      </c>
      <c r="L18" s="302">
        <f>IF(C1="",'数据-汇总表'!E3,SUMIF(项目类型,C1,'数据-汇总表'!E17:E26)+SUMIF(项目类型,C1,'数据-汇总表'!I17:I26))</f>
        <v>13128.449999999992</v>
      </c>
      <c r="M18" s="302">
        <f>IF(C1="",'数据-汇总表'!E3,SUMIF(项目类型,C1,'数据-汇总表'!E17:E26))</f>
        <v>13128.449999999992</v>
      </c>
    </row>
    <row r="19" spans="1:36" ht="15">
      <c r="A19" s="1761" t="s">
        <v>1290</v>
      </c>
      <c r="B19" s="1762" t="s">
        <v>1291</v>
      </c>
      <c r="C19" s="134">
        <f ca="1">SUMIF(INDIRECT("'"&amp;C4&amp;"'"&amp;"!A:A"),结果表!B19,INDIRECT("'"&amp;C4&amp;"'"&amp;"!B:B"))</f>
        <v>71609</v>
      </c>
      <c r="D19" s="135">
        <f ca="1">SUMIF(INDIRECT("'"&amp;D4&amp;"'"&amp;"!A:A"),结果表!B19,INDIRECT("'"&amp;D4&amp;"'"&amp;"!B:B"))</f>
        <v>40547</v>
      </c>
      <c r="E19" s="1761" t="s">
        <v>1292</v>
      </c>
      <c r="F19" s="1762" t="s">
        <v>1291</v>
      </c>
      <c r="G19" s="136">
        <f ca="1">ROUND(C19*$C$18+D19*$D$18,0)</f>
        <v>62290</v>
      </c>
      <c r="H19" s="1763" t="s">
        <v>1293</v>
      </c>
      <c r="I19" s="129"/>
      <c r="J19" s="3841">
        <f ca="1">N59</f>
        <v>57762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54545</v>
      </c>
      <c r="D20" s="138">
        <f ca="1">SUMIF(INDIRECT("'"&amp;D4&amp;"'"&amp;"!A:A"),结果表!B20,INDIRECT("'"&amp;D4&amp;"'"&amp;"!B:B"))</f>
        <v>30885</v>
      </c>
      <c r="E20" s="1764"/>
      <c r="F20" s="1026" t="s">
        <v>1295</v>
      </c>
      <c r="G20" s="139">
        <f ca="1">ROUND(C20*$C$18+D20*$D$18,0)</f>
        <v>47447</v>
      </c>
      <c r="H20" s="808" t="s">
        <v>1296</v>
      </c>
      <c r="I20" s="129"/>
      <c r="J20" s="3841" t="s">
        <v>4584</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841"/>
    </row>
    <row r="22" spans="1:36" ht="15" thickBot="1">
      <c r="A22" s="1688" t="s">
        <v>1298</v>
      </c>
      <c r="B22" s="1767"/>
      <c r="C22" s="1768"/>
      <c r="D22" s="721">
        <f ca="1">IF(C19&lt;D19,D19/C19-1,C19/D19-1)</f>
        <v>0.7660739388857376</v>
      </c>
      <c r="E22" s="129"/>
      <c r="F22" s="129"/>
      <c r="G22" s="129"/>
      <c r="H22" s="129"/>
      <c r="I22" s="129"/>
      <c r="J22" s="3839" t="s">
        <v>4546</v>
      </c>
      <c r="K22" s="3840" t="s">
        <v>4547</v>
      </c>
      <c r="L22" s="3841"/>
    </row>
    <row r="23" spans="1:36" ht="13.5" thickBot="1">
      <c r="A23" s="1747"/>
      <c r="B23" s="1747"/>
      <c r="C23" s="1747"/>
      <c r="D23" s="1747"/>
      <c r="E23" s="129"/>
      <c r="F23" s="129"/>
      <c r="G23" s="129"/>
      <c r="H23" s="129"/>
      <c r="I23" s="129"/>
      <c r="J23" s="3842" t="s">
        <v>4548</v>
      </c>
      <c r="K23" s="3843" t="s">
        <v>4549</v>
      </c>
      <c r="L23" s="3843" t="s">
        <v>4550</v>
      </c>
    </row>
    <row r="24" spans="1:36" ht="14.25">
      <c r="A24" s="3594" t="s">
        <v>1299</v>
      </c>
      <c r="B24" s="1762" t="s">
        <v>1291</v>
      </c>
      <c r="C24" s="136">
        <f>IF(B30=0,0,D30)</f>
        <v>0</v>
      </c>
      <c r="D24" s="1769"/>
      <c r="E24" s="129"/>
      <c r="F24" s="129"/>
      <c r="G24" s="129"/>
      <c r="H24" s="129"/>
      <c r="I24" s="129"/>
      <c r="J24" s="3844">
        <v>40000</v>
      </c>
      <c r="K24" s="3845">
        <v>45000</v>
      </c>
      <c r="L24" s="3845">
        <v>48000</v>
      </c>
    </row>
    <row r="25" spans="1:36" ht="14.25">
      <c r="A25" s="3595"/>
      <c r="B25" s="1026" t="s">
        <v>1295</v>
      </c>
      <c r="C25" s="141">
        <f>IF(B30=0,0,C30)</f>
        <v>0</v>
      </c>
      <c r="D25" s="1770"/>
      <c r="E25" s="129"/>
      <c r="F25" s="129"/>
      <c r="G25" s="129"/>
      <c r="H25" s="129"/>
      <c r="I25" s="129"/>
      <c r="J25" s="3846">
        <f>ROUND(J24*L18/10000,0)</f>
        <v>52514</v>
      </c>
      <c r="K25" s="3847">
        <f>ROUND(K24*M18/10000,0)</f>
        <v>59078</v>
      </c>
      <c r="L25" s="3847">
        <f>ROUND(L24*M18/10000,0)</f>
        <v>63017</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62290</v>
      </c>
      <c r="D32" s="1775" t="s">
        <v>3396</v>
      </c>
      <c r="E32" s="129"/>
      <c r="F32" s="129"/>
      <c r="G32" s="129"/>
      <c r="H32" s="129"/>
      <c r="I32" s="129"/>
    </row>
    <row r="33" spans="1:16" ht="15">
      <c r="A33" s="786" t="s">
        <v>1306</v>
      </c>
      <c r="B33" s="1776"/>
      <c r="C33" s="1777"/>
      <c r="D33" s="1778"/>
      <c r="E33" s="1779" t="s">
        <v>1307</v>
      </c>
      <c r="F33" s="1780" t="str">
        <f>IF(D32="楼面单价","取值（单价）","取值（总价）")</f>
        <v>取值（总价）</v>
      </c>
      <c r="G33" s="129"/>
      <c r="H33" s="129"/>
      <c r="I33" s="129"/>
    </row>
    <row r="34" spans="1:16"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c r="M34" s="3848" t="s">
        <v>4552</v>
      </c>
      <c r="N34" s="3841">
        <f>ROUND(N36*10000/L18,0)</f>
        <v>48294</v>
      </c>
      <c r="O34" s="3841">
        <f>ROUND(O36*10000/M18,0)</f>
        <v>49458</v>
      </c>
      <c r="P34" s="3841">
        <f ca="1">ROUND(P36*10000/L18,0)</f>
        <v>47447</v>
      </c>
    </row>
    <row r="35" spans="1:16"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c r="M35" s="3849"/>
      <c r="N35" s="3850" t="s">
        <v>4553</v>
      </c>
      <c r="O35" s="3850" t="s">
        <v>4554</v>
      </c>
      <c r="P35" s="3851" t="s">
        <v>4555</v>
      </c>
    </row>
    <row r="36" spans="1:16" ht="15.75" thickBot="1">
      <c r="A36" s="3614" t="s">
        <v>1312</v>
      </c>
      <c r="B36" s="1787" t="s">
        <v>1313</v>
      </c>
      <c r="C36" s="145"/>
      <c r="D36" s="1788"/>
      <c r="E36" s="1789"/>
      <c r="F36" s="1790"/>
      <c r="G36" s="129"/>
      <c r="H36" s="129"/>
      <c r="I36" s="129"/>
      <c r="M36" s="3850" t="s">
        <v>4556</v>
      </c>
      <c r="N36" s="3849">
        <v>63402</v>
      </c>
      <c r="O36" s="3849">
        <v>64931</v>
      </c>
      <c r="P36" s="3852">
        <f ca="1">G19</f>
        <v>62290</v>
      </c>
    </row>
    <row r="37" spans="1:16" ht="15.75" thickBot="1">
      <c r="A37" s="3615"/>
      <c r="B37" s="1674" t="s">
        <v>1314</v>
      </c>
      <c r="C37" s="147"/>
      <c r="D37" s="1139"/>
      <c r="E37" s="1139"/>
      <c r="F37" s="1790"/>
      <c r="G37" s="129"/>
      <c r="H37" s="129"/>
      <c r="I37" s="129"/>
      <c r="M37" s="3850" t="s">
        <v>4557</v>
      </c>
      <c r="N37" s="3849">
        <v>58087</v>
      </c>
      <c r="O37" s="3849">
        <v>57727</v>
      </c>
      <c r="P37" s="3852">
        <f ca="1">N59</f>
        <v>57762</v>
      </c>
    </row>
    <row r="38" spans="1:16" ht="15.75" thickBot="1">
      <c r="A38" s="3616"/>
      <c r="B38" s="1791" t="s">
        <v>1315</v>
      </c>
      <c r="C38" s="674"/>
      <c r="D38" s="1792" t="s">
        <v>1316</v>
      </c>
      <c r="E38" s="1139"/>
      <c r="F38" s="1790"/>
      <c r="G38" s="129"/>
      <c r="H38" s="129"/>
      <c r="I38" s="129"/>
      <c r="M38" s="3850" t="s">
        <v>4558</v>
      </c>
      <c r="N38" s="3849">
        <f>N36-N37</f>
        <v>5315</v>
      </c>
      <c r="O38" s="3849">
        <f>O36-O37</f>
        <v>7204</v>
      </c>
      <c r="P38" s="3852">
        <f ca="1">P36-P37</f>
        <v>4528</v>
      </c>
    </row>
    <row r="39" spans="1:16" ht="15">
      <c r="A39" s="1764" t="s">
        <v>1317</v>
      </c>
      <c r="B39" s="1793" t="s">
        <v>1318</v>
      </c>
      <c r="C39" s="1794" t="s">
        <v>1319</v>
      </c>
      <c r="D39" s="1794" t="s">
        <v>1320</v>
      </c>
      <c r="E39" s="1795" t="s">
        <v>1321</v>
      </c>
      <c r="F39" s="1790"/>
      <c r="G39" s="129"/>
      <c r="H39" s="129"/>
      <c r="I39" s="129"/>
      <c r="M39" s="3850" t="s">
        <v>4559</v>
      </c>
      <c r="N39" s="3849">
        <f>N38/N36</f>
        <v>8.3830163086337964E-2</v>
      </c>
      <c r="O39" s="3849">
        <f>O38/O36</f>
        <v>0.11094854537894072</v>
      </c>
      <c r="P39" s="3852">
        <f ca="1">P38/P36</f>
        <v>7.2692245946379838E-2</v>
      </c>
    </row>
    <row r="40" spans="1:16" ht="14.25">
      <c r="A40" s="1796" t="s">
        <v>1322</v>
      </c>
      <c r="B40" s="149"/>
      <c r="C40" s="150"/>
      <c r="D40" s="150"/>
      <c r="E40" s="151"/>
      <c r="F40" s="1790"/>
      <c r="G40" s="129"/>
      <c r="H40" s="129"/>
      <c r="I40" s="129"/>
    </row>
    <row r="41" spans="1:16" ht="14.25">
      <c r="A41" s="1796" t="s">
        <v>1323</v>
      </c>
      <c r="B41" s="149"/>
      <c r="C41" s="150"/>
      <c r="D41" s="150"/>
      <c r="E41" s="151"/>
      <c r="F41" s="1790"/>
      <c r="G41" s="129"/>
      <c r="H41" s="129"/>
      <c r="I41" s="129"/>
    </row>
    <row r="42" spans="1:16" ht="15" thickBot="1">
      <c r="A42" s="1797"/>
      <c r="B42" s="152"/>
      <c r="C42" s="153"/>
      <c r="D42" s="153"/>
      <c r="E42" s="154"/>
      <c r="F42" s="1790"/>
      <c r="G42" s="129"/>
      <c r="H42" s="129"/>
      <c r="I42" s="129"/>
    </row>
    <row r="43" spans="1:16" ht="12.75">
      <c r="A43" s="1577"/>
      <c r="B43" s="1577"/>
      <c r="C43" s="1577"/>
      <c r="D43" s="1577"/>
      <c r="E43" s="1577"/>
      <c r="F43" s="1798"/>
      <c r="G43" s="1798"/>
      <c r="H43" s="1798"/>
      <c r="I43" s="1799"/>
    </row>
    <row r="44" spans="1:16" ht="18.75">
      <c r="A44" s="1800" t="s">
        <v>1324</v>
      </c>
      <c r="B44" s="1801"/>
      <c r="C44" s="1801"/>
      <c r="D44" s="1802"/>
      <c r="E44" s="1802"/>
      <c r="F44" s="1803"/>
      <c r="G44" s="1803"/>
      <c r="H44" s="1803"/>
      <c r="I44" s="1803"/>
      <c r="J44" s="1804" t="s">
        <v>1325</v>
      </c>
      <c r="K44" s="1805"/>
      <c r="L44" s="1805"/>
      <c r="M44" s="1805"/>
      <c r="N44" s="1805"/>
      <c r="O44" s="1805"/>
    </row>
    <row r="45" spans="1:16" ht="14.25" customHeight="1" thickBot="1">
      <c r="A45" s="3591" t="s">
        <v>1326</v>
      </c>
      <c r="B45" s="3592"/>
      <c r="C45" s="3593"/>
      <c r="D45" s="155">
        <f ca="1">ROUND(H101*F45,0)</f>
        <v>43603</v>
      </c>
      <c r="E45" s="156" t="s">
        <v>1327</v>
      </c>
      <c r="F45" s="157">
        <v>0.7</v>
      </c>
      <c r="G45" s="158" t="s">
        <v>1328</v>
      </c>
      <c r="H45" s="129"/>
      <c r="I45" s="129"/>
      <c r="J45" s="3669" t="s">
        <v>1329</v>
      </c>
      <c r="K45" s="3669"/>
      <c r="L45" s="3669"/>
      <c r="M45" s="3669"/>
      <c r="N45" s="3669"/>
      <c r="O45" s="3669"/>
    </row>
    <row r="46" spans="1:16" ht="14.25" customHeight="1">
      <c r="A46" s="3588" t="s">
        <v>1330</v>
      </c>
      <c r="B46" s="3589"/>
      <c r="C46" s="3589"/>
      <c r="D46" s="3589"/>
      <c r="E46" s="3589"/>
      <c r="F46" s="3589"/>
      <c r="G46" s="3590"/>
      <c r="H46" s="1806"/>
      <c r="I46" s="159"/>
      <c r="J46" s="2520">
        <v>1</v>
      </c>
      <c r="K46" s="3670" t="s">
        <v>1331</v>
      </c>
      <c r="L46" s="3670"/>
      <c r="M46" s="3671"/>
      <c r="N46" s="3671"/>
      <c r="O46" s="3671"/>
    </row>
    <row r="47" spans="1:16" ht="12" customHeight="1">
      <c r="A47" s="160" t="s">
        <v>1332</v>
      </c>
      <c r="B47" s="161"/>
      <c r="C47" s="162"/>
      <c r="D47" s="1087" t="s">
        <v>1333</v>
      </c>
      <c r="E47" s="302" t="s">
        <v>1334</v>
      </c>
      <c r="F47" s="163" t="s">
        <v>1335</v>
      </c>
      <c r="G47" s="2524" t="s">
        <v>1336</v>
      </c>
      <c r="H47" s="2525"/>
      <c r="I47" s="159"/>
      <c r="J47" s="170">
        <v>2</v>
      </c>
      <c r="K47" s="3650" t="s">
        <v>3415</v>
      </c>
      <c r="L47" s="3650"/>
      <c r="M47" s="3672">
        <f>'数据-取费表'!B2</f>
        <v>45279</v>
      </c>
      <c r="N47" s="3672"/>
      <c r="O47" s="3672"/>
    </row>
    <row r="48" spans="1:16" ht="25.5">
      <c r="A48" s="3619" t="s">
        <v>1337</v>
      </c>
      <c r="B48" s="3602"/>
      <c r="C48" s="3602"/>
      <c r="D48" s="2324">
        <f ca="1">IF(H48="情况1",0,IF(H48="情况2",D52,IF(H48="情况3",D53,IF(H48="情况4",D54))))</f>
        <v>2326</v>
      </c>
      <c r="E48" s="2334" t="str">
        <f>IF(H48="情况4","(销售额-原购置价)×税（费）率","销售额×税（费）率")</f>
        <v>(销售额-原购置价)×税（费）率</v>
      </c>
      <c r="F48" s="2526">
        <f>IF(H48="情况1","免征",'数据-取费表'!B41)</f>
        <v>5.6000000000000001E-2</v>
      </c>
      <c r="G48" s="2527" t="s">
        <v>1338</v>
      </c>
      <c r="H48" s="2528" t="s">
        <v>3413</v>
      </c>
      <c r="I48" s="1806"/>
      <c r="J48" s="170">
        <v>3</v>
      </c>
      <c r="K48" s="3650" t="s">
        <v>3423</v>
      </c>
      <c r="L48" s="3650"/>
      <c r="M48" s="3673">
        <f ca="1">H101</f>
        <v>62290</v>
      </c>
      <c r="N48" s="3673"/>
      <c r="O48" s="3673"/>
    </row>
    <row r="49" spans="1:35" ht="25.5" customHeight="1">
      <c r="A49" s="2333" t="s">
        <v>1339</v>
      </c>
      <c r="B49" s="3586" t="s">
        <v>1340</v>
      </c>
      <c r="C49" s="3586"/>
      <c r="D49" s="1590">
        <v>0</v>
      </c>
      <c r="E49" s="324" t="s">
        <v>1341</v>
      </c>
      <c r="F49" s="2423" t="s">
        <v>28</v>
      </c>
      <c r="G49" s="3656"/>
      <c r="H49" s="2310" t="s">
        <v>2118</v>
      </c>
      <c r="I49" s="2311"/>
      <c r="J49" s="170">
        <v>4</v>
      </c>
      <c r="K49" s="3650" t="str">
        <f>IF(项目基本情况!E8="房地产抵押价值","房地产抵押价值","抵押担保权已注销时的房地产抵押价值")</f>
        <v>房地产抵押价值</v>
      </c>
      <c r="L49" s="3650"/>
      <c r="M49" s="3673">
        <f ca="1">IF(项目基本情况!E8="房地产抵押价值",H107,H109)</f>
        <v>62290</v>
      </c>
      <c r="N49" s="3673"/>
      <c r="O49" s="3673"/>
    </row>
    <row r="50" spans="1:35" ht="25.5" customHeight="1">
      <c r="A50" s="2529"/>
      <c r="B50" s="3586" t="s">
        <v>1342</v>
      </c>
      <c r="C50" s="3586"/>
      <c r="D50" s="2530"/>
      <c r="E50" s="332"/>
      <c r="F50" s="2423"/>
      <c r="G50" s="3657"/>
      <c r="H50" s="2312" t="s">
        <v>2119</v>
      </c>
      <c r="I50" s="2311"/>
      <c r="J50" s="3673" t="s">
        <v>3416</v>
      </c>
      <c r="K50" s="3673"/>
      <c r="L50" s="3673"/>
      <c r="M50" s="3673"/>
      <c r="N50" s="3673"/>
      <c r="O50" s="3673"/>
    </row>
    <row r="51" spans="1:35" ht="20.45" customHeight="1">
      <c r="A51" s="2531"/>
      <c r="B51" s="3586" t="s">
        <v>1343</v>
      </c>
      <c r="C51" s="3586"/>
      <c r="D51" s="1087"/>
      <c r="E51" s="327"/>
      <c r="F51" s="2423"/>
      <c r="G51" s="3658"/>
      <c r="H51" s="2312" t="s">
        <v>2120</v>
      </c>
      <c r="I51" s="2311"/>
      <c r="J51" s="174" t="s">
        <v>3417</v>
      </c>
      <c r="K51" s="3650" t="s">
        <v>3418</v>
      </c>
      <c r="L51" s="3650"/>
      <c r="M51" s="174" t="s">
        <v>3424</v>
      </c>
      <c r="N51" s="174" t="s">
        <v>3419</v>
      </c>
      <c r="O51" s="174" t="s">
        <v>3420</v>
      </c>
    </row>
    <row r="52" spans="1:35" ht="24" customHeight="1">
      <c r="A52" s="2335" t="s">
        <v>1344</v>
      </c>
      <c r="B52" s="3586" t="s">
        <v>1345</v>
      </c>
      <c r="C52" s="3586"/>
      <c r="D52" s="1087">
        <f ca="1">ROUND(D45*'数据-取费表'!B41/(1+'数据-取费表'!C42),0)</f>
        <v>2325</v>
      </c>
      <c r="E52" s="2334" t="s">
        <v>1346</v>
      </c>
      <c r="F52" s="2532">
        <f>'数据-取费表'!B41</f>
        <v>5.6000000000000001E-2</v>
      </c>
      <c r="G52" s="2533"/>
      <c r="H52" s="2522"/>
      <c r="I52" s="1807"/>
      <c r="J52" s="170">
        <v>1</v>
      </c>
      <c r="K52" s="3651" t="s">
        <v>3425</v>
      </c>
      <c r="L52" s="3651"/>
      <c r="M52" s="170">
        <f ca="1">D48</f>
        <v>2326</v>
      </c>
      <c r="N52" s="170" t="str">
        <f>E48</f>
        <v>(销售额-原购置价)×税（费）率</v>
      </c>
      <c r="O52" s="3456">
        <f>F48</f>
        <v>5.6000000000000001E-2</v>
      </c>
    </row>
    <row r="53" spans="1:35" ht="12" customHeight="1">
      <c r="A53" s="2335" t="s">
        <v>1347</v>
      </c>
      <c r="B53" s="3612" t="s">
        <v>2271</v>
      </c>
      <c r="C53" s="3613"/>
      <c r="D53" s="1087">
        <f ca="1">ROUND(D45*'数据-取费表'!B41/(1+'数据-取费表'!C42),0)</f>
        <v>2325</v>
      </c>
      <c r="E53" s="2334" t="s">
        <v>1346</v>
      </c>
      <c r="F53" s="2532">
        <f>'数据-取费表'!B41</f>
        <v>5.6000000000000001E-2</v>
      </c>
      <c r="G53" s="2533"/>
      <c r="H53" s="2522"/>
      <c r="I53" s="1807"/>
      <c r="J53" s="170">
        <v>2</v>
      </c>
      <c r="K53" s="3651" t="s">
        <v>3426</v>
      </c>
      <c r="L53" s="3651"/>
      <c r="M53" s="170">
        <f t="shared" ref="M53:O54" ca="1" si="0">D55</f>
        <v>22</v>
      </c>
      <c r="N53" s="170" t="str">
        <f t="shared" si="0"/>
        <v>销售额×税（费）率</v>
      </c>
      <c r="O53" s="3456">
        <f t="shared" si="0"/>
        <v>5.0000000000000001E-4</v>
      </c>
    </row>
    <row r="54" spans="1:35" ht="12" customHeight="1">
      <c r="A54" s="2335" t="s">
        <v>1348</v>
      </c>
      <c r="B54" s="3612" t="s">
        <v>2272</v>
      </c>
      <c r="C54" s="3613"/>
      <c r="D54" s="1087">
        <f ca="1">C68</f>
        <v>2326</v>
      </c>
      <c r="E54" s="327" t="s">
        <v>1349</v>
      </c>
      <c r="F54" s="2532">
        <f>'数据-取费表'!B41</f>
        <v>5.6000000000000001E-2</v>
      </c>
      <c r="G54" s="2533"/>
      <c r="H54" s="2534"/>
      <c r="I54" s="1807"/>
      <c r="J54" s="170">
        <v>3</v>
      </c>
      <c r="K54" s="3651" t="s">
        <v>3427</v>
      </c>
      <c r="L54" s="3651"/>
      <c r="M54" s="170">
        <f t="shared" ca="1" si="0"/>
        <v>2180</v>
      </c>
      <c r="N54" s="170" t="str">
        <f t="shared" si="0"/>
        <v>增值额×税（费）率</v>
      </c>
      <c r="O54" s="3457" t="str">
        <f t="shared" si="0"/>
        <v>——</v>
      </c>
    </row>
    <row r="55" spans="1:35" ht="24" customHeight="1">
      <c r="A55" s="3601" t="s">
        <v>1350</v>
      </c>
      <c r="B55" s="3602"/>
      <c r="C55" s="3602"/>
      <c r="D55" s="2324">
        <f ca="1">IF(H55="个人住宅",0,ROUND(D45*I55,0))</f>
        <v>22</v>
      </c>
      <c r="E55" s="2334" t="s">
        <v>1351</v>
      </c>
      <c r="F55" s="2532">
        <f>IF(H55="正常",I55,"免征")</f>
        <v>5.0000000000000001E-4</v>
      </c>
      <c r="G55" s="2533"/>
      <c r="H55" s="2528" t="s">
        <v>3399</v>
      </c>
      <c r="I55" s="165">
        <f>'数据-取费表'!B49</f>
        <v>5.0000000000000001E-4</v>
      </c>
      <c r="J55" s="170" t="str">
        <f>IF(H59="非个人房产","",4)</f>
        <v/>
      </c>
      <c r="K55" s="3651" t="str">
        <f>IF(H59="非个人房产","——","个人所得税")</f>
        <v>——</v>
      </c>
      <c r="L55" s="3651"/>
      <c r="M55" s="2030" t="str">
        <f>D59</f>
        <v>——</v>
      </c>
      <c r="N55" s="2030" t="str">
        <f>E59</f>
        <v>——</v>
      </c>
      <c r="O55" s="3458" t="str">
        <f>F59</f>
        <v>——</v>
      </c>
    </row>
    <row r="56" spans="1:35" ht="24.75">
      <c r="A56" s="3601" t="s">
        <v>1352</v>
      </c>
      <c r="B56" s="3602"/>
      <c r="C56" s="3602"/>
      <c r="D56" s="2324">
        <f ca="1">IF(H56="个人住宅",D57,D58)</f>
        <v>2180</v>
      </c>
      <c r="E56" s="2334" t="s">
        <v>1353</v>
      </c>
      <c r="F56" s="2532" t="str">
        <f>IF(H56="正常",F58,"免征")</f>
        <v>——</v>
      </c>
      <c r="G56" s="2535" t="s">
        <v>1354</v>
      </c>
      <c r="H56" s="2536" t="s">
        <v>3399</v>
      </c>
      <c r="I56" s="1808"/>
      <c r="J56" s="170" t="str">
        <f>IF(项目基本情况!K6="上海银行",IF(J55="",4,J55+1),"")</f>
        <v/>
      </c>
      <c r="K56" s="3675" t="str">
        <f>IF(项目基本情况!K6="上海银行","其他处置费用","")</f>
        <v/>
      </c>
      <c r="L56" s="3676"/>
      <c r="M56" s="170" t="str">
        <f>IF(项目基本情况!K6="上海银行",M69,"")</f>
        <v/>
      </c>
      <c r="N56" s="3675" t="str">
        <f>IF(项目基本情况!K6="上海银行","包含处置中涉及的律师、诉讼、拍卖、评估等费用","")</f>
        <v/>
      </c>
      <c r="O56" s="3678"/>
    </row>
    <row r="57" spans="1:35" ht="12.75">
      <c r="A57" s="2335" t="s">
        <v>1339</v>
      </c>
      <c r="B57" s="3612" t="s">
        <v>1355</v>
      </c>
      <c r="C57" s="3613"/>
      <c r="D57" s="1590">
        <v>0</v>
      </c>
      <c r="E57" s="324" t="s">
        <v>1341</v>
      </c>
      <c r="F57" s="302"/>
      <c r="G57" s="2533"/>
      <c r="H57" s="2537"/>
      <c r="I57" s="1808"/>
      <c r="J57" s="3651">
        <f>IF(AND(J55="",J56=""),4,IF(项目基本情况!K6="上海银行",结果表!J56+1,结果表!J55+1))</f>
        <v>4</v>
      </c>
      <c r="K57" s="3651" t="s">
        <v>3428</v>
      </c>
      <c r="L57" s="2558" t="s">
        <v>3421</v>
      </c>
      <c r="M57" s="3459"/>
      <c r="N57" s="3460">
        <f ca="1">SUMIF(M52:M56,"&lt;9e307")</f>
        <v>4528</v>
      </c>
      <c r="O57" s="3461"/>
      <c r="P57" s="2666">
        <f ca="1">N57/M49</f>
        <v>7.2692245946379838E-2</v>
      </c>
    </row>
    <row r="58" spans="1:35" ht="24.75">
      <c r="A58" s="2335" t="s">
        <v>1344</v>
      </c>
      <c r="B58" s="3612" t="s">
        <v>1356</v>
      </c>
      <c r="C58" s="3586"/>
      <c r="D58" s="3863">
        <f ca="1">ROUND(D45*0.05,0)</f>
        <v>2180</v>
      </c>
      <c r="E58" s="2334" t="s">
        <v>1353</v>
      </c>
      <c r="F58" s="302" t="s">
        <v>28</v>
      </c>
      <c r="G58" s="2533"/>
      <c r="H58" s="2536" t="s">
        <v>4585</v>
      </c>
      <c r="I58" s="1808"/>
      <c r="J58" s="3651"/>
      <c r="K58" s="3651"/>
      <c r="L58" s="2558" t="s">
        <v>3422</v>
      </c>
      <c r="M58" s="2558"/>
      <c r="N58" s="3462" t="str">
        <f ca="1">NUMBERSTRING(INT(N57*10000),2)&amp;"元整"</f>
        <v>肆仟伍佰贰拾捌万元整</v>
      </c>
      <c r="O58" s="2097"/>
    </row>
    <row r="59" spans="1:35" ht="24.75" thickBot="1">
      <c r="A59" s="3654" t="s">
        <v>1357</v>
      </c>
      <c r="B59" s="3655"/>
      <c r="C59" s="3655"/>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3414</v>
      </c>
      <c r="I59" s="2313" t="s">
        <v>2121</v>
      </c>
      <c r="J59" s="3652">
        <f>J57+1</f>
        <v>5</v>
      </c>
      <c r="K59" s="3651" t="s">
        <v>3429</v>
      </c>
      <c r="L59" s="170" t="s">
        <v>3421</v>
      </c>
      <c r="M59" s="3463"/>
      <c r="N59" s="3464">
        <f ca="1">M49-N57</f>
        <v>57762</v>
      </c>
      <c r="O59" s="3465"/>
    </row>
    <row r="60" spans="1:35" ht="12" customHeight="1">
      <c r="A60" s="1809"/>
      <c r="B60" s="1747"/>
      <c r="C60" s="1747"/>
      <c r="D60" s="1747"/>
      <c r="E60" s="1578"/>
      <c r="F60" s="1808"/>
      <c r="G60" s="1808"/>
      <c r="H60" s="1810"/>
      <c r="I60" s="129"/>
      <c r="J60" s="3653"/>
      <c r="K60" s="3651"/>
      <c r="L60" s="2558" t="s">
        <v>3422</v>
      </c>
      <c r="M60" s="2558"/>
      <c r="N60" s="3462" t="str">
        <f ca="1">NUMBERSTRING(INT(N59*10000),2)&amp;"元整"</f>
        <v>伍亿柒仟柒佰陆拾贰万元整</v>
      </c>
      <c r="O60" s="2097"/>
    </row>
    <row r="61" spans="1:35" ht="13.5" thickBot="1">
      <c r="A61" s="3599" t="s">
        <v>1358</v>
      </c>
      <c r="B61" s="3599"/>
      <c r="C61" s="3599"/>
      <c r="D61" s="3599"/>
      <c r="E61" s="3599"/>
      <c r="F61" s="1808"/>
      <c r="G61" s="1808"/>
      <c r="H61" s="1810"/>
      <c r="I61" s="129"/>
      <c r="J61" s="170">
        <f>J59+1</f>
        <v>6</v>
      </c>
      <c r="K61" s="3651" t="s">
        <v>3430</v>
      </c>
      <c r="L61" s="3651"/>
      <c r="M61" s="3466"/>
      <c r="N61" s="3467">
        <f ca="1">ROUND(N59*10000/'数据-汇总表'!E3,0)</f>
        <v>43998</v>
      </c>
      <c r="O61" s="3468"/>
    </row>
    <row r="62" spans="1:35" ht="12.75">
      <c r="A62" s="3617" t="s">
        <v>1359</v>
      </c>
      <c r="B62" s="3618"/>
      <c r="C62" s="2021"/>
      <c r="D62" s="2021" t="s">
        <v>1360</v>
      </c>
      <c r="E62" s="166" t="s">
        <v>1361</v>
      </c>
      <c r="F62" s="1808"/>
      <c r="G62" s="1808"/>
      <c r="H62" s="1810"/>
      <c r="I62" s="129"/>
    </row>
    <row r="63" spans="1:35" ht="12.75">
      <c r="A63" s="173" t="s">
        <v>330</v>
      </c>
      <c r="B63" s="167" t="s">
        <v>1362</v>
      </c>
      <c r="C63" s="2542">
        <f ca="1">ROUND((C64+C65)/(1+'数据-取费表'!C42),0)</f>
        <v>41527</v>
      </c>
      <c r="D63" s="167"/>
      <c r="E63" s="168"/>
      <c r="F63" s="1808"/>
      <c r="G63" s="1808"/>
      <c r="H63" s="1810"/>
      <c r="I63" s="129"/>
      <c r="J63" s="3677" t="s">
        <v>1363</v>
      </c>
      <c r="K63" s="1332" t="s">
        <v>1364</v>
      </c>
      <c r="L63" s="1332">
        <f ca="1">IF(M49&gt;10000,M49*0.5%,IF(AND(M49&gt;1000,M49&lt;=10000),M49*1%,IF(AND(M49&gt;100,M49&lt;=1000),M49*3%,IF(AND(M49&gt;10,M49&lt;=100),M49*5%,M49*8%))))</f>
        <v>311.45</v>
      </c>
      <c r="M63" s="302">
        <f ca="1">ROUND(L63,1)</f>
        <v>311.5</v>
      </c>
      <c r="N63" s="2521"/>
      <c r="Z63" s="1752"/>
      <c r="AI63" s="1753"/>
    </row>
    <row r="64" spans="1:35" ht="14.25" customHeight="1">
      <c r="A64" s="169" t="s">
        <v>325</v>
      </c>
      <c r="B64" s="170" t="s">
        <v>1365</v>
      </c>
      <c r="C64" s="2543">
        <f ca="1">D45</f>
        <v>43603</v>
      </c>
      <c r="D64" s="170" t="s">
        <v>26</v>
      </c>
      <c r="E64" s="172"/>
      <c r="F64" s="1808"/>
      <c r="G64" s="1808"/>
      <c r="H64" s="1810"/>
      <c r="I64" s="129"/>
      <c r="J64" s="3677"/>
      <c r="K64" s="1332" t="s">
        <v>1366</v>
      </c>
      <c r="L64" s="1332">
        <f ca="1">IF(M49&gt;2000,M49*0.5%,IF(AND(M49&gt;1000,M49&lt;=2000),M49*0.6%,IF(AND(M49&gt;500,M49&lt;=1000),M49*0.7%,IF(AND(M49&gt;200,M49&lt;=500),M49*0.8%,IF(AND(M49&gt;100,M49&lt;=200),M49*0.9%,IF(AND(M49&gt;50,M49&lt;=100),M49*1%,IF(AND(M49&gt;20,M49&lt;=50),M49*1.5%,IF(AND(M49&gt;10,M49&lt;=20),M49*2%,IF(AND(M49&gt;1,M49&lt;=10),M49*2.5%)))))))))</f>
        <v>311.45</v>
      </c>
      <c r="M64" s="302">
        <f t="shared" ref="M64:M65" ca="1" si="1">ROUND(L64,1)</f>
        <v>311.5</v>
      </c>
      <c r="N64" s="2522" t="s">
        <v>1367</v>
      </c>
      <c r="Z64" s="1752"/>
      <c r="AI64" s="1753"/>
    </row>
    <row r="65" spans="1:35" ht="14.25" customHeight="1">
      <c r="A65" s="169" t="s">
        <v>326</v>
      </c>
      <c r="B65" s="170" t="s">
        <v>1368</v>
      </c>
      <c r="C65" s="2544"/>
      <c r="D65" s="170"/>
      <c r="E65" s="172"/>
      <c r="F65" s="1808"/>
      <c r="G65" s="1808"/>
      <c r="H65" s="1810"/>
      <c r="I65" s="129"/>
      <c r="J65" s="3677"/>
      <c r="K65" s="1332" t="s">
        <v>1369</v>
      </c>
      <c r="L65" s="1332">
        <f ca="1">IF(M49&gt;1000,M49*0.1%,IF(AND(M49&gt;500,M49&lt;=1000),M49*0.5%,IF(AND(M49&gt;50,M49&lt;=500),M49*1%,IF(AND(M49&gt;1,M49&lt;=50),M49*1.5%))))</f>
        <v>62.29</v>
      </c>
      <c r="M65" s="302">
        <f t="shared" ca="1" si="1"/>
        <v>62.3</v>
      </c>
      <c r="N65" s="2522" t="s">
        <v>1367</v>
      </c>
      <c r="Z65" s="1752"/>
      <c r="AI65" s="1753"/>
    </row>
    <row r="66" spans="1:35" ht="14.25" customHeight="1">
      <c r="A66" s="173" t="s">
        <v>327</v>
      </c>
      <c r="B66" s="174" t="s">
        <v>1370</v>
      </c>
      <c r="C66" s="2545"/>
      <c r="D66" s="174" t="s">
        <v>26</v>
      </c>
      <c r="E66" s="1338" t="s">
        <v>671</v>
      </c>
      <c r="F66" s="1808"/>
      <c r="G66" s="1808"/>
      <c r="H66" s="1810"/>
      <c r="I66" s="129"/>
      <c r="J66" s="3677"/>
      <c r="K66" s="1332" t="s">
        <v>1371</v>
      </c>
      <c r="L66" s="1332">
        <f ca="1">M49*0.5%</f>
        <v>311.45</v>
      </c>
      <c r="M66" s="302">
        <f ca="1">IF(L66&gt;0.5,0.5,ROUND(L66,0))</f>
        <v>0.5</v>
      </c>
      <c r="N66" s="2522" t="s">
        <v>1372</v>
      </c>
      <c r="Z66" s="1752"/>
      <c r="AI66" s="1753"/>
    </row>
    <row r="67" spans="1:35" ht="14.25" customHeight="1">
      <c r="A67" s="173" t="s">
        <v>328</v>
      </c>
      <c r="B67" s="174" t="s">
        <v>1373</v>
      </c>
      <c r="C67" s="2546">
        <f ca="1">C63-C66</f>
        <v>41527</v>
      </c>
      <c r="D67" s="170" t="s">
        <v>26</v>
      </c>
      <c r="E67" s="172"/>
      <c r="F67" s="1808"/>
      <c r="G67" s="1808"/>
      <c r="H67" s="1810"/>
      <c r="I67" s="129"/>
      <c r="J67" s="3677"/>
      <c r="K67" s="1332" t="s">
        <v>1374</v>
      </c>
      <c r="L67" s="1332">
        <f ca="1">IF(M49&gt;=10000,(8.25+(M49-10000)*0.01%),IF(AND(M49&gt;=8000,M49&lt;10000),(7.85+(M49-8000)*0.02%),IF(AND(M49&gt;=5000,M49&lt;8000),(6.65+(M49-5000)*0.04%),IF(AND(M49&gt;=2000,M49&lt;5000),(4.25+(PM49-2000)*0.08%),IF(AND(M49&gt;=1000,M49&lt;2000),(2.75+(M49-1000)*0.15%),IF(AND(M49&gt;=100,M49&lt;1000),(0.5+(M49-100)*0.25%),IF(AND(M49&gt;0,M49&lt;100),M49*0.5%)))))))</f>
        <v>13.478999999999999</v>
      </c>
      <c r="M67" s="302">
        <f ca="1">ROUND(L67*0.9,1)</f>
        <v>12.1</v>
      </c>
      <c r="N67" s="2521"/>
      <c r="Z67" s="1752"/>
      <c r="AI67" s="1753"/>
    </row>
    <row r="68" spans="1:35" ht="14.25" customHeight="1" thickBot="1">
      <c r="A68" s="176" t="s">
        <v>329</v>
      </c>
      <c r="B68" s="177" t="s">
        <v>1375</v>
      </c>
      <c r="C68" s="2547">
        <f ca="1">IF(C67&lt;=0,0,ROUND(C67*D68,0))</f>
        <v>2326</v>
      </c>
      <c r="D68" s="2548">
        <f>'数据-取费表'!B41</f>
        <v>5.6000000000000001E-2</v>
      </c>
      <c r="E68" s="178"/>
      <c r="F68" s="1808"/>
      <c r="G68" s="1808"/>
      <c r="H68" s="1810"/>
      <c r="I68" s="129"/>
      <c r="J68" s="3677"/>
      <c r="K68" s="1332" t="s">
        <v>1376</v>
      </c>
      <c r="L68" s="1332">
        <f ca="1">IF(M49&gt;10000,M49*0.5%,IF(AND(M49&gt;5000,M49&lt;=10000),M49*1%,IF(AND(M49&gt;1000,M49&lt;=5000),M49*2%,IF(AND(M49&gt;200,M49&lt;=1000),M49*3%,M49*5%))))</f>
        <v>311.45</v>
      </c>
      <c r="M68" s="302">
        <f ca="1">ROUND(L68,1)</f>
        <v>311.5</v>
      </c>
      <c r="N68" s="2521"/>
      <c r="Z68" s="1752"/>
      <c r="AI68" s="1753"/>
    </row>
    <row r="69" spans="1:35" s="1772" customFormat="1" ht="16.5" customHeight="1">
      <c r="A69" s="1811"/>
      <c r="B69" s="1812"/>
      <c r="C69" s="1813"/>
      <c r="D69" s="1814"/>
      <c r="E69" s="1815"/>
      <c r="F69" s="1578"/>
      <c r="G69" s="1578"/>
      <c r="H69" s="1577"/>
      <c r="I69" s="1747"/>
      <c r="J69" s="3677"/>
      <c r="K69" s="1332" t="s">
        <v>1377</v>
      </c>
      <c r="L69" s="1332"/>
      <c r="M69" s="302">
        <f ca="1">ROUND(SUM(M63:M68),0)</f>
        <v>1009</v>
      </c>
      <c r="N69" s="2523">
        <f ca="1">M69/M49</f>
        <v>1.6198426713758228E-2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8" t="s">
        <v>1378</v>
      </c>
      <c r="B70" s="3639"/>
      <c r="C70" s="3639"/>
      <c r="D70" s="3639"/>
      <c r="E70" s="3639"/>
      <c r="F70" s="3639"/>
      <c r="G70" s="3639"/>
      <c r="H70" s="3639"/>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1359</v>
      </c>
      <c r="B71" s="3618"/>
      <c r="C71" s="2021"/>
      <c r="D71" s="2021" t="s">
        <v>1360</v>
      </c>
      <c r="E71" s="179" t="s">
        <v>1361</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41527</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42982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 ca="1">ROUND(IF(G77="2016年5月1日后购买",C75/(1+'数据-取费表'!C42)+C76+C77,C75+C76+C77),0)</f>
        <v>42733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f ca="1">C72</f>
        <v>41527</v>
      </c>
      <c r="D75" s="170" t="s">
        <v>26</v>
      </c>
      <c r="E75" s="184" t="s">
        <v>1383</v>
      </c>
      <c r="F75" s="2549"/>
      <c r="G75" s="184" t="s">
        <v>1384</v>
      </c>
      <c r="H75" s="255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612" t="s">
        <v>1386</v>
      </c>
      <c r="F76" s="3586"/>
      <c r="G76" s="3586"/>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 ca="1">ROUND(IF(G77="个人住宅",0,IF(G77="2016年5月1日前购买",C75*D77,C75*D77/(1+'数据-取费表'!C42))),0)</f>
        <v>1206</v>
      </c>
      <c r="D77" s="2552">
        <f>'数据-取费表'!B48+'数据-取费表'!B49</f>
        <v>3.0499999999999999E-2</v>
      </c>
      <c r="E77" s="2324" t="s">
        <v>1388</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249</v>
      </c>
      <c r="D78" s="2554">
        <f>'数据-取费表'!B43</f>
        <v>6.000000000000001E-3</v>
      </c>
      <c r="E78" s="3596" t="s">
        <v>1390</v>
      </c>
      <c r="F78" s="3597"/>
      <c r="G78" s="3597"/>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-1455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8" t="s">
        <v>1394</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1359</v>
      </c>
      <c r="B84" s="3618"/>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41527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249</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679" t="s">
        <v>2113</v>
      </c>
      <c r="H90" s="3680"/>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596" t="s">
        <v>1403</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596" t="s">
        <v>1406</v>
      </c>
      <c r="F92" s="3597"/>
      <c r="G92" s="3597"/>
      <c r="H92" s="3606"/>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249</v>
      </c>
      <c r="D93" s="2554">
        <f>'数据-取费表'!B43</f>
        <v>6.000000000000001E-3</v>
      </c>
      <c r="E93" s="3596" t="s">
        <v>1390</v>
      </c>
      <c r="F93" s="3597"/>
      <c r="G93" s="3597"/>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607" t="s">
        <v>1410</v>
      </c>
      <c r="F94" s="3608"/>
      <c r="G94" s="3608"/>
      <c r="H94" s="36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41278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165.77510040160644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24680</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80" t="s">
        <v>1412</v>
      </c>
      <c r="B100" s="3581"/>
      <c r="C100" s="3581"/>
      <c r="D100" s="3598"/>
      <c r="E100" s="3581" t="s">
        <v>1413</v>
      </c>
      <c r="F100" s="3581"/>
      <c r="G100" s="3581"/>
      <c r="H100" s="3598"/>
      <c r="I100" s="129"/>
    </row>
    <row r="101" spans="1:35" ht="18.75" customHeight="1">
      <c r="A101" s="3659" t="s">
        <v>1414</v>
      </c>
      <c r="B101" s="3660"/>
      <c r="C101" s="2562" t="str">
        <f>C4</f>
        <v>比较法-办公</v>
      </c>
      <c r="D101" s="2563" t="str">
        <f>D4</f>
        <v>成本法</v>
      </c>
      <c r="E101" s="3674" t="s">
        <v>1415</v>
      </c>
      <c r="F101" s="3630"/>
      <c r="G101" s="1827" t="s">
        <v>1416</v>
      </c>
      <c r="H101" s="2572">
        <f ca="1">H118</f>
        <v>62290</v>
      </c>
      <c r="I101" s="129"/>
    </row>
    <row r="102" spans="1:35" ht="18.75" customHeight="1">
      <c r="A102" s="3632" t="s">
        <v>1417</v>
      </c>
      <c r="B102" s="2561" t="s">
        <v>1416</v>
      </c>
      <c r="C102" s="2562">
        <f ca="1">IF(D32="楼面单价",ROUND(C19,0),C19)</f>
        <v>71609</v>
      </c>
      <c r="D102" s="2563">
        <f ca="1">IF(D32="楼面单价",ROUND(D19,0),D19)</f>
        <v>40547</v>
      </c>
      <c r="E102" s="3674"/>
      <c r="F102" s="3630"/>
      <c r="G102" s="1827" t="s">
        <v>1418</v>
      </c>
      <c r="H102" s="2533">
        <f ca="1">I118</f>
        <v>47447</v>
      </c>
      <c r="I102" s="129"/>
    </row>
    <row r="103" spans="1:35" ht="42.75" customHeight="1">
      <c r="A103" s="3632"/>
      <c r="B103" s="2561" t="s">
        <v>1418</v>
      </c>
      <c r="C103" s="2564">
        <f ca="1">C20</f>
        <v>54545</v>
      </c>
      <c r="D103" s="2565">
        <f ca="1">D20</f>
        <v>30885</v>
      </c>
      <c r="E103" s="3667" t="s">
        <v>1419</v>
      </c>
      <c r="F103" s="3668"/>
      <c r="G103" s="1828" t="s">
        <v>1420</v>
      </c>
      <c r="H103" s="2572">
        <f>IF(D36="正常操作",H104+H105+H106,H105+H106)</f>
        <v>0</v>
      </c>
      <c r="I103" s="129"/>
    </row>
    <row r="104" spans="1:35" ht="18.75" customHeight="1">
      <c r="A104" s="3632" t="s">
        <v>1421</v>
      </c>
      <c r="B104" s="2566" t="s">
        <v>1416</v>
      </c>
      <c r="C104" s="2567">
        <f ca="1">H118</f>
        <v>62290</v>
      </c>
      <c r="D104" s="2568"/>
      <c r="E104" s="1674" t="s">
        <v>1422</v>
      </c>
      <c r="F104" s="1666"/>
      <c r="G104" s="1828" t="s">
        <v>1420</v>
      </c>
      <c r="H104" s="2573">
        <f>IF(D36="同一抵押权人同一抵押物续贷",C36&amp;"（续贷，未扣减，详见特别提示）",C36)</f>
        <v>0</v>
      </c>
      <c r="I104" s="129"/>
    </row>
    <row r="105" spans="1:35" ht="18.75" customHeight="1" thickBot="1">
      <c r="A105" s="3633"/>
      <c r="B105" s="2569" t="s">
        <v>1418</v>
      </c>
      <c r="C105" s="2570">
        <f ca="1">I118</f>
        <v>47447</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629" t="str">
        <f>IF(项目基本情况!E8="已注销","——","3.房地产抵押价值")</f>
        <v>3.房地产抵押价值</v>
      </c>
      <c r="F107" s="3630"/>
      <c r="G107" s="1827" t="s">
        <v>1416</v>
      </c>
      <c r="H107" s="2572">
        <f ca="1">IF(E107="——","——",H101-H103)</f>
        <v>62290</v>
      </c>
      <c r="I107" s="129"/>
    </row>
    <row r="108" spans="1:35" ht="18.75" customHeight="1">
      <c r="A108" s="129"/>
      <c r="B108" s="129"/>
      <c r="C108" s="129"/>
      <c r="D108" s="129"/>
      <c r="E108" s="3629"/>
      <c r="F108" s="3630"/>
      <c r="G108" s="1827" t="s">
        <v>1418</v>
      </c>
      <c r="H108" s="2533">
        <f ca="1">IF(H107=H101,H102,ROUND(H107*10000/'数据-汇总表'!E3,0))</f>
        <v>47447</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7" t="s">
        <v>1416</v>
      </c>
      <c r="H109" s="2575" t="str">
        <f>IF(E109="——","——",H101-H105-H106)</f>
        <v>——</v>
      </c>
      <c r="I109" s="129"/>
    </row>
    <row r="110" spans="1:35" ht="18.75" customHeight="1">
      <c r="A110" s="129"/>
      <c r="B110" s="129"/>
      <c r="C110" s="129"/>
      <c r="D110" s="129"/>
      <c r="E110" s="3629"/>
      <c r="F110" s="3630"/>
      <c r="G110" s="1827" t="s">
        <v>1418</v>
      </c>
      <c r="H110" s="2533"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7" t="s">
        <v>1416</v>
      </c>
      <c r="H111" s="2572" t="str">
        <f>IF(E111="——","——",N59)</f>
        <v>——</v>
      </c>
      <c r="I111" s="129"/>
    </row>
    <row r="112" spans="1:35" ht="18.75" customHeight="1" thickBot="1">
      <c r="A112" s="129"/>
      <c r="B112" s="129"/>
      <c r="C112" s="129"/>
      <c r="D112" s="129"/>
      <c r="E112" s="3662"/>
      <c r="F112" s="3663"/>
      <c r="G112" s="1830" t="s">
        <v>1418</v>
      </c>
      <c r="H112" s="2576" t="str">
        <f>IF(E111="——","——",N61)</f>
        <v>——</v>
      </c>
      <c r="I112" s="129"/>
    </row>
    <row r="113" spans="1:27" ht="18.75" customHeight="1">
      <c r="A113" s="129"/>
      <c r="B113" s="129"/>
      <c r="C113" s="129"/>
      <c r="D113" s="129"/>
      <c r="E113" s="3634" t="s">
        <v>1424</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4" t="s">
        <v>1426</v>
      </c>
      <c r="B115" s="3645"/>
      <c r="C115" s="3645"/>
      <c r="D115" s="3645"/>
      <c r="E115" s="3645"/>
      <c r="F115" s="3645"/>
      <c r="G115" s="3645"/>
      <c r="H115" s="3645"/>
      <c r="I115" s="3646"/>
    </row>
    <row r="116" spans="1:27" ht="27" customHeight="1">
      <c r="A116" s="3600" t="s">
        <v>1427</v>
      </c>
      <c r="B116" s="3635" t="s">
        <v>1428</v>
      </c>
      <c r="C116" s="3635" t="s">
        <v>1429</v>
      </c>
      <c r="D116" s="3648" t="s">
        <v>1430</v>
      </c>
      <c r="E116" s="3649"/>
      <c r="F116" s="3643" t="s">
        <v>1431</v>
      </c>
      <c r="G116" s="3643"/>
      <c r="H116" s="3600" t="s">
        <v>1432</v>
      </c>
      <c r="I116" s="3600"/>
    </row>
    <row r="117" spans="1:27" ht="18.75" customHeight="1">
      <c r="A117" s="3600"/>
      <c r="B117" s="3636"/>
      <c r="C117" s="3636"/>
      <c r="D117" s="2329" t="s">
        <v>1433</v>
      </c>
      <c r="E117" s="2329" t="s">
        <v>1434</v>
      </c>
      <c r="F117" s="2329" t="s">
        <v>1433</v>
      </c>
      <c r="G117" s="2329" t="s">
        <v>1435</v>
      </c>
      <c r="H117" s="2329" t="s">
        <v>1433</v>
      </c>
      <c r="I117" s="2329" t="s">
        <v>1435</v>
      </c>
    </row>
    <row r="118" spans="1:27" ht="24.75" customHeight="1">
      <c r="A118" s="2577" t="str">
        <f>项目基本情况!S2</f>
        <v>北京市海淀区西三环北路89号4层A-01等56套房地产</v>
      </c>
      <c r="B118" s="2329">
        <f>M18</f>
        <v>13128.449999999992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62290</v>
      </c>
      <c r="I118" s="2329">
        <f ca="1">ROUND(IF(D32="楼面单价",C32,H118*10000/B118),0)</f>
        <v>47447</v>
      </c>
    </row>
    <row r="119" spans="1:27" ht="18.75" customHeight="1">
      <c r="A119" s="3600" t="s">
        <v>1436</v>
      </c>
      <c r="B119" s="3600"/>
      <c r="C119" s="3600"/>
      <c r="D119" s="3640" t="e">
        <f ca="1">NUMBERSTRING(INT(D118*10000),2)&amp;"元整"</f>
        <v>#REF!</v>
      </c>
      <c r="E119" s="3642"/>
      <c r="F119" s="3640" t="e">
        <f ca="1">NUMBERSTRING(INT(F118*10000),2)&amp;"元整"</f>
        <v>#REF!</v>
      </c>
      <c r="G119" s="3642"/>
      <c r="H119" s="3640" t="str">
        <f ca="1">NUMBERSTRING(INT(H118*10000),2)&amp;"元整"</f>
        <v>陆亿贰仟贰佰玖拾万元整</v>
      </c>
      <c r="I119" s="3642"/>
    </row>
    <row r="120" spans="1:27" ht="18.75" customHeight="1">
      <c r="A120" s="3664" t="str">
        <f>IF(项目基本情况!B9="房地产市场价值","",MID(E103,3,LEN(E103)-2))</f>
        <v/>
      </c>
      <c r="B120" s="3665"/>
      <c r="C120" s="3666"/>
      <c r="D120" s="3664">
        <f>H103</f>
        <v>0</v>
      </c>
      <c r="E120" s="3665"/>
      <c r="F120" s="3665"/>
      <c r="G120" s="3665"/>
      <c r="H120" s="3665"/>
      <c r="I120" s="366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0" t="s">
        <v>1436</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
      </c>
      <c r="B122" s="3631"/>
      <c r="C122" s="3631"/>
      <c r="D122" s="3664">
        <f ca="1">H107</f>
        <v>62290</v>
      </c>
      <c r="E122" s="3665"/>
      <c r="F122" s="3665"/>
      <c r="G122" s="3665"/>
      <c r="H122" s="3665"/>
      <c r="I122" s="3666"/>
      <c r="AA122" s="725"/>
    </row>
    <row r="123" spans="1:27" ht="18.75" customHeight="1">
      <c r="A123" s="3600" t="s">
        <v>1436</v>
      </c>
      <c r="B123" s="3600"/>
      <c r="C123" s="3600"/>
      <c r="D123" s="3640" t="str">
        <f ca="1">NUMBERSTRING(INT(D122*10000),2)&amp;"元整"</f>
        <v>陆亿贰仟贰佰玖拾万元整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1436</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1436</v>
      </c>
      <c r="B127" s="3600"/>
      <c r="C127" s="3600"/>
      <c r="D127" s="3640" t="e">
        <f>NUMBERSTRING(INT(D126*10000),2)&amp;"元整"</f>
        <v>#VALUE!</v>
      </c>
      <c r="E127" s="3641"/>
      <c r="F127" s="3641"/>
      <c r="G127" s="3641"/>
      <c r="H127" s="3641"/>
      <c r="I127" s="3642"/>
      <c r="AA127" s="725"/>
    </row>
    <row r="128" spans="1:27" ht="21.75" customHeight="1">
      <c r="A128" s="3647" t="s">
        <v>1437</v>
      </c>
      <c r="B128" s="3647"/>
      <c r="C128" s="3647"/>
      <c r="D128" s="3647"/>
      <c r="E128" s="3647"/>
      <c r="F128" s="3647"/>
      <c r="G128" s="3647"/>
      <c r="H128" s="3647"/>
      <c r="I128" s="3647"/>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0">
        <f ca="1">ROUND(IF(D2="——",C52/10000,C52/10000-E2),4)</f>
        <v>8931.4066000000003</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6803</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2625690</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2625690</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2625690</v>
      </c>
      <c r="D10" s="845">
        <f ca="1">IF(B1="",'数据-汇总表'!E6,IF(INDIRECT("'数据-取费表'!c"&amp;$G$1)="住宅",INDIRECT("'数据-取费表'!s"&amp;$G$1),INDIRECT("'数据-取费表'!k"&amp;$G$1)+INDIRECT("'数据-取费表'!s"&amp;$G$1)))</f>
        <v>13128.449999999992</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2625690</v>
      </c>
      <c r="D19" s="849">
        <f ca="1">D9+D10</f>
        <v>13128.449999999992</v>
      </c>
      <c r="E19" s="211">
        <f>'数据-取费表'!B31</f>
        <v>200</v>
      </c>
      <c r="F19" s="231"/>
      <c r="G19" s="1856"/>
    </row>
    <row r="20" spans="1:7" s="214" customFormat="1" ht="13.5" customHeight="1">
      <c r="A20" s="255" t="s">
        <v>1558</v>
      </c>
      <c r="B20" s="210" t="s">
        <v>1559</v>
      </c>
      <c r="C20" s="232">
        <f ca="1">ROUND((C5+C19)*F20,0)</f>
        <v>105028</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372219</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184298</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184298</v>
      </c>
      <c r="D24" s="238"/>
      <c r="E24" s="238"/>
      <c r="F24" s="239"/>
      <c r="G24" s="240" t="s">
        <v>1570</v>
      </c>
    </row>
    <row r="25" spans="1:7" s="214" customFormat="1" ht="24">
      <c r="A25" s="780" t="s">
        <v>1460</v>
      </c>
      <c r="B25" s="215" t="s">
        <v>1571</v>
      </c>
      <c r="C25" s="1128">
        <f ca="1">ROUND(IF('数据-取费表'!B22&lt;=1,C20*F22*'数据-取费表'!B22/2,C20*(POWER((1+F22),'数据-取费表'!B22/2)-1)),0)</f>
        <v>3623</v>
      </c>
      <c r="D25" s="238"/>
      <c r="E25" s="241"/>
      <c r="F25" s="239"/>
      <c r="G25" s="242" t="s">
        <v>1572</v>
      </c>
    </row>
    <row r="26" spans="1:7" s="214" customFormat="1">
      <c r="A26" s="780"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803461</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ROUND((C5+C19+C20)*F27,0)</f>
        <v>803461</v>
      </c>
      <c r="D28" s="235"/>
      <c r="E28" s="236"/>
      <c r="F28" s="246"/>
      <c r="G28" s="247"/>
    </row>
    <row r="29" spans="1:7" s="214" customFormat="1" ht="13.5" customHeight="1">
      <c r="A29" s="780"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7077018</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79525586</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72206475</v>
      </c>
      <c r="D34" s="217"/>
      <c r="E34" s="220"/>
      <c r="F34" s="257"/>
      <c r="G34" s="219"/>
    </row>
    <row r="35" spans="1:7" ht="13.5" customHeight="1">
      <c r="A35" s="780" t="s">
        <v>351</v>
      </c>
      <c r="B35" s="215" t="s">
        <v>1511</v>
      </c>
      <c r="C35" s="220">
        <f ca="1">ROUND(C34*F35,0)</f>
        <v>3610324</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2625690</v>
      </c>
      <c r="D37" s="217">
        <f ca="1">D19</f>
        <v>13128.449999999992</v>
      </c>
      <c r="E37" s="249">
        <f>'数据-取费表'!B35</f>
        <v>200</v>
      </c>
      <c r="F37" s="259"/>
      <c r="G37" s="261"/>
    </row>
    <row r="38" spans="1:7" ht="13.5" customHeight="1">
      <c r="A38" s="780" t="s">
        <v>354</v>
      </c>
      <c r="B38" s="215" t="s">
        <v>1517</v>
      </c>
      <c r="C38" s="220">
        <f ca="1">ROUND(C34*F38,0)</f>
        <v>1083097</v>
      </c>
      <c r="D38" s="220"/>
      <c r="E38" s="220"/>
      <c r="F38" s="259">
        <f>'数据-取费表'!B36</f>
        <v>1.4999999999999999E-2</v>
      </c>
      <c r="G38" s="219" t="s">
        <v>1512</v>
      </c>
    </row>
    <row r="39" spans="1:7" s="214" customFormat="1" ht="13.5" customHeight="1">
      <c r="A39" s="255" t="s">
        <v>1518</v>
      </c>
      <c r="B39" s="210" t="s">
        <v>1519</v>
      </c>
      <c r="C39" s="232">
        <f ca="1">ROUND(C33*F20,0)</f>
        <v>1590512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2798506</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2743633</v>
      </c>
      <c r="D42" s="238"/>
      <c r="E42" s="238"/>
      <c r="F42" s="239"/>
      <c r="G42" s="3681" t="s">
        <v>1575</v>
      </c>
    </row>
    <row r="43" spans="1:7" ht="13.5" customHeight="1">
      <c r="A43" s="780" t="s">
        <v>347</v>
      </c>
      <c r="B43" s="215" t="s">
        <v>1529</v>
      </c>
      <c r="C43" s="238">
        <f ca="1">ROUND(IF('数据-取费表'!B22&lt;=1,C39*F22*'数据-取费表'!B20/2,C39*(POWER((1+F22),'数据-取费表'!B20/2)-1)),0)</f>
        <v>54873</v>
      </c>
      <c r="D43" s="238"/>
      <c r="E43" s="238"/>
      <c r="F43" s="239"/>
      <c r="G43" s="3682"/>
    </row>
    <row r="44" spans="1:7" ht="13.5" customHeight="1">
      <c r="A44" s="780" t="s">
        <v>348</v>
      </c>
      <c r="B44" s="215" t="s">
        <v>1530</v>
      </c>
      <c r="C44" s="238">
        <f ca="1">ROUND(IF('数据-取费表'!B22&lt;=1,C40*F22*'数据-取费表'!B20/2,C40*(POWER((1+F22),'数据-取费表'!B20/2)-1)),4)</f>
        <v>6.9999999999999999E-4</v>
      </c>
      <c r="D44" s="238"/>
      <c r="E44" s="238"/>
      <c r="F44" s="239"/>
      <c r="G44" s="3683"/>
    </row>
    <row r="45" spans="1:7" s="214" customFormat="1" ht="13.5" customHeight="1">
      <c r="A45" s="255" t="s">
        <v>1531</v>
      </c>
      <c r="B45" s="244" t="s">
        <v>1497</v>
      </c>
      <c r="C45" s="245">
        <f ca="1">C46</f>
        <v>12167415</v>
      </c>
      <c r="D45" s="235">
        <f ca="1">C47</f>
        <v>3.0000000000000001E-3</v>
      </c>
      <c r="E45" s="236" t="s">
        <v>1523</v>
      </c>
      <c r="F45" s="246">
        <f ca="1">F27</f>
        <v>0.15</v>
      </c>
      <c r="G45" s="247" t="s">
        <v>1532</v>
      </c>
    </row>
    <row r="46" spans="1:7" s="214" customFormat="1" ht="13.5" customHeight="1">
      <c r="A46" s="780" t="s">
        <v>346</v>
      </c>
      <c r="B46" s="248" t="s">
        <v>1533</v>
      </c>
      <c r="C46" s="249">
        <f ca="1">ROUND((C33+C39)*F27,0)</f>
        <v>12167415</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104097529</v>
      </c>
      <c r="D49" s="232"/>
      <c r="E49" s="232"/>
      <c r="F49" s="264"/>
      <c r="G49" s="234" t="s">
        <v>1538</v>
      </c>
    </row>
    <row r="50" spans="1:7" s="258" customFormat="1">
      <c r="A50" s="255" t="s">
        <v>1539</v>
      </c>
      <c r="B50" s="210" t="s">
        <v>1540</v>
      </c>
      <c r="C50" s="232"/>
      <c r="D50" s="232"/>
      <c r="E50" s="232"/>
      <c r="F50" s="264">
        <f>IF('数据-取费表'!B24=0,'数据-取费表'!N16,1)</f>
        <v>0.79</v>
      </c>
      <c r="G50" s="247"/>
    </row>
    <row r="51" spans="1:7" ht="16.5" customHeight="1">
      <c r="A51" s="255" t="s">
        <v>1542</v>
      </c>
      <c r="B51" s="210" t="s">
        <v>1577</v>
      </c>
      <c r="C51" s="232">
        <f ca="1">ROUND(C49*F50,0)</f>
        <v>82237048</v>
      </c>
      <c r="D51" s="232"/>
      <c r="E51" s="232"/>
      <c r="F51" s="264"/>
      <c r="G51" s="234" t="s">
        <v>1544</v>
      </c>
    </row>
    <row r="52" spans="1:7" s="208" customFormat="1" ht="16.5" thickBot="1">
      <c r="A52" s="265" t="s">
        <v>1545</v>
      </c>
      <c r="B52" s="266"/>
      <c r="C52" s="267">
        <f ca="1">C31+C51</f>
        <v>89314066</v>
      </c>
      <c r="D52" s="266"/>
      <c r="E52" s="266"/>
      <c r="F52" s="266"/>
      <c r="G52" s="268"/>
    </row>
    <row r="55" spans="1:7" ht="15">
      <c r="B55" s="270" t="s">
        <v>1546</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7" t="str">
        <f>项目基本情况!B1</f>
        <v>北京市海淀区西三环北路89号4层A-01等56套房地产市场价值预评估</v>
      </c>
      <c r="C37" s="3497"/>
      <c r="D37" s="3497"/>
      <c r="E37" s="3497"/>
      <c r="F37" s="3497"/>
      <c r="G37" s="3497"/>
      <c r="H37" s="3497"/>
      <c r="I37" s="349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13128.449999999992</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13128.449999999992</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263</v>
      </c>
      <c r="D20" s="846">
        <f ca="1">IF(C1="",'数据-汇总表'!E6,IF(INDIRECT("'数据-取费表'!c"&amp;$K$1)="住宅",INDIRECT("'数据-取费表'!s"&amp;$K$1),INDIRECT("'数据-取费表'!k"&amp;$K$1)+INDIRECT("'数据-取费表'!s"&amp;$K$1)))</f>
        <v>13128.449999999992</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0</v>
      </c>
      <c r="D6" s="155" t="s">
        <v>2090</v>
      </c>
      <c r="E6" s="302" t="s">
        <v>696</v>
      </c>
      <c r="F6" s="303">
        <f ca="1">INDIRECT("'数据-取费表'!u"&amp;$G$1)</f>
        <v>0</v>
      </c>
      <c r="G6" s="1384"/>
      <c r="H6" s="1069" t="s">
        <v>398</v>
      </c>
      <c r="I6" s="3684" t="s">
        <v>694</v>
      </c>
      <c r="J6" s="301">
        <f ca="1">ROUND(M6*M8*M7*(1-M9),0)</f>
        <v>0</v>
      </c>
      <c r="K6" s="1376" t="s">
        <v>2091</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2"/>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2"/>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7" t="s">
        <v>3335</v>
      </c>
      <c r="B45" s="1400"/>
      <c r="C45" s="1472" t="e">
        <f ca="1">ROUND((C68-C40)/10000,4)</f>
        <v>#DIV/0!</v>
      </c>
      <c r="D45" s="3408"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2419</v>
      </c>
      <c r="B1" s="2808"/>
      <c r="C1" s="2820"/>
      <c r="D1" s="2820"/>
      <c r="E1" s="2809"/>
      <c r="F1" s="2810"/>
      <c r="G1" s="2811"/>
      <c r="J1" s="2814" t="s">
        <v>2298</v>
      </c>
      <c r="K1" s="2815"/>
      <c r="L1" s="2815"/>
      <c r="M1" s="2815"/>
      <c r="N1" s="2815"/>
      <c r="O1" s="2815"/>
      <c r="P1" s="2815"/>
      <c r="Q1" s="2815"/>
      <c r="R1" s="2816"/>
      <c r="S1" s="2817"/>
      <c r="T1" s="2817"/>
      <c r="U1" s="2817"/>
    </row>
    <row r="2" spans="1:22" s="2829" customFormat="1" ht="13.15" customHeight="1">
      <c r="A2" s="1385" t="s">
        <v>2299</v>
      </c>
      <c r="B2" s="2819" t="e">
        <f>IF(D2="——",C40,C40+E2)</f>
        <v>#DIV/0!</v>
      </c>
      <c r="C2" s="2820" t="s">
        <v>2300</v>
      </c>
      <c r="D2" s="3419" t="s">
        <v>3342</v>
      </c>
      <c r="E2" s="3420"/>
      <c r="F2" s="2822"/>
      <c r="G2" s="2823"/>
      <c r="H2" s="2824"/>
      <c r="I2" s="2825"/>
      <c r="J2" s="3695" t="s">
        <v>2301</v>
      </c>
      <c r="K2" s="3696"/>
      <c r="L2" s="2826" t="s">
        <v>2302</v>
      </c>
      <c r="M2" s="2826" t="s">
        <v>2303</v>
      </c>
      <c r="N2" s="2826" t="s">
        <v>2304</v>
      </c>
      <c r="O2" s="2826" t="s">
        <v>2305</v>
      </c>
      <c r="P2" s="2826" t="s">
        <v>2306</v>
      </c>
      <c r="Q2" s="2827" t="s">
        <v>2307</v>
      </c>
      <c r="R2" s="2828" t="s">
        <v>2308</v>
      </c>
      <c r="S2" s="2817"/>
      <c r="T2" s="2817"/>
      <c r="U2" s="2817"/>
      <c r="V2" s="2825"/>
    </row>
    <row r="3" spans="1:22" s="2829" customFormat="1" ht="13.15" customHeight="1">
      <c r="A3" s="2830" t="s">
        <v>2309</v>
      </c>
      <c r="B3" s="2831" t="e">
        <f>ROUND(B2*10000/B4,0)</f>
        <v>#DIV/0!</v>
      </c>
      <c r="C3" s="2820" t="s">
        <v>2310</v>
      </c>
      <c r="D3" s="2820"/>
      <c r="E3" s="2821"/>
      <c r="F3" s="2822"/>
      <c r="G3" s="2823"/>
      <c r="H3" s="2824"/>
      <c r="I3" s="2825"/>
      <c r="J3" s="3697" t="s">
        <v>2311</v>
      </c>
      <c r="K3" s="3698"/>
      <c r="L3" s="2832"/>
      <c r="M3" s="2832"/>
      <c r="N3" s="2832"/>
      <c r="O3" s="2832"/>
      <c r="P3" s="2832"/>
      <c r="Q3" s="2833"/>
      <c r="R3" s="2834">
        <f>SUM(L3:Q3)</f>
        <v>0</v>
      </c>
      <c r="S3" s="2817"/>
      <c r="T3" s="2817"/>
      <c r="U3" s="2817"/>
      <c r="V3" s="2825"/>
    </row>
    <row r="4" spans="1:22" s="2829" customFormat="1" ht="13.15" customHeight="1">
      <c r="A4" s="2835" t="s">
        <v>2312</v>
      </c>
      <c r="B4" s="2836"/>
      <c r="C4" s="2820"/>
      <c r="D4" s="2820"/>
      <c r="E4" s="2821"/>
      <c r="F4" s="2822"/>
      <c r="G4" s="2823"/>
      <c r="H4" s="2824"/>
      <c r="I4" s="2825"/>
      <c r="J4" s="3697" t="s">
        <v>2313</v>
      </c>
      <c r="K4" s="3698"/>
      <c r="L4" s="2837"/>
      <c r="M4" s="2837"/>
      <c r="N4" s="2837"/>
      <c r="O4" s="2837"/>
      <c r="P4" s="2837"/>
      <c r="Q4" s="2838"/>
      <c r="R4" s="2839">
        <f>SUM(L4:Q4)</f>
        <v>0</v>
      </c>
      <c r="S4" s="2817"/>
      <c r="T4" s="2817"/>
      <c r="U4" s="2817"/>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7"/>
      <c r="T5" s="2817" t="s">
        <v>2316</v>
      </c>
      <c r="U5" s="2817" t="e">
        <f>ROUND(R5*10000/365/R3,1)</f>
        <v>#DIV/0!</v>
      </c>
      <c r="V5" s="2825"/>
    </row>
    <row r="6" spans="1:22" s="2829" customFormat="1" ht="13.15" customHeight="1" thickBot="1">
      <c r="A6" s="3703" t="s">
        <v>2317</v>
      </c>
      <c r="B6" s="3704"/>
      <c r="C6" s="3705"/>
      <c r="D6" s="2846"/>
      <c r="E6" s="2847"/>
      <c r="F6" s="2848"/>
      <c r="G6" s="2849"/>
      <c r="H6" s="2824"/>
      <c r="I6" s="2825"/>
      <c r="J6" s="3689">
        <v>1</v>
      </c>
      <c r="K6" s="3690" t="s">
        <v>2318</v>
      </c>
      <c r="L6" s="2850" t="s">
        <v>2319</v>
      </c>
      <c r="M6" s="2851" t="s">
        <v>2320</v>
      </c>
      <c r="N6" s="2851" t="s">
        <v>2321</v>
      </c>
      <c r="O6" s="2851" t="s">
        <v>2322</v>
      </c>
      <c r="P6" s="2851" t="s">
        <v>2323</v>
      </c>
      <c r="Q6" s="2851" t="s">
        <v>2324</v>
      </c>
      <c r="R6" s="2834" t="s">
        <v>2325</v>
      </c>
      <c r="S6" s="2817"/>
      <c r="T6" s="2817" t="s">
        <v>2326</v>
      </c>
      <c r="U6" s="2817"/>
      <c r="V6" s="2825"/>
    </row>
    <row r="7" spans="1:22" s="2829" customFormat="1" ht="13.15" customHeight="1">
      <c r="A7" s="2852" t="s">
        <v>2327</v>
      </c>
      <c r="B7" s="2853"/>
      <c r="C7" s="2854"/>
      <c r="D7" s="2855">
        <f>SUM(D9,D10,D11,D17,0)</f>
        <v>0</v>
      </c>
      <c r="E7" s="2856" t="e">
        <f>E9+E10+E11+E17</f>
        <v>#DIV/0!</v>
      </c>
      <c r="F7" s="2857"/>
      <c r="G7" s="2858"/>
      <c r="H7" s="2824"/>
      <c r="I7" s="2825"/>
      <c r="J7" s="3689"/>
      <c r="K7" s="3691"/>
      <c r="L7" s="2859" t="s">
        <v>2328</v>
      </c>
      <c r="M7" s="2860"/>
      <c r="N7" s="2836"/>
      <c r="O7" s="2861"/>
      <c r="P7" s="2861"/>
      <c r="Q7" s="2862">
        <v>365</v>
      </c>
      <c r="R7" s="2863">
        <f>ROUND(M7*N7*O7*P7*Q7/10000,0)</f>
        <v>0</v>
      </c>
      <c r="S7" s="2817"/>
      <c r="T7" s="2817" t="s">
        <v>2329</v>
      </c>
      <c r="U7" s="2817"/>
      <c r="V7" s="2825"/>
    </row>
    <row r="8" spans="1:22" s="2829" customFormat="1" ht="13.15" customHeight="1">
      <c r="A8" s="2864" t="s">
        <v>2330</v>
      </c>
      <c r="B8" s="3706" t="s">
        <v>2331</v>
      </c>
      <c r="C8" s="3707"/>
      <c r="D8" s="2865" t="s">
        <v>2332</v>
      </c>
      <c r="E8" s="2866" t="s">
        <v>2333</v>
      </c>
      <c r="F8" s="2867" t="s">
        <v>2334</v>
      </c>
      <c r="G8" s="2868"/>
      <c r="H8" s="2824"/>
      <c r="I8" s="2825"/>
      <c r="J8" s="3689"/>
      <c r="K8" s="3691"/>
      <c r="L8" s="2859" t="s">
        <v>2335</v>
      </c>
      <c r="M8" s="2860"/>
      <c r="N8" s="2836"/>
      <c r="O8" s="2861"/>
      <c r="P8" s="2861"/>
      <c r="Q8" s="2862">
        <v>365</v>
      </c>
      <c r="R8" s="2863">
        <f t="shared" ref="R8:R13" si="0">ROUND(M8*N8*O8*P8*Q8/10000,0)</f>
        <v>0</v>
      </c>
      <c r="S8" s="2817"/>
      <c r="T8" s="2817" t="s">
        <v>2336</v>
      </c>
      <c r="U8" s="2817"/>
      <c r="V8" s="2825"/>
    </row>
    <row r="9" spans="1:22" s="2829" customFormat="1" ht="13.15" customHeight="1">
      <c r="A9" s="2864">
        <v>1</v>
      </c>
      <c r="B9" s="3706" t="s">
        <v>2337</v>
      </c>
      <c r="C9" s="3707"/>
      <c r="D9" s="2865">
        <f>ROUND(D6*E9,0)</f>
        <v>0</v>
      </c>
      <c r="E9" s="2869"/>
      <c r="F9" s="2870" t="s">
        <v>2338</v>
      </c>
      <c r="G9" s="2849"/>
      <c r="H9" s="2824"/>
      <c r="I9" s="2825"/>
      <c r="J9" s="3689"/>
      <c r="K9" s="3691"/>
      <c r="L9" s="2859" t="s">
        <v>2339</v>
      </c>
      <c r="M9" s="2860"/>
      <c r="N9" s="2836"/>
      <c r="O9" s="2861"/>
      <c r="P9" s="2861"/>
      <c r="Q9" s="2862">
        <v>365</v>
      </c>
      <c r="R9" s="2863">
        <f t="shared" si="0"/>
        <v>0</v>
      </c>
      <c r="S9" s="2817"/>
      <c r="T9" s="2817"/>
      <c r="U9" s="2817"/>
      <c r="V9" s="2825"/>
    </row>
    <row r="10" spans="1:22" s="2829" customFormat="1" ht="13.15" customHeight="1">
      <c r="A10" s="2864">
        <v>2</v>
      </c>
      <c r="B10" s="3706" t="s">
        <v>2340</v>
      </c>
      <c r="C10" s="3707"/>
      <c r="D10" s="2865">
        <f>ROUND(D6*E10,0)</f>
        <v>0</v>
      </c>
      <c r="E10" s="2869"/>
      <c r="F10" s="2870" t="s">
        <v>2341</v>
      </c>
      <c r="G10" s="2849"/>
      <c r="H10" s="2824"/>
      <c r="I10" s="2825"/>
      <c r="J10" s="3689"/>
      <c r="K10" s="3691"/>
      <c r="L10" s="2859" t="s">
        <v>2342</v>
      </c>
      <c r="M10" s="2860"/>
      <c r="N10" s="2836"/>
      <c r="O10" s="2861"/>
      <c r="P10" s="2861"/>
      <c r="Q10" s="2862">
        <v>365</v>
      </c>
      <c r="R10" s="2863">
        <f t="shared" si="0"/>
        <v>0</v>
      </c>
      <c r="S10" s="2817"/>
      <c r="T10" s="2817"/>
      <c r="U10" s="2817"/>
      <c r="V10" s="2825"/>
    </row>
    <row r="11" spans="1:22" s="2829" customFormat="1" ht="13.15" customHeight="1">
      <c r="A11" s="2864">
        <v>3</v>
      </c>
      <c r="B11" s="3706" t="s">
        <v>2343</v>
      </c>
      <c r="C11" s="3707"/>
      <c r="D11" s="2865">
        <f>D12+D14+D15+D16</f>
        <v>0</v>
      </c>
      <c r="E11" s="2871" t="e">
        <f>D11/D6</f>
        <v>#DIV/0!</v>
      </c>
      <c r="F11" s="2867"/>
      <c r="G11" s="2868"/>
      <c r="H11" s="2824"/>
      <c r="I11" s="2825"/>
      <c r="J11" s="3689"/>
      <c r="K11" s="3691"/>
      <c r="L11" s="2859" t="s">
        <v>2344</v>
      </c>
      <c r="M11" s="2860"/>
      <c r="N11" s="2836"/>
      <c r="O11" s="2861"/>
      <c r="P11" s="2861"/>
      <c r="Q11" s="2862">
        <v>365</v>
      </c>
      <c r="R11" s="2863">
        <f t="shared" si="0"/>
        <v>0</v>
      </c>
      <c r="S11" s="2817"/>
      <c r="T11" s="2817"/>
      <c r="U11" s="2817"/>
      <c r="V11" s="2825"/>
    </row>
    <row r="12" spans="1:22" s="2829" customFormat="1" ht="13.15" customHeight="1">
      <c r="A12" s="2872" t="s">
        <v>2345</v>
      </c>
      <c r="B12" s="3699" t="s">
        <v>2346</v>
      </c>
      <c r="C12" s="3700"/>
      <c r="D12" s="2873">
        <f>ROUND(D13*1.2%*(1-30%),0)</f>
        <v>0</v>
      </c>
      <c r="E12" s="2874">
        <v>1.2E-2</v>
      </c>
      <c r="F12" s="2867" t="s">
        <v>2347</v>
      </c>
      <c r="G12" s="2868"/>
      <c r="H12" s="2824"/>
      <c r="I12" s="2825"/>
      <c r="J12" s="3689"/>
      <c r="K12" s="3691"/>
      <c r="L12" s="2859" t="s">
        <v>2348</v>
      </c>
      <c r="M12" s="2860"/>
      <c r="N12" s="2836"/>
      <c r="O12" s="2861"/>
      <c r="P12" s="2861"/>
      <c r="Q12" s="2862">
        <v>365</v>
      </c>
      <c r="R12" s="2863">
        <f t="shared" si="0"/>
        <v>0</v>
      </c>
      <c r="S12" s="2817"/>
      <c r="T12" s="2817"/>
      <c r="U12" s="2817"/>
      <c r="V12" s="2825"/>
    </row>
    <row r="13" spans="1:22" s="2829" customFormat="1" ht="13.15" customHeight="1">
      <c r="A13" s="2872"/>
      <c r="B13" s="2875"/>
      <c r="C13" s="2876" t="s">
        <v>2349</v>
      </c>
      <c r="D13" s="2877"/>
      <c r="E13" s="2878"/>
      <c r="F13" s="2867"/>
      <c r="G13" s="2868"/>
      <c r="H13" s="2824"/>
      <c r="I13" s="2825"/>
      <c r="J13" s="3689"/>
      <c r="K13" s="3691"/>
      <c r="L13" s="2859" t="s">
        <v>2350</v>
      </c>
      <c r="M13" s="2860"/>
      <c r="N13" s="2836"/>
      <c r="O13" s="2861"/>
      <c r="P13" s="2861"/>
      <c r="Q13" s="2862">
        <v>365</v>
      </c>
      <c r="R13" s="2863">
        <f t="shared" si="0"/>
        <v>0</v>
      </c>
      <c r="S13" s="2817"/>
      <c r="T13" s="2817"/>
      <c r="U13" s="2817"/>
      <c r="V13" s="2825"/>
    </row>
    <row r="14" spans="1:22" s="2829" customFormat="1" ht="13.15" customHeight="1">
      <c r="A14" s="2872" t="s">
        <v>2351</v>
      </c>
      <c r="B14" s="3699" t="s">
        <v>2352</v>
      </c>
      <c r="C14" s="3700"/>
      <c r="D14" s="2873">
        <f>ROUND(E14*B5/10000,0)</f>
        <v>0</v>
      </c>
      <c r="E14" s="2862"/>
      <c r="F14" s="2867" t="s">
        <v>2353</v>
      </c>
      <c r="G14" s="2868"/>
      <c r="H14" s="2824"/>
      <c r="I14" s="2825"/>
      <c r="J14" s="3689"/>
      <c r="K14" s="3692"/>
      <c r="L14" s="2879" t="s">
        <v>2354</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2355</v>
      </c>
      <c r="B15" s="3699" t="s">
        <v>2356</v>
      </c>
      <c r="C15" s="3700"/>
      <c r="D15" s="2873">
        <f>ROUND(D6*E15,0)</f>
        <v>0</v>
      </c>
      <c r="E15" s="2874">
        <v>5.5E-2</v>
      </c>
      <c r="F15" s="2867" t="s">
        <v>2357</v>
      </c>
      <c r="G15" s="2849"/>
      <c r="H15" s="2824"/>
      <c r="I15" s="2825"/>
      <c r="J15" s="3689">
        <v>2</v>
      </c>
      <c r="K15" s="3690" t="s">
        <v>2358</v>
      </c>
      <c r="L15" s="2859" t="s">
        <v>2359</v>
      </c>
      <c r="M15" s="2860" t="s">
        <v>2360</v>
      </c>
      <c r="N15" s="2860" t="s">
        <v>2361</v>
      </c>
      <c r="O15" s="2861" t="s">
        <v>2362</v>
      </c>
      <c r="P15" s="2861" t="s">
        <v>2324</v>
      </c>
      <c r="Q15" s="2836" t="s">
        <v>2363</v>
      </c>
      <c r="R15" s="2883" t="s">
        <v>2325</v>
      </c>
      <c r="S15" s="2817"/>
      <c r="T15" s="2817"/>
      <c r="U15" s="2817"/>
      <c r="V15" s="2825"/>
    </row>
    <row r="16" spans="1:22" s="2829" customFormat="1" ht="13.15" customHeight="1">
      <c r="A16" s="2872" t="s">
        <v>2364</v>
      </c>
      <c r="B16" s="3699" t="s">
        <v>2365</v>
      </c>
      <c r="C16" s="3700"/>
      <c r="D16" s="2884">
        <f>D6*E16</f>
        <v>0</v>
      </c>
      <c r="E16" s="2885"/>
      <c r="F16" s="2870" t="s">
        <v>2366</v>
      </c>
      <c r="G16" s="2849"/>
      <c r="H16" s="2824"/>
      <c r="I16" s="2825"/>
      <c r="J16" s="3689"/>
      <c r="K16" s="3691"/>
      <c r="L16" s="2859" t="s">
        <v>2367</v>
      </c>
      <c r="M16" s="2860"/>
      <c r="N16" s="2860"/>
      <c r="O16" s="2861"/>
      <c r="P16" s="2862">
        <v>365</v>
      </c>
      <c r="Q16" s="2836"/>
      <c r="R16" s="2883">
        <f>ROUND(M16*N16*O16*P16/10000,0)</f>
        <v>0</v>
      </c>
      <c r="S16" s="2817"/>
      <c r="T16" s="2817"/>
      <c r="U16" s="2817"/>
      <c r="V16" s="2825"/>
    </row>
    <row r="17" spans="1:22" s="2829" customFormat="1" ht="13.15" customHeight="1" thickBot="1">
      <c r="A17" s="2886">
        <v>4</v>
      </c>
      <c r="B17" s="3701" t="s">
        <v>2368</v>
      </c>
      <c r="C17" s="3702"/>
      <c r="D17" s="2887">
        <f>ROUND(D6*E17,0)</f>
        <v>0</v>
      </c>
      <c r="E17" s="2888"/>
      <c r="F17" s="2889" t="s">
        <v>2369</v>
      </c>
      <c r="G17" s="2849"/>
      <c r="H17" s="2824"/>
      <c r="I17" s="2825"/>
      <c r="J17" s="3689"/>
      <c r="K17" s="3691"/>
      <c r="L17" s="2859" t="s">
        <v>2370</v>
      </c>
      <c r="M17" s="2860"/>
      <c r="N17" s="2860"/>
      <c r="O17" s="2861"/>
      <c r="P17" s="2862">
        <v>365</v>
      </c>
      <c r="Q17" s="2836"/>
      <c r="R17" s="2883">
        <f>ROUND(M17*N17*O17*P17/10000,0)</f>
        <v>0</v>
      </c>
      <c r="S17" s="2817"/>
      <c r="T17" s="2817"/>
      <c r="U17" s="2817"/>
      <c r="V17" s="2825"/>
    </row>
    <row r="18" spans="1:22" s="2829" customFormat="1" ht="13.15" customHeight="1" thickBot="1">
      <c r="A18" s="2852" t="s">
        <v>2371</v>
      </c>
      <c r="B18" s="2853"/>
      <c r="C18" s="2853"/>
      <c r="D18" s="2890">
        <f>ROUND(D6*E18,0)</f>
        <v>0</v>
      </c>
      <c r="E18" s="2891"/>
      <c r="F18" s="2892" t="s">
        <v>2372</v>
      </c>
      <c r="G18" s="2849"/>
      <c r="H18" s="2824"/>
      <c r="I18" s="2825"/>
      <c r="J18" s="3689"/>
      <c r="K18" s="3691"/>
      <c r="L18" s="2859" t="s">
        <v>2373</v>
      </c>
      <c r="M18" s="2860"/>
      <c r="N18" s="2860"/>
      <c r="O18" s="2861"/>
      <c r="P18" s="2862">
        <v>365</v>
      </c>
      <c r="Q18" s="2836"/>
      <c r="R18" s="2883">
        <f>ROUND(M18*N18*O18*P18/10000,0)</f>
        <v>0</v>
      </c>
      <c r="S18" s="2817"/>
      <c r="T18" s="2817"/>
      <c r="U18" s="2817"/>
      <c r="V18" s="2825"/>
    </row>
    <row r="19" spans="1:22" s="2829" customFormat="1" ht="13.15" customHeight="1" thickBot="1">
      <c r="A19" s="2893" t="s">
        <v>2374</v>
      </c>
      <c r="B19" s="2847"/>
      <c r="C19" s="2847"/>
      <c r="D19" s="2847"/>
      <c r="E19" s="2847"/>
      <c r="F19" s="2848"/>
      <c r="G19" s="2868"/>
      <c r="H19" s="2824"/>
      <c r="I19" s="2825"/>
      <c r="J19" s="3689"/>
      <c r="K19" s="3692"/>
      <c r="L19" s="2879" t="s">
        <v>2354</v>
      </c>
      <c r="M19" s="2880"/>
      <c r="N19" s="2880">
        <f>SUM(N16:N18)</f>
        <v>0</v>
      </c>
      <c r="O19" s="2881"/>
      <c r="P19" s="2894" t="s">
        <v>2418</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689">
        <v>3</v>
      </c>
      <c r="K20" s="3690" t="s">
        <v>2375</v>
      </c>
      <c r="L20" s="2859" t="s">
        <v>2376</v>
      </c>
      <c r="M20" s="2860" t="s">
        <v>2377</v>
      </c>
      <c r="N20" s="2897" t="s">
        <v>2378</v>
      </c>
      <c r="O20" s="2861" t="s">
        <v>2379</v>
      </c>
      <c r="P20" s="2862" t="s">
        <v>2380</v>
      </c>
      <c r="Q20" s="2836" t="s">
        <v>2381</v>
      </c>
      <c r="R20" s="2883" t="s">
        <v>2382</v>
      </c>
      <c r="S20" s="2898"/>
      <c r="T20" s="2898"/>
      <c r="U20" s="2898"/>
      <c r="V20" s="2825"/>
    </row>
    <row r="21" spans="1:22" s="2829" customFormat="1" ht="13.15" customHeight="1">
      <c r="A21" s="2852"/>
      <c r="B21" s="2853"/>
      <c r="C21" s="2899" t="s">
        <v>2383</v>
      </c>
      <c r="D21" s="2900" t="s">
        <v>2384</v>
      </c>
      <c r="E21" s="2901" t="s">
        <v>2385</v>
      </c>
      <c r="F21" s="2896"/>
      <c r="G21" s="2868"/>
      <c r="H21" s="2824"/>
      <c r="I21" s="2825"/>
      <c r="J21" s="3689"/>
      <c r="K21" s="3691"/>
      <c r="L21" s="2859" t="s">
        <v>2386</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2387</v>
      </c>
      <c r="D22" s="2904" t="s">
        <v>2388</v>
      </c>
      <c r="E22" s="2905" t="s">
        <v>2389</v>
      </c>
      <c r="F22" s="2896"/>
      <c r="G22" s="2906"/>
      <c r="H22" s="2824"/>
      <c r="I22" s="2825"/>
      <c r="J22" s="3689"/>
      <c r="K22" s="3691"/>
      <c r="L22" s="2859" t="s">
        <v>2390</v>
      </c>
      <c r="M22" s="2860"/>
      <c r="N22" s="2860"/>
      <c r="O22" s="2861"/>
      <c r="P22" s="2862">
        <v>365</v>
      </c>
      <c r="Q22" s="2836"/>
      <c r="R22" s="2902">
        <f>ROUND(M22*N22*O22*P22/10000,0)</f>
        <v>0</v>
      </c>
      <c r="S22" s="2898"/>
      <c r="T22" s="2898"/>
      <c r="U22" s="2898"/>
      <c r="V22" s="2825"/>
    </row>
    <row r="23" spans="1:22" s="2829" customFormat="1" ht="13.15" customHeight="1">
      <c r="A23" s="2907">
        <v>1</v>
      </c>
      <c r="B23" s="2908" t="s">
        <v>2391</v>
      </c>
      <c r="C23" s="2909">
        <f>D6</f>
        <v>0</v>
      </c>
      <c r="D23" s="2910">
        <f>C23*(1+D24)</f>
        <v>0</v>
      </c>
      <c r="E23" s="2911">
        <f>D23*(1+E24)</f>
        <v>0</v>
      </c>
      <c r="F23" s="2912"/>
      <c r="G23" s="2913"/>
      <c r="H23" s="2824"/>
      <c r="I23" s="2825"/>
      <c r="J23" s="3689"/>
      <c r="K23" s="3691"/>
      <c r="L23" s="2859" t="s">
        <v>2392</v>
      </c>
      <c r="M23" s="2860"/>
      <c r="N23" s="2860"/>
      <c r="O23" s="2861"/>
      <c r="P23" s="2862">
        <v>365</v>
      </c>
      <c r="Q23" s="2836"/>
      <c r="R23" s="2902">
        <f>ROUND(M23*N23*O23*P23/10000,0)</f>
        <v>0</v>
      </c>
      <c r="S23" s="2817"/>
      <c r="T23" s="2817"/>
      <c r="U23" s="2817"/>
      <c r="V23" s="2825"/>
    </row>
    <row r="24" spans="1:22" s="2829" customFormat="1" ht="13.15" customHeight="1">
      <c r="A24" s="2914"/>
      <c r="B24" s="2915" t="s">
        <v>2393</v>
      </c>
      <c r="C24" s="2916"/>
      <c r="D24" s="2917"/>
      <c r="E24" s="2918"/>
      <c r="F24" s="2919"/>
      <c r="G24" s="2913"/>
      <c r="H24" s="2824"/>
      <c r="I24" s="2825"/>
      <c r="J24" s="3689"/>
      <c r="K24" s="3692"/>
      <c r="L24" s="2879" t="s">
        <v>2354</v>
      </c>
      <c r="M24" s="2880">
        <f>SUM(M21:M23)</f>
        <v>0</v>
      </c>
      <c r="N24" s="2880"/>
      <c r="O24" s="2881"/>
      <c r="P24" s="2894" t="s">
        <v>2418</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2394</v>
      </c>
      <c r="L25" s="2922"/>
      <c r="M25" s="2922"/>
      <c r="N25" s="2922"/>
      <c r="O25" s="2922"/>
      <c r="P25" s="2923"/>
      <c r="Q25" s="2924">
        <v>0</v>
      </c>
      <c r="R25" s="2895">
        <f>ROUND(R14*Q25,0)</f>
        <v>0</v>
      </c>
      <c r="S25" s="2817"/>
      <c r="T25" s="2817"/>
      <c r="U25" s="2817"/>
      <c r="V25" s="2925"/>
    </row>
    <row r="26" spans="1:22" s="2926" customFormat="1" ht="13.15" customHeight="1">
      <c r="A26" s="2907">
        <v>2</v>
      </c>
      <c r="B26" s="2908" t="s">
        <v>2395</v>
      </c>
      <c r="C26" s="2909">
        <f>D7</f>
        <v>0</v>
      </c>
      <c r="D26" s="2910">
        <f>D23*D27</f>
        <v>0</v>
      </c>
      <c r="E26" s="2911">
        <f>E23*E27</f>
        <v>0</v>
      </c>
      <c r="F26" s="2912"/>
      <c r="G26" s="2913"/>
      <c r="H26" s="2824"/>
      <c r="I26" s="2825"/>
      <c r="J26" s="3693">
        <v>5</v>
      </c>
      <c r="K26" s="2927" t="s">
        <v>2396</v>
      </c>
      <c r="L26" s="2928"/>
      <c r="M26" s="2929"/>
      <c r="N26" s="2930" t="s">
        <v>2397</v>
      </c>
      <c r="O26" s="2930" t="s">
        <v>2398</v>
      </c>
      <c r="P26" s="2931" t="s">
        <v>2399</v>
      </c>
      <c r="Q26" s="2931" t="s">
        <v>2400</v>
      </c>
      <c r="R26" s="2834" t="s">
        <v>2325</v>
      </c>
      <c r="S26" s="2932"/>
      <c r="T26" s="2932"/>
      <c r="U26" s="2932"/>
      <c r="V26" s="2925"/>
    </row>
    <row r="27" spans="1:22" s="2829" customFormat="1" ht="13.15" customHeight="1">
      <c r="A27" s="2914"/>
      <c r="B27" s="2915" t="s">
        <v>2401</v>
      </c>
      <c r="C27" s="2933" t="e">
        <f>E7</f>
        <v>#DIV/0!</v>
      </c>
      <c r="D27" s="2917"/>
      <c r="E27" s="2918"/>
      <c r="F27" s="2919"/>
      <c r="G27" s="2913"/>
      <c r="H27" s="2934"/>
      <c r="I27" s="2925"/>
      <c r="J27" s="3694"/>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2402</v>
      </c>
      <c r="F28" s="2919"/>
      <c r="G28" s="2906"/>
      <c r="H28" s="2934"/>
      <c r="I28" s="2925"/>
      <c r="J28" s="2940">
        <v>6</v>
      </c>
      <c r="K28" s="2941" t="s">
        <v>2403</v>
      </c>
      <c r="L28" s="2942" t="s">
        <v>2404</v>
      </c>
      <c r="M28" s="2943"/>
      <c r="N28" s="2942" t="s">
        <v>2405</v>
      </c>
      <c r="O28" s="2944"/>
      <c r="P28" s="2942" t="s">
        <v>2406</v>
      </c>
      <c r="Q28" s="2945">
        <v>1.4999999999999999E-2</v>
      </c>
      <c r="R28" s="2946"/>
      <c r="S28" s="2898"/>
      <c r="T28" s="2898"/>
      <c r="U28" s="2898"/>
      <c r="V28" s="2925"/>
    </row>
    <row r="29" spans="1:22" s="2926" customFormat="1" ht="13.15" customHeight="1">
      <c r="A29" s="2907">
        <v>3</v>
      </c>
      <c r="B29" s="2908" t="s">
        <v>2407</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2401</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2408</v>
      </c>
      <c r="K31" s="2815"/>
      <c r="L31" s="2815"/>
      <c r="M31" s="2815"/>
      <c r="N31" s="2815"/>
      <c r="O31" s="2815"/>
      <c r="P31" s="2815"/>
      <c r="Q31" s="2815"/>
      <c r="R31" s="2816"/>
      <c r="S31" s="2898"/>
      <c r="T31" s="2817"/>
      <c r="U31" s="2817"/>
      <c r="V31" s="2925"/>
    </row>
    <row r="32" spans="1:22" s="2926" customFormat="1" ht="13.15" customHeight="1">
      <c r="A32" s="2907">
        <v>4</v>
      </c>
      <c r="B32" s="2908" t="s">
        <v>2409</v>
      </c>
      <c r="C32" s="2909">
        <f>C23-C26-C29</f>
        <v>0</v>
      </c>
      <c r="D32" s="2910">
        <f>D23-D26-D29</f>
        <v>0</v>
      </c>
      <c r="E32" s="2911">
        <f>E23-E26-E29</f>
        <v>0</v>
      </c>
      <c r="F32" s="2912"/>
      <c r="G32" s="2906"/>
      <c r="H32" s="2824"/>
      <c r="I32" s="2825"/>
      <c r="J32" s="3695" t="s">
        <v>2301</v>
      </c>
      <c r="K32" s="3696"/>
      <c r="L32" s="2826" t="s">
        <v>2302</v>
      </c>
      <c r="M32" s="2826" t="s">
        <v>2303</v>
      </c>
      <c r="N32" s="2826" t="s">
        <v>2304</v>
      </c>
      <c r="O32" s="2826" t="s">
        <v>2305</v>
      </c>
      <c r="P32" s="2826" t="s">
        <v>2306</v>
      </c>
      <c r="Q32" s="2827" t="s">
        <v>2307</v>
      </c>
      <c r="R32" s="2949" t="s">
        <v>2308</v>
      </c>
      <c r="S32" s="2898"/>
      <c r="T32" s="2817"/>
      <c r="U32" s="2817"/>
      <c r="V32" s="2925"/>
    </row>
    <row r="33" spans="1:23" s="2829" customFormat="1" ht="13.15" customHeight="1">
      <c r="A33" s="2907"/>
      <c r="B33" s="2908"/>
      <c r="C33" s="2909"/>
      <c r="D33" s="2950"/>
      <c r="E33" s="2951"/>
      <c r="F33" s="2912"/>
      <c r="G33" s="2906"/>
      <c r="H33" s="2934"/>
      <c r="I33" s="2925"/>
      <c r="J33" s="3697" t="s">
        <v>2311</v>
      </c>
      <c r="K33" s="3698"/>
      <c r="L33" s="2832"/>
      <c r="M33" s="2832"/>
      <c r="N33" s="2832"/>
      <c r="O33" s="2832"/>
      <c r="P33" s="2832"/>
      <c r="Q33" s="2833"/>
      <c r="R33" s="2952">
        <f>SUM(L33:Q33)</f>
        <v>0</v>
      </c>
      <c r="S33" s="2898"/>
      <c r="T33" s="2817"/>
      <c r="U33" s="2817"/>
      <c r="V33" s="2825"/>
    </row>
    <row r="34" spans="1:23" s="2829" customFormat="1" ht="13.15" customHeight="1">
      <c r="A34" s="2907">
        <v>5</v>
      </c>
      <c r="B34" s="2908" t="s">
        <v>2410</v>
      </c>
      <c r="C34" s="2953"/>
      <c r="D34" s="2954"/>
      <c r="E34" s="2955"/>
      <c r="F34" s="2912"/>
      <c r="G34" s="2906"/>
      <c r="H34" s="2934"/>
      <c r="I34" s="2925"/>
      <c r="J34" s="3697" t="s">
        <v>2313</v>
      </c>
      <c r="K34" s="3698"/>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2411</v>
      </c>
      <c r="C35" s="2957"/>
      <c r="D35" s="2958"/>
      <c r="E35" s="2959"/>
      <c r="F35" s="2912"/>
      <c r="G35" s="2960"/>
      <c r="H35" s="2824"/>
      <c r="I35" s="2925"/>
      <c r="J35" s="2843" t="s">
        <v>2315</v>
      </c>
      <c r="K35" s="2844"/>
      <c r="L35" s="2844"/>
      <c r="M35" s="2845"/>
      <c r="N35" s="2845"/>
      <c r="O35" s="2845"/>
      <c r="P35" s="2845"/>
      <c r="Q35" s="2845"/>
      <c r="R35" s="2961">
        <f>R40+R41+R43</f>
        <v>0</v>
      </c>
      <c r="S35" s="2898"/>
      <c r="T35" s="2817" t="s">
        <v>2316</v>
      </c>
      <c r="U35" s="2817"/>
      <c r="V35" s="2825"/>
    </row>
    <row r="36" spans="1:23" s="2829" customFormat="1" ht="13.15" customHeight="1" thickBot="1">
      <c r="A36" s="2907">
        <v>7</v>
      </c>
      <c r="B36" s="2962" t="s">
        <v>2412</v>
      </c>
      <c r="C36" s="2963"/>
      <c r="D36" s="2964"/>
      <c r="E36" s="2965"/>
      <c r="F36" s="2966">
        <f>C36+D36+E36</f>
        <v>0</v>
      </c>
      <c r="G36" s="2906"/>
      <c r="H36" s="2824"/>
      <c r="I36" s="2825"/>
      <c r="J36" s="3689">
        <v>1</v>
      </c>
      <c r="K36" s="3690" t="s">
        <v>2413</v>
      </c>
      <c r="L36" s="2850"/>
      <c r="M36" s="2851"/>
      <c r="N36" s="2851"/>
      <c r="O36" s="2851"/>
      <c r="P36" s="2851"/>
      <c r="Q36" s="2851"/>
      <c r="R36" s="2834" t="s">
        <v>2325</v>
      </c>
      <c r="S36" s="2898"/>
      <c r="T36" s="2817" t="s">
        <v>2326</v>
      </c>
      <c r="U36" s="2817"/>
      <c r="V36" s="2825"/>
    </row>
    <row r="37" spans="1:23" s="2829" customFormat="1" ht="13.15" customHeight="1">
      <c r="A37" s="2907"/>
      <c r="B37" s="2908"/>
      <c r="C37" s="2908"/>
      <c r="D37" s="2908"/>
      <c r="E37" s="2908"/>
      <c r="F37" s="2912"/>
      <c r="G37" s="2906"/>
      <c r="H37" s="2824"/>
      <c r="I37" s="2825"/>
      <c r="J37" s="3689"/>
      <c r="K37" s="3691"/>
      <c r="L37" s="2859"/>
      <c r="M37" s="2860"/>
      <c r="N37" s="2836"/>
      <c r="O37" s="2861"/>
      <c r="P37" s="2861"/>
      <c r="Q37" s="2862"/>
      <c r="R37" s="2863"/>
      <c r="S37" s="2898"/>
      <c r="T37" s="2817" t="s">
        <v>2329</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689"/>
      <c r="K38" s="3691"/>
      <c r="L38" s="2859"/>
      <c r="M38" s="2860"/>
      <c r="N38" s="2836"/>
      <c r="O38" s="2861"/>
      <c r="P38" s="2861"/>
      <c r="Q38" s="2862"/>
      <c r="R38" s="2863"/>
      <c r="S38" s="2898"/>
      <c r="T38" s="2817" t="s">
        <v>2336</v>
      </c>
      <c r="U38" s="2817"/>
      <c r="V38" s="2825"/>
    </row>
    <row r="39" spans="1:23" s="2829" customFormat="1" ht="13.15" customHeight="1">
      <c r="A39" s="2907">
        <v>9</v>
      </c>
      <c r="B39" s="2908" t="s">
        <v>2414</v>
      </c>
      <c r="C39" s="2873" t="e">
        <f>C38</f>
        <v>#DIV/0!</v>
      </c>
      <c r="D39" s="2908">
        <f>D38/(1+D34)^C36</f>
        <v>0</v>
      </c>
      <c r="E39" s="2908">
        <f>E38/(1+E34)^(C36+D36)</f>
        <v>0</v>
      </c>
      <c r="F39" s="2912"/>
      <c r="G39" s="2967"/>
      <c r="H39" s="2824"/>
      <c r="I39" s="2825"/>
      <c r="J39" s="3689"/>
      <c r="K39" s="3691"/>
      <c r="L39" s="2859"/>
      <c r="M39" s="2860"/>
      <c r="N39" s="2836"/>
      <c r="O39" s="2861"/>
      <c r="P39" s="2861"/>
      <c r="Q39" s="2862"/>
      <c r="R39" s="2863"/>
      <c r="S39" s="2898"/>
      <c r="T39" s="2817"/>
      <c r="U39" s="2817"/>
      <c r="V39" s="2825"/>
    </row>
    <row r="40" spans="1:23" s="2829" customFormat="1" ht="13.15" customHeight="1">
      <c r="A40" s="2968">
        <v>10</v>
      </c>
      <c r="B40" s="2908" t="s">
        <v>2415</v>
      </c>
      <c r="C40" s="2969" t="e">
        <f>C39+D39+E39</f>
        <v>#DIV/0!</v>
      </c>
      <c r="D40" s="2970"/>
      <c r="E40" s="2970"/>
      <c r="F40" s="2971"/>
      <c r="G40" s="2906"/>
      <c r="H40" s="2824"/>
      <c r="I40" s="2825"/>
      <c r="J40" s="3689"/>
      <c r="K40" s="3692"/>
      <c r="L40" s="2879" t="s">
        <v>2354</v>
      </c>
      <c r="M40" s="2880"/>
      <c r="N40" s="2880"/>
      <c r="O40" s="2881"/>
      <c r="P40" s="2881"/>
      <c r="Q40" s="2882"/>
      <c r="R40" s="2828">
        <f>SUM(R37:R39)</f>
        <v>0</v>
      </c>
      <c r="S40" s="2898"/>
      <c r="T40" s="2817"/>
      <c r="U40" s="2817"/>
      <c r="V40" s="2825"/>
    </row>
    <row r="41" spans="1:23" s="2829" customFormat="1" ht="13.15" customHeight="1" thickBot="1">
      <c r="A41" s="2972">
        <v>11</v>
      </c>
      <c r="B41" s="2973" t="s">
        <v>2416</v>
      </c>
      <c r="C41" s="2973" t="e">
        <f>ROUND(C40*10000/B4,0)</f>
        <v>#DIV/0!</v>
      </c>
      <c r="D41" s="2974"/>
      <c r="E41" s="2974"/>
      <c r="F41" s="2975"/>
      <c r="G41" s="2976"/>
      <c r="H41" s="2824"/>
      <c r="I41" s="2825"/>
      <c r="J41" s="2920">
        <v>2</v>
      </c>
      <c r="K41" s="2921" t="s">
        <v>2394</v>
      </c>
      <c r="L41" s="2922"/>
      <c r="M41" s="2922"/>
      <c r="N41" s="2922"/>
      <c r="O41" s="2922"/>
      <c r="P41" s="2923"/>
      <c r="Q41" s="2924"/>
      <c r="R41" s="2895">
        <f>ROUND(R40*Q41,0)</f>
        <v>0</v>
      </c>
      <c r="S41" s="2898"/>
      <c r="T41" s="2817"/>
      <c r="U41" s="2932"/>
      <c r="V41" s="2825"/>
    </row>
    <row r="42" spans="1:23" s="2829" customFormat="1" ht="13.15" customHeight="1">
      <c r="G42" s="2976"/>
      <c r="H42" s="2824"/>
      <c r="I42" s="2825"/>
      <c r="J42" s="3693">
        <v>3</v>
      </c>
      <c r="K42" s="2927" t="s">
        <v>2396</v>
      </c>
      <c r="L42" s="2928"/>
      <c r="M42" s="2929"/>
      <c r="N42" s="2930" t="s">
        <v>2397</v>
      </c>
      <c r="O42" s="2930" t="s">
        <v>2398</v>
      </c>
      <c r="P42" s="2931" t="s">
        <v>2399</v>
      </c>
      <c r="Q42" s="2931" t="s">
        <v>2400</v>
      </c>
      <c r="R42" s="2834" t="s">
        <v>2325</v>
      </c>
      <c r="S42" s="2932"/>
      <c r="T42" s="2932"/>
      <c r="U42" s="2817"/>
      <c r="V42" s="2825"/>
    </row>
    <row r="43" spans="1:23" ht="13.15" customHeight="1">
      <c r="A43" s="2829"/>
      <c r="B43" s="2829"/>
      <c r="C43" s="2829"/>
      <c r="D43" s="2829"/>
      <c r="E43" s="2829"/>
      <c r="F43" s="2829"/>
      <c r="I43" s="2812"/>
      <c r="J43" s="3694"/>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2403</v>
      </c>
      <c r="L44" s="2980" t="s">
        <v>2404</v>
      </c>
      <c r="M44" s="2943"/>
      <c r="N44" s="2980" t="s">
        <v>2405</v>
      </c>
      <c r="O44" s="2943"/>
      <c r="P44" s="2980" t="s">
        <v>2406</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69"/>
      <c r="G1" s="2769"/>
      <c r="H1" s="2769"/>
      <c r="I1" s="2769"/>
      <c r="J1" s="2769"/>
      <c r="K1" s="2769"/>
      <c r="L1" s="2769"/>
      <c r="M1" s="2769"/>
      <c r="N1" s="2769"/>
      <c r="O1" s="2769"/>
      <c r="P1" s="2769"/>
    </row>
    <row r="2" spans="1:16" ht="15.75">
      <c r="A2" s="2145" t="s">
        <v>2057</v>
      </c>
      <c r="B2" s="2579">
        <f ca="1">SUMIF(B6:B13,"&lt;&gt;#ref!",B6:B13)</f>
        <v>20395</v>
      </c>
      <c r="C2" s="2145" t="s">
        <v>2058</v>
      </c>
      <c r="D2" s="2145" t="s">
        <v>2059</v>
      </c>
      <c r="E2" s="2589">
        <f ca="1">SUMIF(E6:E13,"&lt;&gt;#ref!",E6:E13)</f>
        <v>0</v>
      </c>
      <c r="F2" s="2769"/>
      <c r="G2" s="2769"/>
      <c r="H2" s="2769"/>
      <c r="I2" s="2769"/>
      <c r="J2" s="2769"/>
      <c r="K2" s="2769"/>
      <c r="L2" s="2769"/>
      <c r="M2" s="2769"/>
      <c r="N2" s="2769"/>
      <c r="O2" s="2769"/>
      <c r="P2" s="2769"/>
    </row>
    <row r="3" spans="1:16" ht="15.75">
      <c r="A3" s="2145" t="s">
        <v>2060</v>
      </c>
      <c r="B3" s="2579" t="e">
        <f ca="1">ROUND(B2*10000/E2,0)</f>
        <v>#DIV/0!</v>
      </c>
      <c r="C3" s="2145"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2061</v>
      </c>
      <c r="B5" s="2587" t="s">
        <v>2062</v>
      </c>
      <c r="C5" s="2146"/>
      <c r="D5" s="2769"/>
      <c r="E5" s="2588" t="s">
        <v>2063</v>
      </c>
      <c r="F5" s="2769"/>
      <c r="G5" s="2769"/>
      <c r="H5" s="2769"/>
      <c r="I5" s="2769"/>
      <c r="J5" s="2769"/>
      <c r="K5" s="2769"/>
      <c r="L5" s="2769"/>
      <c r="M5" s="2769"/>
      <c r="N5" s="2769"/>
      <c r="O5" s="2769"/>
      <c r="P5" s="2769"/>
    </row>
    <row r="6" spans="1:16" ht="15.75">
      <c r="A6" s="2586" t="s">
        <v>2064</v>
      </c>
      <c r="B6" s="2579">
        <f ca="1">SUMIF(INDIRECT("'"&amp;A6&amp;"'"&amp;"!A:A"),"总价",INDIRECT("'"&amp;A6&amp;"'"&amp;"!B:B"))</f>
        <v>20395</v>
      </c>
      <c r="C6" s="2145" t="s">
        <v>2058</v>
      </c>
      <c r="D6" s="2769"/>
      <c r="E6" s="2589">
        <f ca="1">SUMIF(INDIRECT("'"&amp;A6&amp;"'"&amp;"!C:C"),"建筑面积",INDIRECT("'"&amp;A6&amp;"'"&amp;"!D:D"))</f>
        <v>0</v>
      </c>
      <c r="F6" s="2769"/>
      <c r="G6" s="2769"/>
      <c r="H6" s="2769"/>
      <c r="I6" s="2769"/>
      <c r="J6" s="2769"/>
      <c r="K6" s="2769"/>
      <c r="L6" s="2769"/>
      <c r="M6" s="2769"/>
      <c r="N6" s="2769"/>
      <c r="O6" s="2769"/>
      <c r="P6" s="2769"/>
    </row>
    <row r="7" spans="1:16" ht="15.75">
      <c r="A7" s="2586"/>
      <c r="B7" s="2579" t="e">
        <f ca="1">SUMIF(INDIRECT("'"&amp;A7&amp;"'"&amp;"!A:A"),"总价",INDIRECT("'"&amp;A7&amp;"'"&amp;"!B:B"))</f>
        <v>#REF!</v>
      </c>
      <c r="C7" s="2145" t="s">
        <v>2058</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2058</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2058</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2058</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2058</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2058</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2058</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39" zoomScale="80" zoomScaleNormal="70" zoomScaleSheetLayoutView="8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33" customFormat="1" ht="28.5" customHeight="1" thickBot="1">
      <c r="A1" s="1222" t="s">
        <v>1644</v>
      </c>
      <c r="B1" s="1957" t="s">
        <v>1794</v>
      </c>
      <c r="C1" s="1224" t="s">
        <v>1646</v>
      </c>
      <c r="D1" s="1225"/>
      <c r="E1" s="3409" t="s">
        <v>3409</v>
      </c>
      <c r="F1" s="1879" t="s">
        <v>3410</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71609</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54545</v>
      </c>
      <c r="C3" s="354" t="s">
        <v>1752</v>
      </c>
      <c r="D3" s="353">
        <f>IF(D1="",'数据-汇总表'!E3,SUMIF('数据-汇总表'!$C19:$C33,D1,'数据-汇总表'!$E19:$E33))</f>
        <v>13128.449999999992</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726" t="s">
        <v>1754</v>
      </c>
      <c r="D4" s="3727"/>
      <c r="E4" s="3728" t="s">
        <v>1755</v>
      </c>
      <c r="F4" s="3729"/>
      <c r="G4" s="3726" t="s">
        <v>1756</v>
      </c>
      <c r="H4" s="3727"/>
      <c r="I4" s="3726" t="s">
        <v>1757</v>
      </c>
      <c r="J4" s="3727"/>
      <c r="K4" s="559" t="s">
        <v>1758</v>
      </c>
      <c r="L4" s="2691"/>
      <c r="M4" s="2692"/>
      <c r="N4" s="2692"/>
      <c r="O4" s="2692"/>
      <c r="P4" s="3730" t="s">
        <v>1759</v>
      </c>
      <c r="Q4" s="3731"/>
      <c r="R4" s="3736" t="s">
        <v>1755</v>
      </c>
      <c r="S4" s="3737"/>
      <c r="T4" s="3736" t="s">
        <v>1756</v>
      </c>
      <c r="U4" s="3737"/>
      <c r="V4" s="3742" t="s">
        <v>1757</v>
      </c>
      <c r="W4" s="3742"/>
      <c r="X4" s="1958"/>
      <c r="Y4" s="3736" t="s">
        <v>1759</v>
      </c>
      <c r="Z4" s="3737"/>
      <c r="AA4" s="3755" t="s">
        <v>1755</v>
      </c>
      <c r="AB4" s="3755" t="s">
        <v>1756</v>
      </c>
      <c r="AC4" s="3723" t="s">
        <v>1757</v>
      </c>
    </row>
    <row r="5" spans="1:29" ht="15">
      <c r="A5" s="358"/>
      <c r="B5" s="359"/>
      <c r="C5" s="3752" t="s">
        <v>1657</v>
      </c>
      <c r="D5" s="3747"/>
      <c r="E5" s="3758" t="str">
        <f>'2021'!B4</f>
        <v>通用时代中心A座7-16层</v>
      </c>
      <c r="F5" s="3759"/>
      <c r="G5" s="3746" t="str">
        <f>'2021'!B27</f>
        <v>启迪科技大厦D座</v>
      </c>
      <c r="H5" s="3747"/>
      <c r="I5" s="3752" t="str">
        <f>'2021'!B28</f>
        <v>北京辉盛阁国际公寓</v>
      </c>
      <c r="J5" s="3747"/>
      <c r="K5" s="559"/>
      <c r="L5" s="2691"/>
      <c r="M5" s="2692"/>
      <c r="N5" s="2692"/>
      <c r="O5" s="2692"/>
      <c r="P5" s="3732"/>
      <c r="Q5" s="3733"/>
      <c r="R5" s="3738"/>
      <c r="S5" s="3739"/>
      <c r="T5" s="3738"/>
      <c r="U5" s="3739"/>
      <c r="V5" s="3743"/>
      <c r="W5" s="3743"/>
      <c r="X5" s="1355"/>
      <c r="Y5" s="3738"/>
      <c r="Z5" s="3739"/>
      <c r="AA5" s="3756"/>
      <c r="AB5" s="3756"/>
      <c r="AC5" s="3724"/>
    </row>
    <row r="6" spans="1:29" ht="15.75" thickBot="1">
      <c r="A6" s="360"/>
      <c r="B6" s="361"/>
      <c r="C6" s="3744" t="s">
        <v>1661</v>
      </c>
      <c r="D6" s="3745"/>
      <c r="E6" s="3753" t="s">
        <v>1661</v>
      </c>
      <c r="F6" s="3754"/>
      <c r="G6" s="3744" t="s">
        <v>1661</v>
      </c>
      <c r="H6" s="3745"/>
      <c r="I6" s="3744" t="s">
        <v>1661</v>
      </c>
      <c r="J6" s="3745"/>
      <c r="K6" s="559" t="s">
        <v>1662</v>
      </c>
      <c r="L6" s="2691"/>
      <c r="M6" s="2692"/>
      <c r="N6" s="2692"/>
      <c r="O6" s="2692"/>
      <c r="P6" s="3734"/>
      <c r="Q6" s="3735"/>
      <c r="R6" s="3738"/>
      <c r="S6" s="3739"/>
      <c r="T6" s="3740"/>
      <c r="U6" s="3741"/>
      <c r="V6" s="3743"/>
      <c r="W6" s="3743"/>
      <c r="X6" s="1355"/>
      <c r="Y6" s="3740"/>
      <c r="Z6" s="3741"/>
      <c r="AA6" s="3757"/>
      <c r="AB6" s="3757"/>
      <c r="AC6" s="3725"/>
    </row>
    <row r="7" spans="1:29" s="108" customFormat="1" ht="15.75" thickBot="1">
      <c r="A7" s="362" t="s">
        <v>1663</v>
      </c>
      <c r="B7" s="363"/>
      <c r="C7" s="364">
        <f>'数据-取费表'!B2</f>
        <v>45279</v>
      </c>
      <c r="D7" s="365">
        <v>100</v>
      </c>
      <c r="E7" s="366">
        <v>44166</v>
      </c>
      <c r="F7" s="367">
        <f>SUMIF(59:59,YEAR(E7)&amp;"-"&amp;MONTH(E7),60:60)</f>
        <v>97</v>
      </c>
      <c r="G7" s="366">
        <v>44197</v>
      </c>
      <c r="H7" s="365">
        <f>SUMIF(59:59,YEAR(G7)&amp;"-"&amp;MONTH(G7),60:60)</f>
        <v>98</v>
      </c>
      <c r="I7" s="366">
        <v>44197</v>
      </c>
      <c r="J7" s="365">
        <f>SUMIF(59:59,YEAR(I7)&amp;"-"&amp;MONTH(I7),60:60)</f>
        <v>98</v>
      </c>
      <c r="K7" s="560"/>
      <c r="L7" s="2693"/>
      <c r="M7" s="2694"/>
      <c r="N7" s="2694"/>
      <c r="O7" s="2694"/>
      <c r="P7" s="3748" t="s">
        <v>1664</v>
      </c>
      <c r="Q7" s="3751"/>
      <c r="R7" s="701" t="s">
        <v>14</v>
      </c>
      <c r="S7" s="702">
        <f t="shared" ref="S7:S15" si="0">F7</f>
        <v>97</v>
      </c>
      <c r="T7" s="701" t="s">
        <v>14</v>
      </c>
      <c r="U7" s="702">
        <f t="shared" ref="U7:U15" si="1">H7</f>
        <v>98</v>
      </c>
      <c r="V7" s="701" t="s">
        <v>14</v>
      </c>
      <c r="W7" s="702">
        <f t="shared" ref="W7:W15" si="2">J7</f>
        <v>98</v>
      </c>
      <c r="X7" s="703"/>
      <c r="Y7" s="3750" t="s">
        <v>1664</v>
      </c>
      <c r="Z7" s="3749"/>
      <c r="AA7" s="704">
        <f>D7/F7</f>
        <v>1.0309278350515463</v>
      </c>
      <c r="AB7" s="704">
        <f>D7/H7</f>
        <v>1.0204081632653061</v>
      </c>
      <c r="AC7" s="1959">
        <f>D7/J7</f>
        <v>1.0204081632653061</v>
      </c>
    </row>
    <row r="8" spans="1:29" s="108" customFormat="1" ht="15.75" thickBot="1">
      <c r="A8" s="362" t="s">
        <v>1665</v>
      </c>
      <c r="B8" s="363"/>
      <c r="C8" s="368" t="s">
        <v>3399</v>
      </c>
      <c r="D8" s="365">
        <v>100</v>
      </c>
      <c r="E8" s="368" t="s">
        <v>3399</v>
      </c>
      <c r="F8" s="367">
        <f>SUMIF(62:62,E8,63:63)-SUMIF(62:62,C8,63:63)+100</f>
        <v>100</v>
      </c>
      <c r="G8" s="368" t="s">
        <v>3399</v>
      </c>
      <c r="H8" s="365">
        <f>SUMIF(62:62,G8,63:63)-SUMIF(62:62,C8,63:63)+100</f>
        <v>100</v>
      </c>
      <c r="I8" s="368" t="s">
        <v>3399</v>
      </c>
      <c r="J8" s="365">
        <f>SUMIF(62:62,I8,63:63)-SUMIF(62:62,C8,63:63)+100</f>
        <v>100</v>
      </c>
      <c r="K8" s="560"/>
      <c r="L8" s="2693"/>
      <c r="M8" s="2694"/>
      <c r="N8" s="2694"/>
      <c r="O8" s="2694"/>
      <c r="P8" s="3748" t="s">
        <v>1667</v>
      </c>
      <c r="Q8" s="3749"/>
      <c r="R8" s="701" t="s">
        <v>14</v>
      </c>
      <c r="S8" s="702">
        <f t="shared" si="0"/>
        <v>100</v>
      </c>
      <c r="T8" s="701" t="s">
        <v>14</v>
      </c>
      <c r="U8" s="702">
        <f t="shared" si="1"/>
        <v>100</v>
      </c>
      <c r="V8" s="701" t="s">
        <v>14</v>
      </c>
      <c r="W8" s="702">
        <f t="shared" si="2"/>
        <v>100</v>
      </c>
      <c r="X8" s="703"/>
      <c r="Y8" s="3750" t="s">
        <v>1667</v>
      </c>
      <c r="Z8" s="3749"/>
      <c r="AA8" s="704">
        <f t="shared" ref="AA8:AA47" si="3">D8/F8</f>
        <v>1</v>
      </c>
      <c r="AB8" s="704">
        <f t="shared" ref="AB8:AB47" si="4">D8/H8</f>
        <v>1</v>
      </c>
      <c r="AC8" s="1959">
        <f t="shared" ref="AC8:AC47" si="5">D8/J8</f>
        <v>1</v>
      </c>
    </row>
    <row r="9" spans="1:29" s="108" customFormat="1" ht="15">
      <c r="A9" s="369" t="s">
        <v>1668</v>
      </c>
      <c r="B9" s="63" t="s">
        <v>1669</v>
      </c>
      <c r="C9" s="3450" t="s">
        <v>3461</v>
      </c>
      <c r="D9" s="126">
        <v>100</v>
      </c>
      <c r="E9" s="373" t="s">
        <v>21</v>
      </c>
      <c r="F9" s="126">
        <f>SUMIF(64:64,E9,65:65)-SUMIF(64:64,C9,65:65)+100</f>
        <v>99</v>
      </c>
      <c r="G9" s="373" t="s">
        <v>21</v>
      </c>
      <c r="H9" s="126">
        <f>SUMIF(64:64,G9,65:65)-SUMIF(64:64,C9,65:65)+100</f>
        <v>99</v>
      </c>
      <c r="I9" s="371" t="s">
        <v>673</v>
      </c>
      <c r="J9" s="126">
        <f>SUMIF(64:64,I9,65:65)-SUMIF(64:64,C9,65:65)+100</f>
        <v>100</v>
      </c>
      <c r="K9" s="560"/>
      <c r="L9" s="2693"/>
      <c r="M9" s="2694"/>
      <c r="N9" s="2694"/>
      <c r="O9" s="2694"/>
      <c r="P9" s="3708" t="s">
        <v>1670</v>
      </c>
      <c r="Q9" s="1343" t="str">
        <f t="shared" ref="Q9:Q15" si="6">B9</f>
        <v>用途</v>
      </c>
      <c r="R9" s="701" t="s">
        <v>14</v>
      </c>
      <c r="S9" s="702">
        <f t="shared" si="0"/>
        <v>99</v>
      </c>
      <c r="T9" s="701" t="s">
        <v>14</v>
      </c>
      <c r="U9" s="702">
        <f t="shared" si="1"/>
        <v>99</v>
      </c>
      <c r="V9" s="701" t="s">
        <v>14</v>
      </c>
      <c r="W9" s="702">
        <f t="shared" si="2"/>
        <v>100</v>
      </c>
      <c r="X9" s="703"/>
      <c r="Y9" s="3587" t="s">
        <v>1671</v>
      </c>
      <c r="Z9" s="52" t="str">
        <f t="shared" ref="Z9:Z15" si="7">Q9</f>
        <v>用途</v>
      </c>
      <c r="AA9" s="704">
        <f t="shared" si="3"/>
        <v>1.0101010101010102</v>
      </c>
      <c r="AB9" s="704">
        <f t="shared" si="4"/>
        <v>1.0101010101010102</v>
      </c>
      <c r="AC9" s="1959">
        <f t="shared" si="5"/>
        <v>1</v>
      </c>
    </row>
    <row r="10" spans="1:29" s="378" customFormat="1" ht="27">
      <c r="A10" s="374"/>
      <c r="B10" s="375" t="s">
        <v>1672</v>
      </c>
      <c r="C10" s="3410" t="str">
        <f>E66</f>
        <v>10-20</v>
      </c>
      <c r="D10" s="127">
        <v>100</v>
      </c>
      <c r="E10" s="3410" t="s">
        <v>3400</v>
      </c>
      <c r="F10" s="127">
        <f>SUMIF(66:66,E10,67:67)-SUMIF(66:66,C10,67:67)+100</f>
        <v>106</v>
      </c>
      <c r="G10" s="3410" t="s">
        <v>3400</v>
      </c>
      <c r="H10" s="127">
        <f>SUMIF(66:66,G10,67:67)-SUMIF(66:66,C10,67:67)+100</f>
        <v>106</v>
      </c>
      <c r="I10" s="3410" t="s">
        <v>3400</v>
      </c>
      <c r="J10" s="127">
        <f>SUMIF(66:66,I10,67:67)-SUMIF(66:66,C10,67:67)+100</f>
        <v>106</v>
      </c>
      <c r="K10" s="560"/>
      <c r="L10" s="2695"/>
      <c r="M10" s="2696"/>
      <c r="N10" s="2696"/>
      <c r="O10" s="2696"/>
      <c r="P10" s="3708"/>
      <c r="Q10" s="1343" t="str">
        <f t="shared" si="6"/>
        <v>土地使用年限（年）</v>
      </c>
      <c r="R10" s="701" t="s">
        <v>14</v>
      </c>
      <c r="S10" s="702">
        <f t="shared" si="0"/>
        <v>106</v>
      </c>
      <c r="T10" s="701" t="s">
        <v>14</v>
      </c>
      <c r="U10" s="702">
        <f t="shared" si="1"/>
        <v>106</v>
      </c>
      <c r="V10" s="701" t="s">
        <v>14</v>
      </c>
      <c r="W10" s="702">
        <f t="shared" si="2"/>
        <v>106</v>
      </c>
      <c r="X10" s="703"/>
      <c r="Y10" s="3587"/>
      <c r="Z10" s="52" t="str">
        <f t="shared" si="7"/>
        <v>土地使用年限（年）</v>
      </c>
      <c r="AA10" s="704">
        <f t="shared" si="3"/>
        <v>0.94339622641509435</v>
      </c>
      <c r="AB10" s="704">
        <f t="shared" si="4"/>
        <v>0.94339622641509435</v>
      </c>
      <c r="AC10" s="1959">
        <f t="shared" si="5"/>
        <v>0.94339622641509435</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7"/>
      <c r="M11" s="2692"/>
      <c r="N11" s="2692"/>
      <c r="O11" s="2692"/>
      <c r="P11" s="3708"/>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1959">
        <f t="shared" si="5"/>
        <v>1</v>
      </c>
    </row>
    <row r="12" spans="1:29" s="108" customFormat="1" ht="15">
      <c r="A12" s="382"/>
      <c r="B12" s="3857" t="s">
        <v>4561</v>
      </c>
      <c r="C12" s="383">
        <v>2004</v>
      </c>
      <c r="D12" s="384">
        <v>100</v>
      </c>
      <c r="E12" s="383">
        <v>2004</v>
      </c>
      <c r="F12" s="127">
        <f>SUMIF(71:71,E12,72:72)-SUMIF(71:71,C12,72:72)+100</f>
        <v>100</v>
      </c>
      <c r="G12" s="1960">
        <v>2001</v>
      </c>
      <c r="H12" s="127">
        <f>SUMIF(71:71,G12,72:72)-SUMIF(71:71,C12,72:72)+100</f>
        <v>100</v>
      </c>
      <c r="I12" s="383">
        <v>2008</v>
      </c>
      <c r="J12" s="127">
        <f>SUMIF(71:71,I12,72:72)-SUMIF(71:71,C12,72:72)+100</f>
        <v>100</v>
      </c>
      <c r="K12" s="562"/>
      <c r="L12" s="2693"/>
      <c r="M12" s="2694"/>
      <c r="N12" s="2694"/>
      <c r="O12" s="2694"/>
      <c r="P12" s="3708"/>
      <c r="Q12" s="1343" t="str">
        <f t="shared" si="6"/>
        <v>建成</v>
      </c>
      <c r="R12" s="701" t="s">
        <v>14</v>
      </c>
      <c r="S12" s="702">
        <f t="shared" si="0"/>
        <v>100</v>
      </c>
      <c r="T12" s="701" t="s">
        <v>14</v>
      </c>
      <c r="U12" s="702">
        <f t="shared" si="1"/>
        <v>100</v>
      </c>
      <c r="V12" s="701" t="s">
        <v>14</v>
      </c>
      <c r="W12" s="702">
        <f t="shared" si="2"/>
        <v>100</v>
      </c>
      <c r="X12" s="703"/>
      <c r="Y12" s="3587"/>
      <c r="Z12" s="52" t="str">
        <f t="shared" si="7"/>
        <v>建成</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0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708"/>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1959">
        <f t="shared" si="5"/>
        <v>1</v>
      </c>
    </row>
    <row r="15" spans="1:29" ht="15">
      <c r="A15" s="391" t="s">
        <v>1674</v>
      </c>
      <c r="B15" s="577" t="s">
        <v>1795</v>
      </c>
      <c r="C15" s="1961" t="str">
        <f>估价对象房地状况!C5</f>
        <v>较好</v>
      </c>
      <c r="D15" s="392">
        <v>100</v>
      </c>
      <c r="E15" s="395" t="s">
        <v>3394</v>
      </c>
      <c r="F15" s="392">
        <f>SUMIF(77:77,E16,78:78)-SUMIF(77:77,C16,78:78)+100</f>
        <v>100</v>
      </c>
      <c r="G15" s="395" t="s">
        <v>3394</v>
      </c>
      <c r="H15" s="392">
        <f>SUMIF(77:77,G16,78:78)-SUMIF(77:77,C16,78:78)+100</f>
        <v>100</v>
      </c>
      <c r="I15" s="395" t="s">
        <v>3394</v>
      </c>
      <c r="J15" s="392">
        <f>SUMIF(77:77,I16,78:78)-SUMIF(77:77,C16,78:78)+100</f>
        <v>100</v>
      </c>
      <c r="K15" s="563">
        <v>5</v>
      </c>
      <c r="L15" s="2698"/>
      <c r="M15" s="2692"/>
      <c r="N15" s="2692"/>
      <c r="O15" s="2692"/>
      <c r="P15" s="3714" t="s">
        <v>1675</v>
      </c>
      <c r="Q15" s="1352" t="str">
        <f t="shared" si="6"/>
        <v>办公集聚程度</v>
      </c>
      <c r="R15" s="705" t="s">
        <v>14</v>
      </c>
      <c r="S15" s="706">
        <f t="shared" si="0"/>
        <v>100</v>
      </c>
      <c r="T15" s="705" t="s">
        <v>14</v>
      </c>
      <c r="U15" s="706">
        <f t="shared" si="1"/>
        <v>100</v>
      </c>
      <c r="V15" s="705" t="s">
        <v>14</v>
      </c>
      <c r="W15" s="706">
        <f t="shared" si="2"/>
        <v>100</v>
      </c>
      <c r="X15" s="1355"/>
      <c r="Y15" s="3716" t="s">
        <v>1675</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698"/>
      <c r="M16" s="2692"/>
      <c r="N16" s="2692"/>
      <c r="O16" s="2692"/>
      <c r="P16" s="3715"/>
      <c r="Q16" s="1352"/>
      <c r="R16" s="705"/>
      <c r="S16" s="706"/>
      <c r="T16" s="705"/>
      <c r="U16" s="706"/>
      <c r="V16" s="705"/>
      <c r="W16" s="706"/>
      <c r="X16" s="1355"/>
      <c r="Y16" s="3717"/>
      <c r="Z16" s="1356"/>
      <c r="AA16" s="1353">
        <v>1</v>
      </c>
      <c r="AB16" s="1353">
        <v>1</v>
      </c>
      <c r="AC16" s="1962">
        <v>1</v>
      </c>
    </row>
    <row r="17" spans="1:29" ht="15">
      <c r="A17" s="379"/>
      <c r="B17" s="579" t="s">
        <v>1259</v>
      </c>
      <c r="C17" s="1963" t="str">
        <f>估价对象房地状况!C6</f>
        <v>较好</v>
      </c>
      <c r="D17" s="401">
        <v>100</v>
      </c>
      <c r="E17" s="405" t="s">
        <v>3394</v>
      </c>
      <c r="F17" s="401">
        <f>SUMIF(79:79,E18,80:80)-SUMIF(79:79,C18,80:80)+100</f>
        <v>100</v>
      </c>
      <c r="G17" s="405" t="s">
        <v>3394</v>
      </c>
      <c r="H17" s="406">
        <f>SUMIF(79:79,G18,80:80)-SUMIF(79:79,C18,80:80)+100</f>
        <v>100</v>
      </c>
      <c r="I17" s="405" t="s">
        <v>3394</v>
      </c>
      <c r="J17" s="406">
        <f>SUMIF(79:79,I18,80:80)-SUMIF(79:79,C18,80:80)+100</f>
        <v>100</v>
      </c>
      <c r="K17" s="563">
        <v>2</v>
      </c>
      <c r="L17" s="2698"/>
      <c r="M17" s="2692"/>
      <c r="N17" s="2692"/>
      <c r="O17" s="2692"/>
      <c r="P17" s="3715"/>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698"/>
      <c r="M18" s="2692"/>
      <c r="N18" s="2692"/>
      <c r="O18" s="2692"/>
      <c r="P18" s="3715"/>
      <c r="Q18" s="1352"/>
      <c r="R18" s="705"/>
      <c r="S18" s="706"/>
      <c r="T18" s="705"/>
      <c r="U18" s="706"/>
      <c r="V18" s="705"/>
      <c r="W18" s="706"/>
      <c r="X18" s="1355"/>
      <c r="Y18" s="3717"/>
      <c r="Z18" s="1356"/>
      <c r="AA18" s="1353">
        <v>1</v>
      </c>
      <c r="AB18" s="1353">
        <v>1</v>
      </c>
      <c r="AC18" s="1962">
        <v>1</v>
      </c>
    </row>
    <row r="19" spans="1:29" ht="15">
      <c r="A19" s="379"/>
      <c r="B19" s="579" t="s">
        <v>1796</v>
      </c>
      <c r="C19" s="1963" t="str">
        <f>估价对象房地状况!C7</f>
        <v>较好</v>
      </c>
      <c r="D19" s="406">
        <v>100</v>
      </c>
      <c r="E19" s="410" t="s">
        <v>3394</v>
      </c>
      <c r="F19" s="406">
        <f>SUMIF(81:81,E20,82:82)-SUMIF(81:81,C20,82:82)+100</f>
        <v>100</v>
      </c>
      <c r="G19" s="410" t="s">
        <v>3394</v>
      </c>
      <c r="H19" s="401">
        <f>SUMIF(81:81,G20,82:82)-SUMIF(81:81,C20,82:82)+100</f>
        <v>100</v>
      </c>
      <c r="I19" s="410" t="s">
        <v>3394</v>
      </c>
      <c r="J19" s="401">
        <f>SUMIF(81:81,I20,82:82)-SUMIF(81:81,C20,82:82)+100</f>
        <v>100</v>
      </c>
      <c r="K19" s="563">
        <v>2</v>
      </c>
      <c r="L19" s="2698"/>
      <c r="M19" s="2692"/>
      <c r="N19" s="2692"/>
      <c r="O19" s="2692"/>
      <c r="P19" s="3715"/>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698"/>
      <c r="M20" s="2692"/>
      <c r="N20" s="2692"/>
      <c r="O20" s="2692"/>
      <c r="P20" s="3715"/>
      <c r="Q20" s="1352"/>
      <c r="R20" s="705"/>
      <c r="S20" s="706"/>
      <c r="T20" s="705"/>
      <c r="U20" s="706"/>
      <c r="V20" s="705"/>
      <c r="W20" s="706"/>
      <c r="X20" s="1355"/>
      <c r="Y20" s="3717"/>
      <c r="Z20" s="1356"/>
      <c r="AA20" s="1353">
        <v>1</v>
      </c>
      <c r="AB20" s="1353">
        <v>1</v>
      </c>
      <c r="AC20" s="1962">
        <v>1</v>
      </c>
    </row>
    <row r="21" spans="1:29" ht="15">
      <c r="A21" s="379"/>
      <c r="B21" s="581" t="s">
        <v>1797</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2</v>
      </c>
      <c r="L21" s="2698"/>
      <c r="M21" s="2692"/>
      <c r="N21" s="2692"/>
      <c r="O21" s="2692"/>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698"/>
      <c r="M22" s="2692"/>
      <c r="N22" s="2692"/>
      <c r="O22" s="2692"/>
      <c r="P22" s="3715"/>
      <c r="Q22" s="1352"/>
      <c r="R22" s="705"/>
      <c r="S22" s="706"/>
      <c r="T22" s="705"/>
      <c r="U22" s="706"/>
      <c r="V22" s="705"/>
      <c r="W22" s="706"/>
      <c r="X22" s="1355"/>
      <c r="Y22" s="3717"/>
      <c r="Z22" s="1356"/>
      <c r="AA22" s="1353">
        <v>1</v>
      </c>
      <c r="AB22" s="1353">
        <v>1</v>
      </c>
      <c r="AC22" s="1962">
        <v>1</v>
      </c>
    </row>
    <row r="23" spans="1:29" ht="15">
      <c r="A23" s="379"/>
      <c r="B23" s="579" t="s">
        <v>1798</v>
      </c>
      <c r="C23" s="1963" t="str">
        <f>估价对象房地状况!C9</f>
        <v>较好</v>
      </c>
      <c r="D23" s="401">
        <v>100</v>
      </c>
      <c r="E23" s="405" t="s">
        <v>3394</v>
      </c>
      <c r="F23" s="401">
        <f>SUMIF(85:85,E24,86:86)-SUMIF(85:85,C24,86:86)+100</f>
        <v>100</v>
      </c>
      <c r="G23" s="405" t="s">
        <v>3394</v>
      </c>
      <c r="H23" s="401">
        <f>SUMIF(85:85,G24,86:86)-SUMIF(85:85,C24,86:86)+100</f>
        <v>100</v>
      </c>
      <c r="I23" s="405" t="s">
        <v>3394</v>
      </c>
      <c r="J23" s="401">
        <f>SUMIF(85:85,I24,86:86)-SUMIF(85:85,C24,86:86)+100</f>
        <v>100</v>
      </c>
      <c r="K23" s="563">
        <v>2</v>
      </c>
      <c r="L23" s="2698"/>
      <c r="M23" s="2692"/>
      <c r="N23" s="2692"/>
      <c r="O23" s="2692"/>
      <c r="P23" s="3715"/>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t="s">
        <v>3394</v>
      </c>
      <c r="D24" s="399"/>
      <c r="E24" s="1897" t="s">
        <v>3394</v>
      </c>
      <c r="F24" s="399"/>
      <c r="G24" s="1897" t="s">
        <v>3394</v>
      </c>
      <c r="H24" s="399"/>
      <c r="I24" s="1897" t="s">
        <v>3394</v>
      </c>
      <c r="J24" s="399"/>
      <c r="K24" s="564"/>
      <c r="L24" s="2698"/>
      <c r="M24" s="2692"/>
      <c r="N24" s="2692"/>
      <c r="O24" s="2692"/>
      <c r="P24" s="3715"/>
      <c r="Q24" s="1352"/>
      <c r="R24" s="705"/>
      <c r="S24" s="706"/>
      <c r="T24" s="705"/>
      <c r="U24" s="706"/>
      <c r="V24" s="705"/>
      <c r="W24" s="706"/>
      <c r="X24" s="1355"/>
      <c r="Y24" s="3717"/>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15"/>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715"/>
      <c r="Q26" s="1352"/>
      <c r="R26" s="705"/>
      <c r="S26" s="706"/>
      <c r="T26" s="705"/>
      <c r="U26" s="706"/>
      <c r="V26" s="705"/>
      <c r="W26" s="706"/>
      <c r="X26" s="1355"/>
      <c r="Y26" s="3717"/>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15"/>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15"/>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75" thickBot="1">
      <c r="A29" s="379"/>
      <c r="B29" s="3858" t="s">
        <v>4563</v>
      </c>
      <c r="C29" s="3860" t="s">
        <v>4564</v>
      </c>
      <c r="D29" s="386">
        <v>100</v>
      </c>
      <c r="E29" s="3861" t="s">
        <v>4565</v>
      </c>
      <c r="F29" s="386">
        <f>SUMIF(93:93,E29,94:94)-SUMIF(93:93,C29,94:94)+100</f>
        <v>105</v>
      </c>
      <c r="G29" s="3861" t="s">
        <v>4565</v>
      </c>
      <c r="H29" s="386">
        <f>SUMIF(93:93,G29,94:94)-SUMIF(93:93,C29,94:94)+100</f>
        <v>105</v>
      </c>
      <c r="I29" s="3861" t="s">
        <v>4565</v>
      </c>
      <c r="J29" s="386">
        <f>SUMIF(93:93,I29,94:94)-SUMIF(93:93,C29,94:94)+100</f>
        <v>105</v>
      </c>
      <c r="K29" s="562"/>
      <c r="L29" s="2698"/>
      <c r="M29" s="2692"/>
      <c r="N29" s="2692"/>
      <c r="O29" s="2692"/>
      <c r="P29" s="3715"/>
      <c r="Q29" s="1352" t="str">
        <f t="shared" si="11"/>
        <v>商业繁华度</v>
      </c>
      <c r="R29" s="705" t="s">
        <v>14</v>
      </c>
      <c r="S29" s="706">
        <f t="shared" ref="S29:S47" si="12">F29</f>
        <v>105</v>
      </c>
      <c r="T29" s="705" t="s">
        <v>14</v>
      </c>
      <c r="U29" s="706">
        <f t="shared" ref="U29:U47" si="13">H29</f>
        <v>105</v>
      </c>
      <c r="V29" s="705" t="s">
        <v>14</v>
      </c>
      <c r="W29" s="706">
        <f t="shared" ref="W29:W47" si="14">J29</f>
        <v>105</v>
      </c>
      <c r="X29" s="1355"/>
      <c r="Y29" s="3717"/>
      <c r="Z29" s="1356" t="str">
        <f t="shared" ref="Z29:Z47" si="15">Q29</f>
        <v>商业繁华度</v>
      </c>
      <c r="AA29" s="1353">
        <f t="shared" si="3"/>
        <v>0.95238095238095233</v>
      </c>
      <c r="AB29" s="1353">
        <f t="shared" si="4"/>
        <v>0.95238095238095233</v>
      </c>
      <c r="AC29" s="1962">
        <f t="shared" si="5"/>
        <v>0.95238095238095233</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15"/>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15"/>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15"/>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1678</v>
      </c>
      <c r="B33" s="63" t="s">
        <v>1801</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718" t="s">
        <v>1680</v>
      </c>
      <c r="Q33" s="1352" t="str">
        <f t="shared" si="11"/>
        <v>建筑类型</v>
      </c>
      <c r="R33" s="705" t="s">
        <v>14</v>
      </c>
      <c r="S33" s="706">
        <f t="shared" si="12"/>
        <v>100</v>
      </c>
      <c r="T33" s="705" t="s">
        <v>14</v>
      </c>
      <c r="U33" s="706">
        <f t="shared" si="13"/>
        <v>100</v>
      </c>
      <c r="V33" s="705" t="s">
        <v>14</v>
      </c>
      <c r="W33" s="706">
        <f t="shared" si="14"/>
        <v>100</v>
      </c>
      <c r="X33" s="1355"/>
      <c r="Y33" s="3721" t="s">
        <v>1680</v>
      </c>
      <c r="Z33" s="1356" t="str">
        <f t="shared" si="15"/>
        <v>建筑类型</v>
      </c>
      <c r="AA33" s="1353">
        <f t="shared" si="3"/>
        <v>1</v>
      </c>
      <c r="AB33" s="1353">
        <f t="shared" si="4"/>
        <v>1</v>
      </c>
      <c r="AC33" s="1962">
        <f t="shared" si="5"/>
        <v>1</v>
      </c>
    </row>
    <row r="34" spans="1:29" s="422" customFormat="1" ht="15">
      <c r="A34" s="419"/>
      <c r="B34" s="375" t="s">
        <v>1681</v>
      </c>
      <c r="C34" s="420">
        <f>'数据-汇总表'!E3</f>
        <v>13128.449999999992</v>
      </c>
      <c r="D34" s="127">
        <v>100</v>
      </c>
      <c r="E34" s="381">
        <f>'2021'!I4</f>
        <v>18396.150000000001</v>
      </c>
      <c r="F34" s="376">
        <f>LOOKUP(E34,104:104,105:105)-LOOKUP(C34,104:104,105:105)+100</f>
        <v>100</v>
      </c>
      <c r="G34" s="380">
        <f>'2021'!I27</f>
        <v>46330.33</v>
      </c>
      <c r="H34" s="127">
        <f>LOOKUP(G34,104:104,105:105)-LOOKUP(C34,104:104,105:105)+100</f>
        <v>97</v>
      </c>
      <c r="I34" s="380">
        <f>'2021'!I28</f>
        <v>40201.339999999997</v>
      </c>
      <c r="J34" s="127">
        <f>LOOKUP(I34,104:104,105:105)-LOOKUP(C34,104:104,105:105)+100</f>
        <v>97</v>
      </c>
      <c r="K34" s="562"/>
      <c r="L34" s="2697"/>
      <c r="M34" s="2699"/>
      <c r="N34" s="2699"/>
      <c r="O34" s="2699"/>
      <c r="P34" s="3719"/>
      <c r="Q34" s="707" t="str">
        <f t="shared" si="11"/>
        <v>项目建筑规模</v>
      </c>
      <c r="R34" s="708" t="s">
        <v>14</v>
      </c>
      <c r="S34" s="709">
        <f t="shared" si="12"/>
        <v>100</v>
      </c>
      <c r="T34" s="708" t="s">
        <v>14</v>
      </c>
      <c r="U34" s="709">
        <f t="shared" si="13"/>
        <v>97</v>
      </c>
      <c r="V34" s="708" t="s">
        <v>14</v>
      </c>
      <c r="W34" s="709">
        <f t="shared" si="14"/>
        <v>97</v>
      </c>
      <c r="X34" s="710"/>
      <c r="Y34" s="3721"/>
      <c r="Z34" s="711" t="str">
        <f t="shared" si="15"/>
        <v>项目建筑规模</v>
      </c>
      <c r="AA34" s="1353">
        <f t="shared" si="3"/>
        <v>1</v>
      </c>
      <c r="AB34" s="1353">
        <f t="shared" si="4"/>
        <v>1.0309278350515463</v>
      </c>
      <c r="AC34" s="1962">
        <f t="shared" si="5"/>
        <v>1.0309278350515463</v>
      </c>
    </row>
    <row r="35" spans="1:29" ht="15">
      <c r="A35" s="423"/>
      <c r="B35" s="375" t="s">
        <v>1682</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698"/>
      <c r="M35" s="2692"/>
      <c r="N35" s="2692"/>
      <c r="O35" s="2692"/>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1769</v>
      </c>
      <c r="C36" s="411" t="s">
        <v>4568</v>
      </c>
      <c r="D36" s="386">
        <v>100</v>
      </c>
      <c r="E36" s="411" t="s">
        <v>4568</v>
      </c>
      <c r="F36" s="412">
        <f>SUMIF(108:108,E36,109:109)-SUMIF(108:108,C36,109:109)+100</f>
        <v>100</v>
      </c>
      <c r="G36" s="411" t="s">
        <v>4568</v>
      </c>
      <c r="H36" s="386">
        <f>SUMIF(108:108,G36,109:109)-SUMIF(108:108,C36,109:109)+100</f>
        <v>100</v>
      </c>
      <c r="I36" s="411" t="s">
        <v>4568</v>
      </c>
      <c r="J36" s="386">
        <f>SUMIF(108:108,I36,109:109)-SUMIF(108:108,C36,109:109)+100</f>
        <v>100</v>
      </c>
      <c r="K36" s="561">
        <v>2</v>
      </c>
      <c r="L36" s="2698"/>
      <c r="M36" s="2692"/>
      <c r="N36" s="2692"/>
      <c r="O36" s="2692"/>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1770</v>
      </c>
      <c r="C37" s="425">
        <f>'数据-取费表'!N6</f>
        <v>0.79</v>
      </c>
      <c r="D37" s="386">
        <v>100</v>
      </c>
      <c r="E37" s="425">
        <v>0.75</v>
      </c>
      <c r="F37" s="412">
        <f>LOOKUP(E37,111:111,112:112)-LOOKUP(C37,111:111,112:112)+100</f>
        <v>100</v>
      </c>
      <c r="G37" s="425">
        <v>0.75</v>
      </c>
      <c r="H37" s="412">
        <f>LOOKUP(G37,111:111,112:112)-LOOKUP(C37,111:111,112:112)+100</f>
        <v>100</v>
      </c>
      <c r="I37" s="425">
        <v>0.8</v>
      </c>
      <c r="J37" s="386">
        <f>LOOKUP(I37,111:111,112:112)-LOOKUP(C37,111:111,112:112)+100</f>
        <v>102</v>
      </c>
      <c r="K37" s="561">
        <v>2</v>
      </c>
      <c r="L37" s="2698"/>
      <c r="M37" s="2692"/>
      <c r="N37" s="2692"/>
      <c r="O37" s="2692"/>
      <c r="P37" s="3719"/>
      <c r="Q37" s="1352" t="str">
        <f t="shared" si="11"/>
        <v>成新度</v>
      </c>
      <c r="R37" s="705" t="s">
        <v>14</v>
      </c>
      <c r="S37" s="706">
        <f t="shared" si="12"/>
        <v>100</v>
      </c>
      <c r="T37" s="705" t="s">
        <v>14</v>
      </c>
      <c r="U37" s="706">
        <f t="shared" si="13"/>
        <v>100</v>
      </c>
      <c r="V37" s="705" t="s">
        <v>14</v>
      </c>
      <c r="W37" s="706">
        <f t="shared" si="14"/>
        <v>102</v>
      </c>
      <c r="X37" s="1355"/>
      <c r="Y37" s="3721"/>
      <c r="Z37" s="1356" t="str">
        <f t="shared" si="15"/>
        <v>成新度</v>
      </c>
      <c r="AA37" s="1353">
        <f t="shared" si="3"/>
        <v>1</v>
      </c>
      <c r="AB37" s="1353">
        <f t="shared" si="4"/>
        <v>1</v>
      </c>
      <c r="AC37" s="1962">
        <f t="shared" si="5"/>
        <v>0.98039215686274506</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1803</v>
      </c>
      <c r="C39" s="411" t="s">
        <v>4574</v>
      </c>
      <c r="D39" s="386">
        <v>100</v>
      </c>
      <c r="E39" s="411" t="s">
        <v>4574</v>
      </c>
      <c r="F39" s="412">
        <f>SUMIF(115:115,E39,116:116)-SUMIF(115:115,C39,116:116)+100</f>
        <v>100</v>
      </c>
      <c r="G39" s="411" t="s">
        <v>4574</v>
      </c>
      <c r="H39" s="386">
        <f>SUMIF(115:115,G39,116:116)-SUMIF(115:115,C39,116:116)+100</f>
        <v>100</v>
      </c>
      <c r="I39" s="411" t="s">
        <v>4574</v>
      </c>
      <c r="J39" s="386">
        <f>SUMIF(115:115,I39,116:116)-SUMIF(115:115,C39,116:116)+100</f>
        <v>100</v>
      </c>
      <c r="K39" s="561">
        <v>2</v>
      </c>
      <c r="L39" s="2698"/>
      <c r="M39" s="2692"/>
      <c r="N39" s="2692"/>
      <c r="O39" s="2692"/>
      <c r="P39" s="3719" t="s">
        <v>1680</v>
      </c>
      <c r="Q39" s="1352" t="str">
        <f t="shared" si="11"/>
        <v>物业管理</v>
      </c>
      <c r="R39" s="705" t="s">
        <v>14</v>
      </c>
      <c r="S39" s="706">
        <f t="shared" si="12"/>
        <v>100</v>
      </c>
      <c r="T39" s="705" t="s">
        <v>14</v>
      </c>
      <c r="U39" s="706">
        <f t="shared" si="13"/>
        <v>100</v>
      </c>
      <c r="V39" s="705" t="s">
        <v>14</v>
      </c>
      <c r="W39" s="706">
        <f t="shared" si="14"/>
        <v>100</v>
      </c>
      <c r="X39" s="1355"/>
      <c r="Y39" s="3721" t="s">
        <v>1680</v>
      </c>
      <c r="Z39" s="1356" t="str">
        <f t="shared" si="15"/>
        <v>物业管理</v>
      </c>
      <c r="AA39" s="1353">
        <f t="shared" si="3"/>
        <v>1</v>
      </c>
      <c r="AB39" s="1353">
        <f t="shared" si="4"/>
        <v>1</v>
      </c>
      <c r="AC39" s="1962">
        <f t="shared" si="5"/>
        <v>1</v>
      </c>
    </row>
    <row r="40" spans="1:29" ht="15">
      <c r="A40" s="423"/>
      <c r="B40" s="375" t="s">
        <v>1771</v>
      </c>
      <c r="C40" s="411" t="s">
        <v>3475</v>
      </c>
      <c r="D40" s="386">
        <v>100</v>
      </c>
      <c r="E40" s="411" t="s">
        <v>3475</v>
      </c>
      <c r="F40" s="412">
        <f>SUMIF(117:117,E40,118:118)-SUMIF(117:117,C40,118:118)+100</f>
        <v>100</v>
      </c>
      <c r="G40" s="411" t="s">
        <v>3475</v>
      </c>
      <c r="H40" s="386">
        <f>SUMIF(117:117,G40,118:118)-SUMIF(117:117,C40,118:118)+100</f>
        <v>100</v>
      </c>
      <c r="I40" s="411" t="s">
        <v>3401</v>
      </c>
      <c r="J40" s="386">
        <f>SUMIF(117:117,I40,118:118)-SUMIF(117:117,C40,118:118)+100</f>
        <v>102</v>
      </c>
      <c r="K40" s="561">
        <v>2</v>
      </c>
      <c r="L40" s="2698"/>
      <c r="M40" s="2692"/>
      <c r="N40" s="2692"/>
      <c r="O40" s="2692"/>
      <c r="P40" s="3719"/>
      <c r="Q40" s="1352" t="str">
        <f t="shared" si="11"/>
        <v>市政基础设施</v>
      </c>
      <c r="R40" s="705" t="s">
        <v>14</v>
      </c>
      <c r="S40" s="706">
        <f t="shared" si="12"/>
        <v>100</v>
      </c>
      <c r="T40" s="705" t="s">
        <v>14</v>
      </c>
      <c r="U40" s="706">
        <f t="shared" si="13"/>
        <v>100</v>
      </c>
      <c r="V40" s="705" t="s">
        <v>14</v>
      </c>
      <c r="W40" s="706">
        <f t="shared" si="14"/>
        <v>102</v>
      </c>
      <c r="X40" s="1355"/>
      <c r="Y40" s="3721"/>
      <c r="Z40" s="1356" t="str">
        <f t="shared" si="15"/>
        <v>市政基础设施</v>
      </c>
      <c r="AA40" s="1353">
        <f t="shared" si="3"/>
        <v>1</v>
      </c>
      <c r="AB40" s="1353">
        <f t="shared" si="4"/>
        <v>1</v>
      </c>
      <c r="AC40" s="1962">
        <f t="shared" si="5"/>
        <v>0.98039215686274506</v>
      </c>
    </row>
    <row r="41" spans="1:29" ht="15">
      <c r="A41" s="423"/>
      <c r="B41" s="375" t="s">
        <v>1773</v>
      </c>
      <c r="C41" s="565" t="s">
        <v>4578</v>
      </c>
      <c r="D41" s="386">
        <v>100</v>
      </c>
      <c r="E41" s="565" t="s">
        <v>4578</v>
      </c>
      <c r="F41" s="412">
        <f>SUMIF(119:119,E41,120:120)-SUMIF(119:119,C41,120:120)+100</f>
        <v>100</v>
      </c>
      <c r="G41" s="565" t="s">
        <v>4578</v>
      </c>
      <c r="H41" s="386">
        <f>SUMIF(119:119,G41,120:120)-SUMIF(119:119,C41,120:120)+100</f>
        <v>100</v>
      </c>
      <c r="I41" s="565" t="s">
        <v>4578</v>
      </c>
      <c r="J41" s="386">
        <f>SUMIF(119:119,I41,120:120)-SUMIF(119:119,C41,120:120)+100</f>
        <v>100</v>
      </c>
      <c r="K41" s="561">
        <v>2</v>
      </c>
      <c r="L41" s="2698"/>
      <c r="M41" s="2692"/>
      <c r="N41" s="2692"/>
      <c r="O41" s="2692"/>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1776</v>
      </c>
      <c r="C43" s="411" t="s">
        <v>4570</v>
      </c>
      <c r="D43" s="386">
        <v>100</v>
      </c>
      <c r="E43" s="411" t="s">
        <v>4570</v>
      </c>
      <c r="F43" s="412">
        <f>SUMIF(123:123,E43,124:124)-SUMIF(123:123,C43,124:124)+100</f>
        <v>100</v>
      </c>
      <c r="G43" s="411" t="s">
        <v>4570</v>
      </c>
      <c r="H43" s="386">
        <f>SUMIF(123:123,G43,124:124)-SUMIF(123:123,C43,124:124)+100</f>
        <v>100</v>
      </c>
      <c r="I43" s="411" t="s">
        <v>4570</v>
      </c>
      <c r="J43" s="386">
        <f>SUMIF(123:123,I43,124:124)-SUMIF(123:123,C43,124:124)+100</f>
        <v>100</v>
      </c>
      <c r="K43" s="561">
        <v>2</v>
      </c>
      <c r="L43" s="2698"/>
      <c r="M43" s="2692"/>
      <c r="N43" s="2692"/>
      <c r="O43" s="2692"/>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1691</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2</v>
      </c>
      <c r="L44" s="2698"/>
      <c r="M44" s="2692"/>
      <c r="N44" s="2692"/>
      <c r="O44" s="2692"/>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3451" t="s">
        <v>3408</v>
      </c>
      <c r="C45" s="420">
        <f>C127</f>
        <v>0</v>
      </c>
      <c r="D45" s="127">
        <v>100</v>
      </c>
      <c r="E45" s="383">
        <f>C127</f>
        <v>0</v>
      </c>
      <c r="F45" s="376">
        <f>SUMIF(127:127,E45,128:128)-SUMIF(127:127,C45,128:128)+100</f>
        <v>100</v>
      </c>
      <c r="G45" s="416" t="str">
        <f>G127</f>
        <v>20-25</v>
      </c>
      <c r="H45" s="127">
        <f>SUMIF(127:127,G45,128:128)-SUMIF(127:127,C45,128:128)+100</f>
        <v>92</v>
      </c>
      <c r="I45" s="416" t="str">
        <f>D127</f>
        <v>5-10</v>
      </c>
      <c r="J45" s="127">
        <f>SUMIF(127:127,I45,128:128)-SUMIF(127:127,C45,128:128)+100</f>
        <v>98</v>
      </c>
      <c r="K45" s="562"/>
      <c r="L45" s="2693"/>
      <c r="M45" s="2694"/>
      <c r="N45" s="2694"/>
      <c r="O45" s="2694"/>
      <c r="P45" s="3719"/>
      <c r="Q45" s="1343" t="str">
        <f t="shared" si="11"/>
        <v>地下占比</v>
      </c>
      <c r="R45" s="701" t="s">
        <v>14</v>
      </c>
      <c r="S45" s="702">
        <f t="shared" si="12"/>
        <v>100</v>
      </c>
      <c r="T45" s="701" t="s">
        <v>14</v>
      </c>
      <c r="U45" s="702">
        <f t="shared" si="13"/>
        <v>92</v>
      </c>
      <c r="V45" s="701" t="s">
        <v>14</v>
      </c>
      <c r="W45" s="702">
        <f t="shared" si="14"/>
        <v>98</v>
      </c>
      <c r="X45" s="703"/>
      <c r="Y45" s="3721"/>
      <c r="Z45" s="52" t="str">
        <f t="shared" si="15"/>
        <v>地下占比</v>
      </c>
      <c r="AA45" s="704">
        <f t="shared" si="3"/>
        <v>1</v>
      </c>
      <c r="AB45" s="704">
        <f t="shared" si="4"/>
        <v>1.0869565217391304</v>
      </c>
      <c r="AC45" s="1959">
        <f t="shared" si="5"/>
        <v>1.0204081632653061</v>
      </c>
    </row>
    <row r="46" spans="1:29" ht="15">
      <c r="A46" s="423"/>
      <c r="B46" s="1133">
        <v>111</v>
      </c>
      <c r="C46" s="420">
        <f>'数据-汇总表'!G27/'数据-汇总表'!E3</f>
        <v>0</v>
      </c>
      <c r="D46" s="386">
        <v>100</v>
      </c>
      <c r="E46" s="383">
        <v>0</v>
      </c>
      <c r="F46" s="412">
        <f>SUMIF(129:129,E46,130:130)-SUMIF(129:129,C46,130:130)+100</f>
        <v>100</v>
      </c>
      <c r="G46" s="383">
        <f>'2021'!K27/'2021'!I27</f>
        <v>0.23398969962009766</v>
      </c>
      <c r="H46" s="386">
        <f>SUMIF(129:129,G46,130:130)-SUMIF(129:129,C46,130:130)+100</f>
        <v>100</v>
      </c>
      <c r="I46" s="383">
        <f>'2021'!K28/'2021'!I28</f>
        <v>5.6666270328302494E-2</v>
      </c>
      <c r="J46" s="386">
        <f>SUMIF(129:129,I46,130:130)-SUMIF(129:129,C46,130:130)+100</f>
        <v>100</v>
      </c>
      <c r="K46" s="562"/>
      <c r="L46" s="2698"/>
      <c r="M46" s="2692"/>
      <c r="N46" s="2692"/>
      <c r="O46" s="2692"/>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1692</v>
      </c>
      <c r="B48" s="431"/>
      <c r="C48" s="1154" t="s">
        <v>0</v>
      </c>
      <c r="D48" s="1155"/>
      <c r="E48" s="1156">
        <f>'2021'!M4</f>
        <v>60981</v>
      </c>
      <c r="F48" s="1157"/>
      <c r="G48" s="1158">
        <f>'2021'!M27</f>
        <v>57198</v>
      </c>
      <c r="H48" s="1159"/>
      <c r="I48" s="1156">
        <f>'2021'!M28</f>
        <v>50944</v>
      </c>
      <c r="J48" s="436"/>
      <c r="K48" s="714"/>
      <c r="L48" s="2700"/>
      <c r="M48" s="2692"/>
      <c r="N48" s="2692"/>
      <c r="O48" s="2692"/>
      <c r="P48" s="3708" t="str">
        <f>A48</f>
        <v>成交单价（元/平方米）</v>
      </c>
      <c r="Q48" s="3709"/>
      <c r="R48" s="3710">
        <f>E48</f>
        <v>60981</v>
      </c>
      <c r="S48" s="3710"/>
      <c r="T48" s="3710">
        <f>G48</f>
        <v>57198</v>
      </c>
      <c r="U48" s="3710"/>
      <c r="V48" s="3710">
        <f>I48</f>
        <v>50944</v>
      </c>
      <c r="W48" s="3710"/>
      <c r="X48" s="397"/>
      <c r="Y48" s="712"/>
      <c r="Z48" s="397"/>
      <c r="AA48" s="397"/>
      <c r="AB48" s="397"/>
      <c r="AC48" s="578"/>
    </row>
    <row r="49" spans="1:60" ht="15.75" thickBot="1">
      <c r="A49" s="437" t="s">
        <v>1777</v>
      </c>
      <c r="B49" s="438"/>
      <c r="C49" s="1160">
        <f>R50</f>
        <v>54545</v>
      </c>
      <c r="D49" s="2317" t="s">
        <v>2122</v>
      </c>
      <c r="E49" s="1161">
        <f>R49</f>
        <v>57055</v>
      </c>
      <c r="F49" s="2318"/>
      <c r="G49" s="1160">
        <f>T49</f>
        <v>59356</v>
      </c>
      <c r="H49" s="2318"/>
      <c r="I49" s="1161">
        <f>V49</f>
        <v>47225</v>
      </c>
      <c r="J49" s="2318"/>
      <c r="K49" s="2320">
        <f>F49+H49+J49</f>
        <v>0</v>
      </c>
      <c r="L49" s="2700"/>
      <c r="M49" s="2692"/>
      <c r="N49" s="2692"/>
      <c r="O49" s="2692"/>
      <c r="P49" s="3708" t="str">
        <f>A49</f>
        <v>比较价值（元/平方米）</v>
      </c>
      <c r="Q49" s="3709"/>
      <c r="R49" s="3710">
        <f>IF(F1="售价",ROUND(PRODUCT(R48,AA7:AA47),0),ROUND(PRODUCT(R48,AA7:AA47),1))</f>
        <v>57055</v>
      </c>
      <c r="S49" s="3710"/>
      <c r="T49" s="3710">
        <f>IF(F1="售价",ROUND(PRODUCT(T48,AB7:AB47),0),ROUND(PRODUCT(T48,AB7:AB47),1))</f>
        <v>59356</v>
      </c>
      <c r="U49" s="3710"/>
      <c r="V49" s="3710">
        <f>IF(F1="售价",ROUND(PRODUCT(V48,AC7:AC47),0),ROUND(PRODUCT(V48,AC7:AC47),1))</f>
        <v>47225</v>
      </c>
      <c r="W49" s="3710"/>
      <c r="X49" s="397"/>
      <c r="Y49" s="397"/>
      <c r="Z49" s="397"/>
      <c r="AA49" s="397"/>
      <c r="AB49" s="397"/>
      <c r="AC49" s="578"/>
    </row>
    <row r="50" spans="1:60" ht="15.75" thickBot="1">
      <c r="A50" s="441" t="s">
        <v>1778</v>
      </c>
      <c r="B50" s="442"/>
      <c r="C50" s="1163">
        <f>R50</f>
        <v>54545</v>
      </c>
      <c r="D50" s="1163"/>
      <c r="E50" s="1163"/>
      <c r="F50" s="1163"/>
      <c r="G50" s="1163"/>
      <c r="H50" s="1163"/>
      <c r="I50" s="1163"/>
      <c r="J50" s="443"/>
      <c r="K50" s="715"/>
      <c r="L50" s="2700"/>
      <c r="M50" s="2692"/>
      <c r="N50" s="2692"/>
      <c r="O50" s="2692"/>
      <c r="P50" s="3711" t="str">
        <f>A50</f>
        <v>估价对象XX用房的比较价值（楼面单价，元/平方米）</v>
      </c>
      <c r="Q50" s="3712"/>
      <c r="R50" s="3713">
        <f>IF(F1="售价",ROUND(IF(D49="简单平均",AVERAGE(R49:V49),R49*F49+T49*H49+V49*J49),0),ROUND(IF(D49="简单平均",AVERAGE(R49:V49),R49*F49+T49*H49+V49*J49),1))</f>
        <v>54545</v>
      </c>
      <c r="S50" s="3713"/>
      <c r="T50" s="3713"/>
      <c r="U50" s="3713"/>
      <c r="V50" s="3713"/>
      <c r="W50" s="3713"/>
      <c r="X50" s="1946"/>
      <c r="Y50" s="1946"/>
      <c r="Z50" s="1946"/>
      <c r="AA50" s="1946"/>
      <c r="AB50" s="1946"/>
      <c r="AC50" s="1947"/>
    </row>
    <row r="51" spans="1:60">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60">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60" ht="13.5" customHeight="1">
      <c r="A53" s="2701"/>
      <c r="B53" s="2701"/>
      <c r="C53" s="446" t="s">
        <v>1779</v>
      </c>
      <c r="D53" s="447"/>
      <c r="E53" s="448">
        <f>IF(E48&lt;E49,E49/E48-1,E48/E49-1)</f>
        <v>6.8810796599772184E-2</v>
      </c>
      <c r="F53" s="449" t="str">
        <f>IF(OR(E53&gt;=0.3,E53&lt;=-0.3),"超过30%","")</f>
        <v/>
      </c>
      <c r="G53" s="448">
        <f>IF(G48&lt;G49,G49/G48-1,G48/G49-1)</f>
        <v>3.7728591908807951E-2</v>
      </c>
      <c r="H53" s="449" t="str">
        <f>IF(OR(G53&gt;=0.3,G53&lt;=-0.3),"超过30%","")</f>
        <v/>
      </c>
      <c r="I53" s="448">
        <f>IF(I48&lt;I49,I49/I48-1,I48/I49-1)</f>
        <v>7.8750661725780935E-2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60" ht="13.5" customHeight="1">
      <c r="A54" s="2701"/>
      <c r="B54" s="2701"/>
      <c r="C54" s="446" t="s">
        <v>1780</v>
      </c>
      <c r="D54" s="450"/>
      <c r="E54" s="448">
        <f>IF(E49&lt;G49,G49/E49-1,E49/G49-1)</f>
        <v>4.032950661642265E-2</v>
      </c>
      <c r="F54" s="449" t="str">
        <f>IF(OR(E54&gt;=0.2,E54&lt;=-0.2),"超过20%","")</f>
        <v/>
      </c>
      <c r="G54" s="448">
        <f>IF(G49&lt;I49,I49/G49-1,G49/I49-1)</f>
        <v>0.25687665431445206</v>
      </c>
      <c r="H54" s="449" t="str">
        <f>IF(OR(G54&gt;=0.2,G54&lt;=-0.2),"超过20%","")</f>
        <v>超过20%</v>
      </c>
      <c r="I54" s="448">
        <f>IF(I49&lt;E49,E49/I49-1,I49/E49-1)</f>
        <v>0.20815246161990464</v>
      </c>
      <c r="J54" s="449" t="str">
        <f>IF(OR(I54&gt;=0.2,I54&lt;=-0.2),"超过20%","")</f>
        <v>超过20%</v>
      </c>
      <c r="K54" s="2706"/>
      <c r="L54" s="2702"/>
      <c r="M54" s="2701"/>
      <c r="N54" s="2701"/>
      <c r="O54" s="2701"/>
      <c r="P54" s="2732"/>
      <c r="Q54" s="2701"/>
      <c r="R54" s="2701"/>
      <c r="S54" s="2701"/>
      <c r="T54" s="2701"/>
      <c r="U54" s="2701"/>
      <c r="V54" s="2701"/>
      <c r="W54" s="2701"/>
      <c r="X54" s="2701"/>
      <c r="Y54" s="2701"/>
      <c r="Z54" s="2701"/>
      <c r="AA54" s="2701"/>
      <c r="AB54" s="2701"/>
      <c r="AC54" s="2701"/>
    </row>
    <row r="55" spans="1:60" s="451" customFormat="1" ht="13.5" customHeight="1">
      <c r="A55" s="2704"/>
      <c r="B55" s="2704"/>
      <c r="C55" s="446" t="s">
        <v>1781</v>
      </c>
      <c r="D55" s="450"/>
      <c r="E55" s="448">
        <f>IF(E48&lt;G48,G48/E48-1,E48/G48-1)</f>
        <v>6.6138676177488698E-2</v>
      </c>
      <c r="F55" s="449" t="str">
        <f>IF(OR(E55&gt;=0.3,E55&lt;=-0.3),"超过30%","")</f>
        <v/>
      </c>
      <c r="G55" s="448">
        <f>IF(G48&lt;I48,I48/G48-1,G48/I48-1)</f>
        <v>0.12276224874371855</v>
      </c>
      <c r="H55" s="449" t="str">
        <f>IF(OR(G55&gt;=0.3,G55&lt;=-0.3),"超过30%","")</f>
        <v/>
      </c>
      <c r="I55" s="448">
        <f>IF(I48&lt;E48,E48/I48-1,I48/E48-1)</f>
        <v>0.19702025753768848</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60"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60">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60"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60"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3454">
        <f t="shared" ref="P59" si="17">EDATE(O59,-1)</f>
        <v>44866</v>
      </c>
      <c r="Q59" s="3454">
        <f t="shared" ref="Q59" si="18">EDATE(P59,-1)</f>
        <v>44835</v>
      </c>
      <c r="R59" s="3454">
        <f t="shared" ref="R59" si="19">EDATE(Q59,-1)</f>
        <v>44805</v>
      </c>
      <c r="S59" s="3454">
        <f t="shared" ref="S59" si="20">EDATE(R59,-1)</f>
        <v>44774</v>
      </c>
      <c r="T59" s="3454">
        <f t="shared" ref="T59" si="21">EDATE(S59,-1)</f>
        <v>44743</v>
      </c>
      <c r="U59" s="3454">
        <f t="shared" ref="U59" si="22">EDATE(T59,-1)</f>
        <v>44713</v>
      </c>
      <c r="V59" s="3454">
        <f t="shared" ref="V59" si="23">EDATE(U59,-1)</f>
        <v>44682</v>
      </c>
      <c r="W59" s="3454">
        <f t="shared" ref="W59" si="24">EDATE(V59,-1)</f>
        <v>44652</v>
      </c>
      <c r="X59" s="3454">
        <f t="shared" ref="X59" si="25">EDATE(W59,-1)</f>
        <v>44621</v>
      </c>
      <c r="Y59" s="3454">
        <f t="shared" ref="Y59" si="26">EDATE(X59,-1)</f>
        <v>44593</v>
      </c>
      <c r="Z59" s="3454">
        <f t="shared" ref="Z59" si="27">EDATE(Y59,-1)</f>
        <v>44562</v>
      </c>
      <c r="AA59" s="3454">
        <f t="shared" ref="AA59" si="28">EDATE(Z59,-1)</f>
        <v>44531</v>
      </c>
      <c r="AB59" s="3454">
        <f t="shared" ref="AB59" si="29">EDATE(AA59,-1)</f>
        <v>44501</v>
      </c>
      <c r="AC59" s="3454">
        <f t="shared" ref="AC59" si="30">EDATE(AB59,-1)</f>
        <v>44470</v>
      </c>
      <c r="AD59" s="3454">
        <f t="shared" ref="AD59" si="31">EDATE(AC59,-1)</f>
        <v>44440</v>
      </c>
      <c r="AE59" s="3454">
        <f t="shared" ref="AE59" si="32">EDATE(AD59,-1)</f>
        <v>44409</v>
      </c>
      <c r="AF59" s="3454">
        <f t="shared" ref="AF59" si="33">EDATE(AE59,-1)</f>
        <v>44378</v>
      </c>
      <c r="AG59" s="3454">
        <f t="shared" ref="AG59" si="34">EDATE(AF59,-1)</f>
        <v>44348</v>
      </c>
      <c r="AH59" s="3454">
        <f t="shared" ref="AH59" si="35">EDATE(AG59,-1)</f>
        <v>44317</v>
      </c>
      <c r="AI59" s="3454">
        <f t="shared" ref="AI59" si="36">EDATE(AH59,-1)</f>
        <v>44287</v>
      </c>
      <c r="AJ59" s="3454">
        <f t="shared" ref="AJ59" si="37">EDATE(AI59,-1)</f>
        <v>44256</v>
      </c>
      <c r="AK59" s="3454">
        <f t="shared" ref="AK59" si="38">EDATE(AJ59,-1)</f>
        <v>44228</v>
      </c>
      <c r="AL59" s="3454">
        <f t="shared" ref="AL59" si="39">EDATE(AK59,-1)</f>
        <v>44197</v>
      </c>
      <c r="AM59" s="3454">
        <f t="shared" ref="AM59" si="40">EDATE(AL59,-1)</f>
        <v>44166</v>
      </c>
      <c r="AN59" s="3454">
        <f t="shared" ref="AN59" si="41">EDATE(AM59,-1)</f>
        <v>44136</v>
      </c>
      <c r="AO59" s="3454">
        <f t="shared" ref="AO59" si="42">EDATE(AN59,-1)</f>
        <v>44105</v>
      </c>
      <c r="AP59" s="3454">
        <f t="shared" ref="AP59" si="43">EDATE(AO59,-1)</f>
        <v>44075</v>
      </c>
      <c r="AQ59" s="3454">
        <f t="shared" ref="AQ59" si="44">EDATE(AP59,-1)</f>
        <v>44044</v>
      </c>
      <c r="AR59" s="3454">
        <f t="shared" ref="AR59" si="45">EDATE(AQ59,-1)</f>
        <v>44013</v>
      </c>
      <c r="AS59" s="3454">
        <f t="shared" ref="AS59" si="46">EDATE(AR59,-1)</f>
        <v>43983</v>
      </c>
      <c r="AT59" s="3454">
        <f t="shared" ref="AT59" si="47">EDATE(AS59,-1)</f>
        <v>43952</v>
      </c>
      <c r="AU59" s="3454">
        <f t="shared" ref="AU59" si="48">EDATE(AT59,-1)</f>
        <v>43922</v>
      </c>
      <c r="AV59" s="3454">
        <f t="shared" ref="AV59" si="49">EDATE(AU59,-1)</f>
        <v>43891</v>
      </c>
      <c r="AW59" s="3454">
        <f t="shared" ref="AW59" si="50">EDATE(AV59,-1)</f>
        <v>43862</v>
      </c>
      <c r="AX59" s="3454">
        <f t="shared" ref="AX59" si="51">EDATE(AW59,-1)</f>
        <v>43831</v>
      </c>
      <c r="AY59" s="3454">
        <f t="shared" ref="AY59" si="52">EDATE(AX59,-1)</f>
        <v>43800</v>
      </c>
      <c r="AZ59" s="3454">
        <f t="shared" ref="AZ59" si="53">EDATE(AY59,-1)</f>
        <v>43770</v>
      </c>
      <c r="BA59" s="3454">
        <f t="shared" ref="BA59" si="54">EDATE(AZ59,-1)</f>
        <v>43739</v>
      </c>
      <c r="BB59" s="3454">
        <f t="shared" ref="BB59" si="55">EDATE(BA59,-1)</f>
        <v>43709</v>
      </c>
      <c r="BC59" s="3454">
        <f t="shared" ref="BC59" si="56">EDATE(BB59,-1)</f>
        <v>43678</v>
      </c>
      <c r="BD59" s="3454">
        <f t="shared" ref="BD59" si="57">EDATE(BC59,-1)</f>
        <v>43647</v>
      </c>
      <c r="BE59" s="3454">
        <f t="shared" ref="BE59" si="58">EDATE(BD59,-1)</f>
        <v>43617</v>
      </c>
      <c r="BF59" s="3454">
        <f t="shared" ref="BF59" si="59">EDATE(BE59,-1)</f>
        <v>43586</v>
      </c>
      <c r="BG59" s="3454">
        <f t="shared" ref="BG59" si="60">EDATE(BF59,-1)</f>
        <v>43556</v>
      </c>
      <c r="BH59" s="3454">
        <f t="shared" ref="BH59" si="61">EDATE(BG59,-1)</f>
        <v>43525</v>
      </c>
    </row>
    <row r="60" spans="1:60"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f>N60-1</f>
        <v>99</v>
      </c>
      <c r="P60" s="461">
        <f>O60</f>
        <v>99</v>
      </c>
      <c r="Q60" s="461">
        <f>P60</f>
        <v>99</v>
      </c>
      <c r="R60" s="461">
        <f>Q60</f>
        <v>99</v>
      </c>
      <c r="S60" s="461">
        <f>R60</f>
        <v>99</v>
      </c>
      <c r="T60" s="461">
        <f>S60</f>
        <v>99</v>
      </c>
      <c r="U60" s="461">
        <f>T60</f>
        <v>99</v>
      </c>
      <c r="V60" s="461">
        <f>U60</f>
        <v>99</v>
      </c>
      <c r="W60" s="461">
        <f>V60</f>
        <v>99</v>
      </c>
      <c r="X60" s="461">
        <f>W60</f>
        <v>99</v>
      </c>
      <c r="Y60" s="461">
        <f>X60</f>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60" s="108" customFormat="1" ht="15">
      <c r="A62" s="470" t="s">
        <v>1665</v>
      </c>
      <c r="B62" s="459"/>
      <c r="C62" s="471" t="s">
        <v>1760</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60"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60">
      <c r="A64" s="476" t="s">
        <v>1703</v>
      </c>
      <c r="B64" s="477" t="s">
        <v>1669</v>
      </c>
      <c r="C64" s="478" t="str">
        <f>C9</f>
        <v>商业</v>
      </c>
      <c r="D64" s="3453" t="s">
        <v>3411</v>
      </c>
      <c r="E64" s="3453" t="s">
        <v>3462</v>
      </c>
      <c r="F64" s="3453" t="s">
        <v>4562</v>
      </c>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v>100</v>
      </c>
      <c r="E65" s="485">
        <v>100</v>
      </c>
      <c r="F65" s="485">
        <v>99</v>
      </c>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t="s">
        <v>3400</v>
      </c>
      <c r="D66" s="532" t="s">
        <v>3402</v>
      </c>
      <c r="E66" s="3455" t="s">
        <v>3412</v>
      </c>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106</v>
      </c>
      <c r="D67" s="485">
        <v>110</v>
      </c>
      <c r="E67" s="485">
        <v>100</v>
      </c>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62">D69&amp;"（含）"&amp;"-"&amp;E69</f>
        <v>3（含）-</v>
      </c>
      <c r="E68" s="496" t="str">
        <f t="shared" si="62"/>
        <v>（含）-</v>
      </c>
      <c r="F68" s="496" t="str">
        <f t="shared" si="62"/>
        <v>（含）-</v>
      </c>
      <c r="G68" s="496" t="str">
        <f t="shared" si="62"/>
        <v>（含）-</v>
      </c>
      <c r="H68" s="496" t="str">
        <f t="shared" si="62"/>
        <v>（含）-</v>
      </c>
      <c r="I68" s="496" t="str">
        <f t="shared" si="62"/>
        <v>（含）-</v>
      </c>
      <c r="J68" s="496" t="str">
        <f t="shared" si="62"/>
        <v>（含）-</v>
      </c>
      <c r="K68" s="496" t="str">
        <f t="shared" si="62"/>
        <v>（含）-</v>
      </c>
      <c r="L68" s="496" t="str">
        <f t="shared" si="62"/>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63">C70-$K11</f>
        <v>100</v>
      </c>
      <c r="E70" s="493">
        <f t="shared" si="63"/>
        <v>100</v>
      </c>
      <c r="F70" s="493">
        <f t="shared" si="63"/>
        <v>100</v>
      </c>
      <c r="G70" s="493">
        <f t="shared" si="63"/>
        <v>100</v>
      </c>
      <c r="H70" s="493">
        <f t="shared" si="63"/>
        <v>100</v>
      </c>
      <c r="I70" s="493">
        <f t="shared" si="63"/>
        <v>100</v>
      </c>
      <c r="J70" s="493">
        <f t="shared" si="63"/>
        <v>100</v>
      </c>
      <c r="K70" s="493">
        <f t="shared" si="63"/>
        <v>100</v>
      </c>
      <c r="L70" s="493">
        <f t="shared" si="63"/>
        <v>100</v>
      </c>
      <c r="M70" s="494">
        <f t="shared" si="63"/>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t="str">
        <f>B12</f>
        <v>建成</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98</v>
      </c>
      <c r="E84" s="493">
        <f>D84-$K21</f>
        <v>96</v>
      </c>
      <c r="F84" s="493">
        <f>E84-$K21</f>
        <v>94</v>
      </c>
      <c r="G84" s="493">
        <f>F84-$K21</f>
        <v>92</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64">C88-$K25</f>
        <v>100</v>
      </c>
      <c r="E88" s="493">
        <f t="shared" si="64"/>
        <v>100</v>
      </c>
      <c r="F88" s="493">
        <f t="shared" si="64"/>
        <v>100</v>
      </c>
      <c r="G88" s="493">
        <f t="shared" si="64"/>
        <v>100</v>
      </c>
      <c r="H88" s="493">
        <f t="shared" si="64"/>
        <v>100</v>
      </c>
      <c r="I88" s="493">
        <f t="shared" si="64"/>
        <v>100</v>
      </c>
      <c r="J88" s="493">
        <f t="shared" si="64"/>
        <v>100</v>
      </c>
      <c r="K88" s="493">
        <f t="shared" si="64"/>
        <v>100</v>
      </c>
      <c r="L88" s="493">
        <f t="shared" si="64"/>
        <v>100</v>
      </c>
      <c r="M88" s="493">
        <f t="shared" si="64"/>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65">D90-$K27</f>
        <v>100</v>
      </c>
      <c r="F90" s="493">
        <f t="shared" si="65"/>
        <v>100</v>
      </c>
      <c r="G90" s="493">
        <f t="shared" si="65"/>
        <v>100</v>
      </c>
      <c r="H90" s="493">
        <f t="shared" si="65"/>
        <v>100</v>
      </c>
      <c r="I90" s="493">
        <f t="shared" si="65"/>
        <v>100</v>
      </c>
      <c r="J90" s="493">
        <f t="shared" si="65"/>
        <v>100</v>
      </c>
      <c r="K90" s="493">
        <f t="shared" si="65"/>
        <v>100</v>
      </c>
      <c r="L90" s="493">
        <f t="shared" si="65"/>
        <v>100</v>
      </c>
      <c r="M90" s="493">
        <f t="shared" si="65"/>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66">C92-$K28</f>
        <v>100</v>
      </c>
      <c r="E92" s="493">
        <f t="shared" si="66"/>
        <v>100</v>
      </c>
      <c r="F92" s="493">
        <f t="shared" si="66"/>
        <v>100</v>
      </c>
      <c r="G92" s="493">
        <f t="shared" si="66"/>
        <v>100</v>
      </c>
      <c r="H92" s="493">
        <f t="shared" si="66"/>
        <v>100</v>
      </c>
      <c r="I92" s="493">
        <f t="shared" si="66"/>
        <v>100</v>
      </c>
      <c r="J92" s="493">
        <f t="shared" si="66"/>
        <v>100</v>
      </c>
      <c r="K92" s="493">
        <f t="shared" si="66"/>
        <v>100</v>
      </c>
      <c r="L92" s="493">
        <f t="shared" si="66"/>
        <v>100</v>
      </c>
      <c r="M92" s="493">
        <f t="shared" si="66"/>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t="str">
        <f>B29</f>
        <v>商业繁华度</v>
      </c>
      <c r="C93" s="3859" t="s">
        <v>4564</v>
      </c>
      <c r="D93" s="3859" t="s">
        <v>4565</v>
      </c>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v>100</v>
      </c>
      <c r="D94" s="485">
        <f>C94+K15</f>
        <v>105</v>
      </c>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3453" t="s">
        <v>4566</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67">C102-$K33</f>
        <v>100</v>
      </c>
      <c r="E102" s="493">
        <f t="shared" si="67"/>
        <v>100</v>
      </c>
      <c r="F102" s="493">
        <f t="shared" si="67"/>
        <v>100</v>
      </c>
      <c r="G102" s="493">
        <f t="shared" si="67"/>
        <v>100</v>
      </c>
      <c r="H102" s="493">
        <f t="shared" si="67"/>
        <v>100</v>
      </c>
      <c r="I102" s="493">
        <f t="shared" si="67"/>
        <v>100</v>
      </c>
      <c r="J102" s="493">
        <f t="shared" si="67"/>
        <v>100</v>
      </c>
      <c r="K102" s="493">
        <f t="shared" si="67"/>
        <v>100</v>
      </c>
      <c r="L102" s="493">
        <f t="shared" si="67"/>
        <v>100</v>
      </c>
      <c r="M102" s="494">
        <f t="shared" si="67"/>
        <v>100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1721</v>
      </c>
      <c r="C103" s="527" t="str">
        <f>C104&amp;"(含)"&amp;"-"&amp;D104</f>
        <v>0(含)-10000</v>
      </c>
      <c r="D103" s="527" t="str">
        <f t="shared" ref="D103:L103" si="68">D104&amp;"(含)"&amp;"-"&amp;E104</f>
        <v>10000(含)-20000</v>
      </c>
      <c r="E103" s="527" t="str">
        <f t="shared" si="68"/>
        <v>20000(含)-30000</v>
      </c>
      <c r="F103" s="527" t="str">
        <f t="shared" si="68"/>
        <v>30000(含)-40000</v>
      </c>
      <c r="G103" s="527" t="str">
        <f t="shared" si="68"/>
        <v>40000(含)-50000</v>
      </c>
      <c r="H103" s="527" t="str">
        <f t="shared" si="68"/>
        <v>50000(含)-</v>
      </c>
      <c r="I103" s="527" t="str">
        <f t="shared" si="68"/>
        <v>(含)-</v>
      </c>
      <c r="J103" s="527" t="str">
        <f t="shared" si="68"/>
        <v>(含)-</v>
      </c>
      <c r="K103" s="527" t="str">
        <f t="shared" si="68"/>
        <v>(含)-</v>
      </c>
      <c r="L103" s="527" t="str">
        <f t="shared" si="68"/>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20000</v>
      </c>
      <c r="F104" s="544">
        <v>30000</v>
      </c>
      <c r="G104" s="545">
        <v>40000</v>
      </c>
      <c r="H104" s="545">
        <v>50000</v>
      </c>
      <c r="I104" s="546"/>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3859" t="s">
        <v>4567</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69">C107-$K35</f>
        <v>98</v>
      </c>
      <c r="E107" s="493">
        <f t="shared" si="69"/>
        <v>96</v>
      </c>
      <c r="F107" s="493">
        <f t="shared" si="69"/>
        <v>94</v>
      </c>
      <c r="G107" s="493">
        <f t="shared" si="69"/>
        <v>92</v>
      </c>
      <c r="H107" s="493">
        <f t="shared" si="69"/>
        <v>90</v>
      </c>
      <c r="I107" s="493">
        <f t="shared" si="69"/>
        <v>88</v>
      </c>
      <c r="J107" s="493">
        <f t="shared" si="69"/>
        <v>86</v>
      </c>
      <c r="K107" s="493">
        <f t="shared" si="69"/>
        <v>84</v>
      </c>
      <c r="L107" s="493">
        <f t="shared" si="69"/>
        <v>82</v>
      </c>
      <c r="M107" s="494">
        <f t="shared" si="69"/>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3859" t="s">
        <v>4569</v>
      </c>
      <c r="D108" s="3859" t="s">
        <v>4571</v>
      </c>
      <c r="E108" s="3859" t="s">
        <v>4572</v>
      </c>
      <c r="F108" s="3862" t="s">
        <v>4573</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70">C109-$K36</f>
        <v>98</v>
      </c>
      <c r="E109" s="493">
        <f t="shared" si="70"/>
        <v>96</v>
      </c>
      <c r="F109" s="493">
        <f t="shared" si="70"/>
        <v>94</v>
      </c>
      <c r="G109" s="493">
        <f t="shared" si="70"/>
        <v>92</v>
      </c>
      <c r="H109" s="493">
        <f t="shared" si="70"/>
        <v>90</v>
      </c>
      <c r="I109" s="493">
        <f t="shared" si="70"/>
        <v>88</v>
      </c>
      <c r="J109" s="493">
        <f t="shared" si="70"/>
        <v>86</v>
      </c>
      <c r="K109" s="493">
        <f t="shared" si="70"/>
        <v>84</v>
      </c>
      <c r="L109" s="493">
        <f t="shared" si="70"/>
        <v>82</v>
      </c>
      <c r="M109" s="494">
        <f t="shared" si="70"/>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102</v>
      </c>
      <c r="E112" s="493">
        <f t="shared" ref="E112:M112" si="71">D112+$K37</f>
        <v>104</v>
      </c>
      <c r="F112" s="493">
        <f t="shared" si="71"/>
        <v>106</v>
      </c>
      <c r="G112" s="493">
        <f t="shared" si="71"/>
        <v>108</v>
      </c>
      <c r="H112" s="493">
        <f t="shared" si="71"/>
        <v>110</v>
      </c>
      <c r="I112" s="493">
        <f t="shared" si="71"/>
        <v>112</v>
      </c>
      <c r="J112" s="493">
        <f t="shared" si="71"/>
        <v>114</v>
      </c>
      <c r="K112" s="493">
        <f t="shared" si="71"/>
        <v>116</v>
      </c>
      <c r="L112" s="493">
        <f t="shared" si="71"/>
        <v>118</v>
      </c>
      <c r="M112" s="493">
        <f t="shared" si="71"/>
        <v>120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72">D114-$K38</f>
        <v>100</v>
      </c>
      <c r="F114" s="493">
        <f t="shared" si="72"/>
        <v>100</v>
      </c>
      <c r="G114" s="493">
        <f t="shared" si="72"/>
        <v>100</v>
      </c>
      <c r="H114" s="493">
        <f t="shared" si="72"/>
        <v>100</v>
      </c>
      <c r="I114" s="493">
        <f t="shared" si="72"/>
        <v>100</v>
      </c>
      <c r="J114" s="493">
        <f t="shared" si="72"/>
        <v>100</v>
      </c>
      <c r="K114" s="493">
        <f t="shared" si="72"/>
        <v>100</v>
      </c>
      <c r="L114" s="493">
        <f t="shared" si="72"/>
        <v>100</v>
      </c>
      <c r="M114" s="493">
        <f t="shared" si="72"/>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3859" t="s">
        <v>4575</v>
      </c>
      <c r="D115" s="3859" t="s">
        <v>4576</v>
      </c>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73">C116-$K39</f>
        <v>98</v>
      </c>
      <c r="E116" s="493">
        <f t="shared" si="73"/>
        <v>96</v>
      </c>
      <c r="F116" s="493">
        <f t="shared" si="73"/>
        <v>94</v>
      </c>
      <c r="G116" s="493">
        <f t="shared" si="73"/>
        <v>92</v>
      </c>
      <c r="H116" s="493">
        <f t="shared" si="73"/>
        <v>90</v>
      </c>
      <c r="I116" s="493">
        <f t="shared" si="73"/>
        <v>88</v>
      </c>
      <c r="J116" s="493">
        <f t="shared" si="73"/>
        <v>86</v>
      </c>
      <c r="K116" s="493">
        <f t="shared" si="73"/>
        <v>84</v>
      </c>
      <c r="L116" s="493">
        <f t="shared" si="73"/>
        <v>82</v>
      </c>
      <c r="M116" s="494">
        <f t="shared" si="73"/>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3862" t="s">
        <v>4577</v>
      </c>
      <c r="D119" s="3862" t="s">
        <v>4579</v>
      </c>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74">D120-$K41</f>
        <v>96</v>
      </c>
      <c r="F120" s="493">
        <f t="shared" si="74"/>
        <v>94</v>
      </c>
      <c r="G120" s="493">
        <f t="shared" si="74"/>
        <v>92</v>
      </c>
      <c r="H120" s="493">
        <f t="shared" si="74"/>
        <v>90</v>
      </c>
      <c r="I120" s="493">
        <f t="shared" si="74"/>
        <v>88</v>
      </c>
      <c r="J120" s="493">
        <f t="shared" si="74"/>
        <v>86</v>
      </c>
      <c r="K120" s="493">
        <f t="shared" si="74"/>
        <v>84</v>
      </c>
      <c r="L120" s="493">
        <f t="shared" si="74"/>
        <v>82</v>
      </c>
      <c r="M120" s="493">
        <f t="shared" si="74"/>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75">C124-$K43</f>
        <v>98</v>
      </c>
      <c r="E124" s="493">
        <f t="shared" si="75"/>
        <v>96</v>
      </c>
      <c r="F124" s="493">
        <f t="shared" si="75"/>
        <v>94</v>
      </c>
      <c r="G124" s="493">
        <f t="shared" si="75"/>
        <v>92</v>
      </c>
      <c r="H124" s="493">
        <f t="shared" si="75"/>
        <v>90</v>
      </c>
      <c r="I124" s="493">
        <f t="shared" si="75"/>
        <v>88</v>
      </c>
      <c r="J124" s="493">
        <f t="shared" si="75"/>
        <v>86</v>
      </c>
      <c r="K124" s="493">
        <f t="shared" si="75"/>
        <v>84</v>
      </c>
      <c r="L124" s="493">
        <f t="shared" si="75"/>
        <v>82</v>
      </c>
      <c r="M124" s="494">
        <f t="shared" si="75"/>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地下占比</v>
      </c>
      <c r="C127" s="503">
        <v>0</v>
      </c>
      <c r="D127" s="3452" t="s">
        <v>4580</v>
      </c>
      <c r="E127" s="3452" t="s">
        <v>3431</v>
      </c>
      <c r="F127" s="3452" t="s">
        <v>3432</v>
      </c>
      <c r="G127" s="3452" t="s">
        <v>3433</v>
      </c>
      <c r="H127" s="504" t="s">
        <v>3434</v>
      </c>
      <c r="I127" s="504" t="s">
        <v>4581</v>
      </c>
      <c r="J127" s="504" t="s">
        <v>4582</v>
      </c>
      <c r="K127" s="504" t="s">
        <v>4583</v>
      </c>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v>100</v>
      </c>
      <c r="D128" s="485">
        <f>C128-2</f>
        <v>98</v>
      </c>
      <c r="E128" s="485">
        <f t="shared" ref="E128:K128" si="76">D128-2</f>
        <v>96</v>
      </c>
      <c r="F128" s="485">
        <f t="shared" si="76"/>
        <v>94</v>
      </c>
      <c r="G128" s="485">
        <f t="shared" si="76"/>
        <v>92</v>
      </c>
      <c r="H128" s="485">
        <f t="shared" si="76"/>
        <v>90</v>
      </c>
      <c r="I128" s="485">
        <f t="shared" si="76"/>
        <v>88</v>
      </c>
      <c r="J128" s="485">
        <f t="shared" si="76"/>
        <v>86</v>
      </c>
      <c r="K128" s="485">
        <f t="shared" si="76"/>
        <v>84</v>
      </c>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3"/>
      <c r="G1" s="1489"/>
      <c r="H1" s="1489"/>
      <c r="I1" s="1489"/>
      <c r="J1" s="1489"/>
      <c r="K1" s="1489"/>
      <c r="L1" s="1489"/>
      <c r="M1" s="1489"/>
      <c r="N1" s="1489"/>
      <c r="O1" s="1489"/>
      <c r="P1" s="1489"/>
      <c r="Q1" s="1489"/>
      <c r="R1" s="1489"/>
      <c r="S1" s="1489"/>
    </row>
    <row r="2" spans="1:22" ht="15.75">
      <c r="A2" s="1870" t="s">
        <v>1446</v>
      </c>
      <c r="B2" s="1871">
        <f ca="1">SUMIF(B6:B13,"&lt;&gt;#ref!",B6:B13)</f>
        <v>36434</v>
      </c>
      <c r="C2" s="1872" t="s">
        <v>1635</v>
      </c>
      <c r="D2" s="1873" t="s">
        <v>1636</v>
      </c>
      <c r="E2" s="2584">
        <f>SUM(E6:E13)</f>
        <v>13128.449999999992</v>
      </c>
      <c r="F2" s="2683"/>
      <c r="G2" s="1489"/>
      <c r="H2" s="1489"/>
      <c r="I2" s="1489"/>
      <c r="J2" s="1489"/>
      <c r="K2" s="1489"/>
      <c r="L2" s="1489"/>
      <c r="M2" s="1489"/>
      <c r="N2" s="1489"/>
      <c r="O2" s="1489"/>
      <c r="P2" s="1489"/>
      <c r="Q2" s="1489"/>
      <c r="R2" s="1489"/>
      <c r="S2" s="1489"/>
    </row>
    <row r="3" spans="1:22" ht="15.75">
      <c r="A3" s="1870" t="s">
        <v>686</v>
      </c>
      <c r="B3" s="2578">
        <f ca="1">ROUND(B2*10000/E2,0)</f>
        <v>27752</v>
      </c>
      <c r="C3" s="1872"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1637</v>
      </c>
      <c r="B5" s="3760" t="s">
        <v>1638</v>
      </c>
      <c r="C5" s="3761"/>
      <c r="D5" s="2684"/>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36434</v>
      </c>
      <c r="C6" s="1872" t="s">
        <v>1635</v>
      </c>
      <c r="D6" s="2685"/>
      <c r="E6" s="2583">
        <f>IF(OR(A6=0,F6="否"),0,'数据-取费表'!K6+'数据-取费表'!S6)</f>
        <v>13128.449999999992</v>
      </c>
      <c r="F6" s="1876" t="s">
        <v>1641</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1635</v>
      </c>
      <c r="D7" s="2685"/>
      <c r="E7" s="2583">
        <f>IF(OR(A7=0,F7="否"),0,'数据-取费表'!K7+'数据-取费表'!S7)</f>
        <v>0</v>
      </c>
      <c r="F7" s="1876" t="s">
        <v>1641</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1635</v>
      </c>
      <c r="D8" s="2685"/>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5"/>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5"/>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5"/>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5"/>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6"/>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2"/>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13128.449999999992</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1650</v>
      </c>
      <c r="B4" s="356"/>
      <c r="C4" s="3726" t="s">
        <v>1651</v>
      </c>
      <c r="D4" s="3727"/>
      <c r="E4" s="3728" t="s">
        <v>1652</v>
      </c>
      <c r="F4" s="3729"/>
      <c r="G4" s="3726" t="s">
        <v>1653</v>
      </c>
      <c r="H4" s="3727"/>
      <c r="I4" s="3726" t="s">
        <v>1654</v>
      </c>
      <c r="J4" s="3727"/>
      <c r="K4" s="1889" t="s">
        <v>1655</v>
      </c>
      <c r="L4" s="2691"/>
      <c r="M4" s="2692"/>
      <c r="N4" s="2692"/>
      <c r="O4" s="2692"/>
      <c r="P4" s="3766" t="s">
        <v>1656</v>
      </c>
      <c r="Q4" s="3767"/>
      <c r="R4" s="3770" t="s">
        <v>1652</v>
      </c>
      <c r="S4" s="3771"/>
      <c r="T4" s="3770" t="s">
        <v>1653</v>
      </c>
      <c r="U4" s="3771"/>
      <c r="V4" s="3743" t="s">
        <v>1654</v>
      </c>
      <c r="W4" s="3743"/>
      <c r="X4" s="1355"/>
      <c r="Y4" s="3770" t="s">
        <v>1656</v>
      </c>
      <c r="Z4" s="3771"/>
      <c r="AA4" s="3765" t="s">
        <v>1652</v>
      </c>
      <c r="AB4" s="3765" t="s">
        <v>1653</v>
      </c>
      <c r="AC4" s="3765" t="s">
        <v>1654</v>
      </c>
    </row>
    <row r="5" spans="1:29" ht="15">
      <c r="A5" s="358"/>
      <c r="B5" s="359"/>
      <c r="C5" s="3752" t="s">
        <v>1657</v>
      </c>
      <c r="D5" s="3747"/>
      <c r="E5" s="3758" t="s">
        <v>1658</v>
      </c>
      <c r="F5" s="3759"/>
      <c r="G5" s="3752" t="s">
        <v>1659</v>
      </c>
      <c r="H5" s="3747"/>
      <c r="I5" s="3752" t="s">
        <v>1660</v>
      </c>
      <c r="J5" s="3747"/>
      <c r="K5" s="1890"/>
      <c r="L5" s="2691"/>
      <c r="M5" s="2692"/>
      <c r="N5" s="2692"/>
      <c r="O5" s="2692"/>
      <c r="P5" s="3768"/>
      <c r="Q5" s="3733"/>
      <c r="R5" s="3738"/>
      <c r="S5" s="3739"/>
      <c r="T5" s="3738"/>
      <c r="U5" s="3739"/>
      <c r="V5" s="3743"/>
      <c r="W5" s="3743"/>
      <c r="X5" s="1355"/>
      <c r="Y5" s="3738"/>
      <c r="Z5" s="3739"/>
      <c r="AA5" s="3756"/>
      <c r="AB5" s="3756"/>
      <c r="AC5" s="3756"/>
    </row>
    <row r="6" spans="1:29" ht="15.75" thickBot="1">
      <c r="A6" s="360"/>
      <c r="B6" s="361"/>
      <c r="C6" s="3744" t="s">
        <v>1661</v>
      </c>
      <c r="D6" s="3745"/>
      <c r="E6" s="3753" t="s">
        <v>1661</v>
      </c>
      <c r="F6" s="3754"/>
      <c r="G6" s="3744" t="s">
        <v>1661</v>
      </c>
      <c r="H6" s="3745"/>
      <c r="I6" s="3744" t="s">
        <v>1661</v>
      </c>
      <c r="J6" s="3745"/>
      <c r="K6" s="1890" t="s">
        <v>1662</v>
      </c>
      <c r="L6" s="2691"/>
      <c r="M6" s="2692"/>
      <c r="N6" s="2692"/>
      <c r="O6" s="2692"/>
      <c r="P6" s="3769"/>
      <c r="Q6" s="3735"/>
      <c r="R6" s="3738"/>
      <c r="S6" s="3739"/>
      <c r="T6" s="3740"/>
      <c r="U6" s="3741"/>
      <c r="V6" s="3743"/>
      <c r="W6" s="3743"/>
      <c r="X6" s="1355"/>
      <c r="Y6" s="3740"/>
      <c r="Z6" s="3741"/>
      <c r="AA6" s="3757"/>
      <c r="AB6" s="3757"/>
      <c r="AC6" s="3757"/>
    </row>
    <row r="7" spans="1:29" s="108" customFormat="1" ht="15.75" thickBot="1">
      <c r="A7" s="362" t="s">
        <v>1663</v>
      </c>
      <c r="B7" s="363"/>
      <c r="C7" s="364">
        <f>'数据-取费表'!B2</f>
        <v>45279</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750" t="s">
        <v>1664</v>
      </c>
      <c r="Q7" s="3751"/>
      <c r="R7" s="701" t="s">
        <v>20</v>
      </c>
      <c r="S7" s="702">
        <f t="shared" ref="S7:S15" si="0">F7</f>
        <v>0</v>
      </c>
      <c r="T7" s="701" t="s">
        <v>20</v>
      </c>
      <c r="U7" s="702">
        <f t="shared" ref="U7:U15" si="1">H7</f>
        <v>0</v>
      </c>
      <c r="V7" s="701" t="s">
        <v>20</v>
      </c>
      <c r="W7" s="702">
        <f t="shared" ref="W7:W15" si="2">J7</f>
        <v>0</v>
      </c>
      <c r="X7" s="703"/>
      <c r="Y7" s="3750" t="s">
        <v>1664</v>
      </c>
      <c r="Z7" s="3749"/>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750" t="s">
        <v>1667</v>
      </c>
      <c r="Q8" s="3749"/>
      <c r="R8" s="701" t="s">
        <v>20</v>
      </c>
      <c r="S8" s="702">
        <f t="shared" si="0"/>
        <v>100</v>
      </c>
      <c r="T8" s="701" t="s">
        <v>20</v>
      </c>
      <c r="U8" s="702">
        <f t="shared" si="1"/>
        <v>100</v>
      </c>
      <c r="V8" s="701" t="s">
        <v>20</v>
      </c>
      <c r="W8" s="702">
        <f t="shared" si="2"/>
        <v>100</v>
      </c>
      <c r="X8" s="703"/>
      <c r="Y8" s="3750" t="s">
        <v>1667</v>
      </c>
      <c r="Z8" s="3749"/>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08" t="s">
        <v>1670</v>
      </c>
      <c r="Q9" s="1343" t="str">
        <f t="shared" ref="Q9:Q15" si="6">B9</f>
        <v>用途</v>
      </c>
      <c r="R9" s="701" t="s">
        <v>14</v>
      </c>
      <c r="S9" s="702">
        <f t="shared" si="0"/>
        <v>100</v>
      </c>
      <c r="T9" s="701" t="s">
        <v>14</v>
      </c>
      <c r="U9" s="702">
        <f t="shared" si="1"/>
        <v>100</v>
      </c>
      <c r="V9" s="701" t="s">
        <v>14</v>
      </c>
      <c r="W9" s="702">
        <f t="shared" si="2"/>
        <v>100</v>
      </c>
      <c r="X9" s="703"/>
      <c r="Y9" s="3587"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08"/>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08"/>
      <c r="Q11" s="1343" t="str">
        <f t="shared" si="6"/>
        <v>容积率</v>
      </c>
      <c r="R11" s="701" t="s">
        <v>18</v>
      </c>
      <c r="S11" s="702" t="e">
        <f t="shared" si="0"/>
        <v>#N/A</v>
      </c>
      <c r="T11" s="701" t="s">
        <v>18</v>
      </c>
      <c r="U11" s="702" t="e">
        <f t="shared" si="1"/>
        <v>#N/A</v>
      </c>
      <c r="V11" s="701" t="s">
        <v>18</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08"/>
      <c r="Q12" s="1343">
        <f t="shared" si="6"/>
        <v>111</v>
      </c>
      <c r="R12" s="701" t="s">
        <v>18</v>
      </c>
      <c r="S12" s="702">
        <f t="shared" si="0"/>
        <v>100</v>
      </c>
      <c r="T12" s="701" t="s">
        <v>18</v>
      </c>
      <c r="U12" s="702">
        <f t="shared" si="1"/>
        <v>100</v>
      </c>
      <c r="V12" s="701" t="s">
        <v>18</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08"/>
      <c r="Q13" s="1343">
        <f t="shared" si="6"/>
        <v>111</v>
      </c>
      <c r="R13" s="701" t="s">
        <v>18</v>
      </c>
      <c r="S13" s="702">
        <f t="shared" si="0"/>
        <v>100</v>
      </c>
      <c r="T13" s="701" t="s">
        <v>18</v>
      </c>
      <c r="U13" s="702">
        <f t="shared" si="1"/>
        <v>100</v>
      </c>
      <c r="V13" s="701" t="s">
        <v>18</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08"/>
      <c r="Q14" s="1343">
        <f t="shared" si="6"/>
        <v>111</v>
      </c>
      <c r="R14" s="701" t="s">
        <v>18</v>
      </c>
      <c r="S14" s="702">
        <f t="shared" si="0"/>
        <v>100</v>
      </c>
      <c r="T14" s="701" t="s">
        <v>18</v>
      </c>
      <c r="U14" s="702">
        <f t="shared" si="1"/>
        <v>100</v>
      </c>
      <c r="V14" s="701" t="s">
        <v>18</v>
      </c>
      <c r="W14" s="702">
        <f t="shared" si="2"/>
        <v>100</v>
      </c>
      <c r="X14" s="703"/>
      <c r="Y14" s="3587"/>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14" t="s">
        <v>1675</v>
      </c>
      <c r="Q15" s="1352" t="str">
        <f t="shared" si="6"/>
        <v>居住社区成熟度</v>
      </c>
      <c r="R15" s="705" t="s">
        <v>18</v>
      </c>
      <c r="S15" s="706">
        <f t="shared" si="0"/>
        <v>100</v>
      </c>
      <c r="T15" s="705" t="s">
        <v>18</v>
      </c>
      <c r="U15" s="706">
        <f t="shared" si="1"/>
        <v>100</v>
      </c>
      <c r="V15" s="705" t="s">
        <v>18</v>
      </c>
      <c r="W15" s="706">
        <f t="shared" si="2"/>
        <v>100</v>
      </c>
      <c r="X15" s="1355"/>
      <c r="Y15" s="3716"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15"/>
      <c r="Q16" s="1352"/>
      <c r="R16" s="705"/>
      <c r="S16" s="706"/>
      <c r="T16" s="705"/>
      <c r="U16" s="706"/>
      <c r="V16" s="705"/>
      <c r="W16" s="706"/>
      <c r="X16" s="1355"/>
      <c r="Y16" s="371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15"/>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15"/>
      <c r="Q18" s="1352"/>
      <c r="R18" s="705"/>
      <c r="S18" s="706"/>
      <c r="T18" s="705"/>
      <c r="U18" s="706"/>
      <c r="V18" s="705"/>
      <c r="W18" s="706"/>
      <c r="X18" s="1355"/>
      <c r="Y18" s="371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15"/>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15"/>
      <c r="Q20" s="1352"/>
      <c r="R20" s="705"/>
      <c r="S20" s="706"/>
      <c r="T20" s="705"/>
      <c r="U20" s="706"/>
      <c r="V20" s="705"/>
      <c r="W20" s="706"/>
      <c r="X20" s="1355"/>
      <c r="Y20" s="371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15"/>
      <c r="Q22" s="1352"/>
      <c r="R22" s="705"/>
      <c r="S22" s="706"/>
      <c r="T22" s="705"/>
      <c r="U22" s="706"/>
      <c r="V22" s="705"/>
      <c r="W22" s="706"/>
      <c r="X22" s="1355"/>
      <c r="Y22" s="371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15"/>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15"/>
      <c r="Q24" s="1352"/>
      <c r="R24" s="705"/>
      <c r="S24" s="706"/>
      <c r="T24" s="705"/>
      <c r="U24" s="706"/>
      <c r="V24" s="705"/>
      <c r="W24" s="706"/>
      <c r="X24" s="1355"/>
      <c r="Y24" s="3717"/>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15"/>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15"/>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15"/>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15"/>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15"/>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15"/>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18" t="s">
        <v>1680</v>
      </c>
      <c r="Q32" s="1352" t="str">
        <f t="shared" si="11"/>
        <v>建筑类型</v>
      </c>
      <c r="R32" s="705" t="s">
        <v>18</v>
      </c>
      <c r="S32" s="706">
        <f t="shared" si="12"/>
        <v>100</v>
      </c>
      <c r="T32" s="705" t="s">
        <v>18</v>
      </c>
      <c r="U32" s="706">
        <f t="shared" si="13"/>
        <v>100</v>
      </c>
      <c r="V32" s="705" t="s">
        <v>18</v>
      </c>
      <c r="W32" s="706">
        <f t="shared" si="14"/>
        <v>100</v>
      </c>
      <c r="X32" s="1355"/>
      <c r="Y32" s="3721"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19" t="s">
        <v>1680</v>
      </c>
      <c r="Q38" s="1352" t="str">
        <f t="shared" si="11"/>
        <v>物业管理</v>
      </c>
      <c r="R38" s="705" t="s">
        <v>18</v>
      </c>
      <c r="S38" s="706">
        <f t="shared" si="12"/>
        <v>100</v>
      </c>
      <c r="T38" s="705" t="s">
        <v>18</v>
      </c>
      <c r="U38" s="706">
        <f t="shared" si="13"/>
        <v>100</v>
      </c>
      <c r="V38" s="705" t="s">
        <v>18</v>
      </c>
      <c r="W38" s="706">
        <f t="shared" si="14"/>
        <v>100</v>
      </c>
      <c r="X38" s="1355"/>
      <c r="Y38" s="3721"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0"/>
      <c r="M47" s="2701"/>
      <c r="N47" s="2692"/>
      <c r="O47" s="2701"/>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0"/>
      <c r="M48" s="2701"/>
      <c r="N48" s="2701"/>
      <c r="O48" s="2701"/>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0"/>
      <c r="M49" s="2701"/>
      <c r="N49" s="2701"/>
      <c r="O49" s="2701"/>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2"/>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13128.449999999992</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1753</v>
      </c>
      <c r="B4" s="356"/>
      <c r="C4" s="3726" t="s">
        <v>1754</v>
      </c>
      <c r="D4" s="3727"/>
      <c r="E4" s="3728" t="s">
        <v>1755</v>
      </c>
      <c r="F4" s="3729"/>
      <c r="G4" s="3726" t="s">
        <v>1756</v>
      </c>
      <c r="H4" s="3727"/>
      <c r="I4" s="3726" t="s">
        <v>1757</v>
      </c>
      <c r="J4" s="3727"/>
      <c r="K4" s="559" t="s">
        <v>1758</v>
      </c>
      <c r="L4" s="2691"/>
      <c r="M4" s="2692"/>
      <c r="N4" s="2692"/>
      <c r="O4" s="2692"/>
      <c r="P4" s="3766" t="s">
        <v>1759</v>
      </c>
      <c r="Q4" s="3767"/>
      <c r="R4" s="3770" t="s">
        <v>1755</v>
      </c>
      <c r="S4" s="3771"/>
      <c r="T4" s="3770" t="s">
        <v>1756</v>
      </c>
      <c r="U4" s="3771"/>
      <c r="V4" s="3743" t="s">
        <v>1757</v>
      </c>
      <c r="W4" s="3743"/>
      <c r="X4" s="1355"/>
      <c r="Y4" s="3770" t="s">
        <v>1759</v>
      </c>
      <c r="Z4" s="3771"/>
      <c r="AA4" s="3765" t="s">
        <v>1755</v>
      </c>
      <c r="AB4" s="3743" t="s">
        <v>1756</v>
      </c>
      <c r="AC4" s="3765" t="s">
        <v>1757</v>
      </c>
    </row>
    <row r="5" spans="1:29" ht="15">
      <c r="A5" s="358"/>
      <c r="B5" s="359"/>
      <c r="C5" s="3752" t="s">
        <v>1657</v>
      </c>
      <c r="D5" s="3747"/>
      <c r="E5" s="3758" t="s">
        <v>1658</v>
      </c>
      <c r="F5" s="3759"/>
      <c r="G5" s="3752" t="s">
        <v>1659</v>
      </c>
      <c r="H5" s="3747"/>
      <c r="I5" s="3752" t="s">
        <v>1660</v>
      </c>
      <c r="J5" s="3747"/>
      <c r="K5" s="559"/>
      <c r="L5" s="2691"/>
      <c r="M5" s="2692"/>
      <c r="N5" s="2692"/>
      <c r="O5" s="2692"/>
      <c r="P5" s="3768"/>
      <c r="Q5" s="3733"/>
      <c r="R5" s="3738"/>
      <c r="S5" s="3739"/>
      <c r="T5" s="3738"/>
      <c r="U5" s="3739"/>
      <c r="V5" s="3743"/>
      <c r="W5" s="3743"/>
      <c r="X5" s="1355"/>
      <c r="Y5" s="3738"/>
      <c r="Z5" s="3739"/>
      <c r="AA5" s="3756"/>
      <c r="AB5" s="3743"/>
      <c r="AC5" s="3756"/>
    </row>
    <row r="6" spans="1:29" ht="15.75" thickBot="1">
      <c r="A6" s="360"/>
      <c r="B6" s="361"/>
      <c r="C6" s="3744" t="s">
        <v>1661</v>
      </c>
      <c r="D6" s="3745"/>
      <c r="E6" s="3753" t="s">
        <v>1661</v>
      </c>
      <c r="F6" s="3754"/>
      <c r="G6" s="3744" t="s">
        <v>1661</v>
      </c>
      <c r="H6" s="3745"/>
      <c r="I6" s="3744" t="s">
        <v>1661</v>
      </c>
      <c r="J6" s="3745"/>
      <c r="K6" s="559" t="s">
        <v>1662</v>
      </c>
      <c r="L6" s="2691"/>
      <c r="M6" s="2692"/>
      <c r="N6" s="2692"/>
      <c r="O6" s="2692"/>
      <c r="P6" s="3769"/>
      <c r="Q6" s="3735"/>
      <c r="R6" s="3738"/>
      <c r="S6" s="3739"/>
      <c r="T6" s="3740"/>
      <c r="U6" s="3741"/>
      <c r="V6" s="3743"/>
      <c r="W6" s="3743"/>
      <c r="X6" s="1355"/>
      <c r="Y6" s="3740"/>
      <c r="Z6" s="3741"/>
      <c r="AA6" s="3757"/>
      <c r="AB6" s="3743"/>
      <c r="AC6" s="3757"/>
    </row>
    <row r="7" spans="1:29" s="108" customFormat="1" ht="15.75" thickBot="1">
      <c r="A7" s="362" t="s">
        <v>1663</v>
      </c>
      <c r="B7" s="363"/>
      <c r="C7" s="364">
        <f>'数据-取费表'!B2</f>
        <v>45279</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50" t="s">
        <v>1664</v>
      </c>
      <c r="Q7" s="3751"/>
      <c r="R7" s="701" t="s">
        <v>14</v>
      </c>
      <c r="S7" s="702">
        <f t="shared" ref="S7:S15" si="0">F7</f>
        <v>0</v>
      </c>
      <c r="T7" s="701" t="s">
        <v>14</v>
      </c>
      <c r="U7" s="702">
        <f t="shared" ref="U7:U15" si="1">H7</f>
        <v>0</v>
      </c>
      <c r="V7" s="701" t="s">
        <v>14</v>
      </c>
      <c r="W7" s="702">
        <f t="shared" ref="W7:W15" si="2">J7</f>
        <v>0</v>
      </c>
      <c r="X7" s="703"/>
      <c r="Y7" s="3750" t="s">
        <v>1664</v>
      </c>
      <c r="Z7" s="3749"/>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50" t="s">
        <v>1667</v>
      </c>
      <c r="Q8" s="3749"/>
      <c r="R8" s="701" t="s">
        <v>14</v>
      </c>
      <c r="S8" s="702">
        <f t="shared" si="0"/>
        <v>100</v>
      </c>
      <c r="T8" s="701" t="s">
        <v>14</v>
      </c>
      <c r="U8" s="702">
        <f t="shared" si="1"/>
        <v>100</v>
      </c>
      <c r="V8" s="701" t="s">
        <v>14</v>
      </c>
      <c r="W8" s="702">
        <f t="shared" si="2"/>
        <v>100</v>
      </c>
      <c r="X8" s="703"/>
      <c r="Y8" s="3750" t="s">
        <v>1667</v>
      </c>
      <c r="Z8" s="3749"/>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08" t="s">
        <v>1670</v>
      </c>
      <c r="Q9" s="1343" t="str">
        <f t="shared" ref="Q9:Q15" si="6">B9</f>
        <v>用途</v>
      </c>
      <c r="R9" s="701" t="s">
        <v>14</v>
      </c>
      <c r="S9" s="702">
        <f t="shared" si="0"/>
        <v>100</v>
      </c>
      <c r="T9" s="701" t="s">
        <v>14</v>
      </c>
      <c r="U9" s="702">
        <f t="shared" si="1"/>
        <v>100</v>
      </c>
      <c r="V9" s="701" t="s">
        <v>14</v>
      </c>
      <c r="W9" s="702">
        <f t="shared" si="2"/>
        <v>100</v>
      </c>
      <c r="X9" s="703"/>
      <c r="Y9" s="3587"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08"/>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08"/>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08"/>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0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08"/>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14" t="s">
        <v>1675</v>
      </c>
      <c r="Q15" s="1352" t="str">
        <f t="shared" si="6"/>
        <v>商业繁华度</v>
      </c>
      <c r="R15" s="705" t="s">
        <v>14</v>
      </c>
      <c r="S15" s="706">
        <f t="shared" si="0"/>
        <v>100</v>
      </c>
      <c r="T15" s="705" t="s">
        <v>14</v>
      </c>
      <c r="U15" s="706">
        <f t="shared" si="1"/>
        <v>100</v>
      </c>
      <c r="V15" s="705" t="s">
        <v>14</v>
      </c>
      <c r="W15" s="706">
        <f t="shared" si="2"/>
        <v>100</v>
      </c>
      <c r="X15" s="1355"/>
      <c r="Y15" s="3716"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15"/>
      <c r="Q16" s="1352"/>
      <c r="R16" s="705"/>
      <c r="S16" s="706"/>
      <c r="T16" s="705"/>
      <c r="U16" s="706"/>
      <c r="V16" s="705"/>
      <c r="W16" s="706"/>
      <c r="X16" s="1355"/>
      <c r="Y16" s="3717"/>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15"/>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15"/>
      <c r="Q18" s="1352"/>
      <c r="R18" s="705"/>
      <c r="S18" s="706"/>
      <c r="T18" s="705"/>
      <c r="U18" s="706"/>
      <c r="V18" s="705"/>
      <c r="W18" s="706"/>
      <c r="X18" s="1355"/>
      <c r="Y18" s="3717"/>
      <c r="Z18" s="1356"/>
      <c r="AA18" s="1353">
        <v>1</v>
      </c>
      <c r="AB18" s="1353">
        <v>1</v>
      </c>
      <c r="AC18" s="1353">
        <v>1</v>
      </c>
    </row>
    <row r="19" spans="1:29" ht="1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15"/>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15"/>
      <c r="Q20" s="1352"/>
      <c r="R20" s="705"/>
      <c r="S20" s="706"/>
      <c r="T20" s="705"/>
      <c r="U20" s="706"/>
      <c r="V20" s="705"/>
      <c r="W20" s="706"/>
      <c r="X20" s="1355"/>
      <c r="Y20" s="3717"/>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15"/>
      <c r="Q22" s="1352"/>
      <c r="R22" s="705"/>
      <c r="S22" s="706"/>
      <c r="T22" s="705"/>
      <c r="U22" s="706"/>
      <c r="V22" s="705"/>
      <c r="W22" s="706"/>
      <c r="X22" s="1355"/>
      <c r="Y22" s="3717"/>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15"/>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15"/>
      <c r="Q24" s="1352"/>
      <c r="R24" s="705"/>
      <c r="S24" s="706"/>
      <c r="T24" s="705"/>
      <c r="U24" s="706"/>
      <c r="V24" s="705"/>
      <c r="W24" s="706"/>
      <c r="X24" s="1355"/>
      <c r="Y24" s="3717"/>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15"/>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15"/>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15"/>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15"/>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15"/>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15"/>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18" t="s">
        <v>1680</v>
      </c>
      <c r="Q32" s="1352" t="str">
        <f t="shared" si="11"/>
        <v>商业类型</v>
      </c>
      <c r="R32" s="705" t="s">
        <v>14</v>
      </c>
      <c r="S32" s="706">
        <f t="shared" si="12"/>
        <v>100</v>
      </c>
      <c r="T32" s="705" t="s">
        <v>14</v>
      </c>
      <c r="U32" s="706">
        <f t="shared" si="13"/>
        <v>100</v>
      </c>
      <c r="V32" s="705" t="s">
        <v>14</v>
      </c>
      <c r="W32" s="706">
        <f t="shared" si="14"/>
        <v>100</v>
      </c>
      <c r="X32" s="1355"/>
      <c r="Y32" s="3721"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19" t="s">
        <v>1680</v>
      </c>
      <c r="Q38" s="1352" t="str">
        <f t="shared" si="11"/>
        <v>业态</v>
      </c>
      <c r="R38" s="705" t="s">
        <v>14</v>
      </c>
      <c r="S38" s="706">
        <f t="shared" si="12"/>
        <v>100</v>
      </c>
      <c r="T38" s="705" t="s">
        <v>14</v>
      </c>
      <c r="U38" s="706">
        <f t="shared" si="13"/>
        <v>100</v>
      </c>
      <c r="V38" s="705" t="s">
        <v>14</v>
      </c>
      <c r="W38" s="706">
        <f t="shared" si="14"/>
        <v>100</v>
      </c>
      <c r="X38" s="1355"/>
      <c r="Y38" s="3721"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0"/>
      <c r="M47" s="2701"/>
      <c r="N47" s="2692"/>
      <c r="O47" s="2701"/>
      <c r="P47" s="3709" t="str">
        <f>A47</f>
        <v>成交单价（元/平方米）</v>
      </c>
      <c r="Q47" s="3709"/>
      <c r="R47" s="3743">
        <f>E47</f>
        <v>0</v>
      </c>
      <c r="S47" s="3743"/>
      <c r="T47" s="3743">
        <f>G47</f>
        <v>0</v>
      </c>
      <c r="U47" s="3743"/>
      <c r="V47" s="3743">
        <f>I47</f>
        <v>0</v>
      </c>
      <c r="W47" s="3743"/>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0"/>
      <c r="M48" s="2701"/>
      <c r="N48" s="2692"/>
      <c r="O48" s="2701"/>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0"/>
      <c r="M49" s="2701"/>
      <c r="N49" s="2692"/>
      <c r="O49" s="2701"/>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13128.449999999992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726" t="s">
        <v>1754</v>
      </c>
      <c r="D4" s="3727"/>
      <c r="E4" s="3728" t="s">
        <v>1755</v>
      </c>
      <c r="F4" s="3729"/>
      <c r="G4" s="3726" t="s">
        <v>1756</v>
      </c>
      <c r="H4" s="3727"/>
      <c r="I4" s="3726" t="s">
        <v>1757</v>
      </c>
      <c r="J4" s="3727"/>
      <c r="K4" s="559" t="s">
        <v>1758</v>
      </c>
      <c r="L4" s="913"/>
      <c r="M4" s="914"/>
      <c r="N4" s="914"/>
      <c r="O4" s="914"/>
      <c r="P4" s="3766" t="s">
        <v>1759</v>
      </c>
      <c r="Q4" s="3767"/>
      <c r="R4" s="3770" t="s">
        <v>1755</v>
      </c>
      <c r="S4" s="3771"/>
      <c r="T4" s="3770" t="s">
        <v>1756</v>
      </c>
      <c r="U4" s="3771"/>
      <c r="V4" s="3743" t="s">
        <v>1757</v>
      </c>
      <c r="W4" s="3743"/>
      <c r="X4" s="1355"/>
      <c r="Y4" s="3770" t="s">
        <v>1759</v>
      </c>
      <c r="Z4" s="3771"/>
      <c r="AA4" s="3765" t="s">
        <v>1755</v>
      </c>
      <c r="AB4" s="3756" t="s">
        <v>1756</v>
      </c>
      <c r="AC4" s="3765" t="s">
        <v>1757</v>
      </c>
    </row>
    <row r="5" spans="1:29" ht="15">
      <c r="A5" s="358"/>
      <c r="B5" s="359"/>
      <c r="C5" s="3752" t="s">
        <v>1657</v>
      </c>
      <c r="D5" s="3747"/>
      <c r="E5" s="3758" t="s">
        <v>1658</v>
      </c>
      <c r="F5" s="3759"/>
      <c r="G5" s="3752" t="s">
        <v>1659</v>
      </c>
      <c r="H5" s="3747"/>
      <c r="I5" s="3752" t="s">
        <v>1660</v>
      </c>
      <c r="J5" s="3747"/>
      <c r="K5" s="559"/>
      <c r="L5" s="913"/>
      <c r="M5" s="914"/>
      <c r="N5" s="914"/>
      <c r="O5" s="914"/>
      <c r="P5" s="3768"/>
      <c r="Q5" s="3733"/>
      <c r="R5" s="3738"/>
      <c r="S5" s="3739"/>
      <c r="T5" s="3738"/>
      <c r="U5" s="3739"/>
      <c r="V5" s="3743"/>
      <c r="W5" s="3743"/>
      <c r="X5" s="1355"/>
      <c r="Y5" s="3738"/>
      <c r="Z5" s="3739"/>
      <c r="AA5" s="3756"/>
      <c r="AB5" s="3756"/>
      <c r="AC5" s="3756"/>
    </row>
    <row r="6" spans="1:29" ht="15.75" thickBot="1">
      <c r="A6" s="360"/>
      <c r="B6" s="361"/>
      <c r="C6" s="3744" t="s">
        <v>1661</v>
      </c>
      <c r="D6" s="3745"/>
      <c r="E6" s="3753" t="s">
        <v>1661</v>
      </c>
      <c r="F6" s="3754"/>
      <c r="G6" s="3744" t="s">
        <v>1661</v>
      </c>
      <c r="H6" s="3745"/>
      <c r="I6" s="3744" t="s">
        <v>1661</v>
      </c>
      <c r="J6" s="3745"/>
      <c r="K6" s="559" t="s">
        <v>1662</v>
      </c>
      <c r="L6" s="913"/>
      <c r="M6" s="914"/>
      <c r="N6" s="914"/>
      <c r="O6" s="914"/>
      <c r="P6" s="3769"/>
      <c r="Q6" s="3735"/>
      <c r="R6" s="3738"/>
      <c r="S6" s="3739"/>
      <c r="T6" s="3740"/>
      <c r="U6" s="3741"/>
      <c r="V6" s="3743"/>
      <c r="W6" s="3743"/>
      <c r="X6" s="1355"/>
      <c r="Y6" s="3740"/>
      <c r="Z6" s="3741"/>
      <c r="AA6" s="3757"/>
      <c r="AB6" s="3757"/>
      <c r="AC6" s="3757"/>
    </row>
    <row r="7" spans="1:29" s="108" customFormat="1" ht="15.75" thickBot="1">
      <c r="A7" s="362" t="s">
        <v>1663</v>
      </c>
      <c r="B7" s="363"/>
      <c r="C7" s="364">
        <f>'数据-取费表'!B2</f>
        <v>45279</v>
      </c>
      <c r="D7" s="365">
        <v>100</v>
      </c>
      <c r="E7" s="366"/>
      <c r="F7" s="367">
        <f>SUMIF(52:52,YEAR(E7)&amp;"-"&amp;MONTH(E7),53:53)</f>
        <v>0</v>
      </c>
      <c r="G7" s="366"/>
      <c r="H7" s="365">
        <f>SUMIF(52:52,YEAR(G7)&amp;"-"&amp;MONTH(G7),53:53)</f>
        <v>0</v>
      </c>
      <c r="I7" s="366"/>
      <c r="J7" s="365">
        <f>SUMIF(52:52,YEAR(I7)&amp;"-"&amp;MONTH(I7),53:53)</f>
        <v>0</v>
      </c>
      <c r="K7" s="560"/>
      <c r="L7" s="915"/>
      <c r="M7" s="916"/>
      <c r="N7" s="916"/>
      <c r="O7" s="916"/>
      <c r="P7" s="3750" t="s">
        <v>1664</v>
      </c>
      <c r="Q7" s="3751"/>
      <c r="R7" s="701" t="s">
        <v>14</v>
      </c>
      <c r="S7" s="702">
        <f t="shared" ref="S7:S15" si="0">F7</f>
        <v>0</v>
      </c>
      <c r="T7" s="701" t="s">
        <v>14</v>
      </c>
      <c r="U7" s="702">
        <f t="shared" ref="U7:U15" si="1">H7</f>
        <v>0</v>
      </c>
      <c r="V7" s="701" t="s">
        <v>14</v>
      </c>
      <c r="W7" s="702">
        <f t="shared" ref="W7:W15" si="2">J7</f>
        <v>0</v>
      </c>
      <c r="X7" s="703"/>
      <c r="Y7" s="3750" t="s">
        <v>1664</v>
      </c>
      <c r="Z7" s="3749"/>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0" t="s">
        <v>1667</v>
      </c>
      <c r="Q8" s="3749"/>
      <c r="R8" s="701" t="s">
        <v>14</v>
      </c>
      <c r="S8" s="702">
        <f t="shared" si="0"/>
        <v>100</v>
      </c>
      <c r="T8" s="701" t="s">
        <v>14</v>
      </c>
      <c r="U8" s="702">
        <f t="shared" si="1"/>
        <v>100</v>
      </c>
      <c r="V8" s="701" t="s">
        <v>14</v>
      </c>
      <c r="W8" s="702">
        <f t="shared" si="2"/>
        <v>100</v>
      </c>
      <c r="X8" s="703"/>
      <c r="Y8" s="3750" t="s">
        <v>1667</v>
      </c>
      <c r="Z8" s="3749"/>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1670</v>
      </c>
      <c r="Q9" s="1343" t="str">
        <f t="shared" ref="Q9:Q15" si="6">B9</f>
        <v>用途</v>
      </c>
      <c r="R9" s="701" t="s">
        <v>14</v>
      </c>
      <c r="S9" s="702">
        <f t="shared" si="0"/>
        <v>100</v>
      </c>
      <c r="T9" s="701" t="s">
        <v>14</v>
      </c>
      <c r="U9" s="702">
        <f t="shared" si="1"/>
        <v>100</v>
      </c>
      <c r="V9" s="701" t="s">
        <v>14</v>
      </c>
      <c r="W9" s="702">
        <f t="shared" si="2"/>
        <v>100</v>
      </c>
      <c r="X9" s="703"/>
      <c r="Y9" s="3587"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1675</v>
      </c>
      <c r="Q15" s="1352" t="str">
        <f t="shared" si="6"/>
        <v>产业集聚程度</v>
      </c>
      <c r="R15" s="705" t="s">
        <v>14</v>
      </c>
      <c r="S15" s="706">
        <f t="shared" si="0"/>
        <v>100</v>
      </c>
      <c r="T15" s="705" t="s">
        <v>14</v>
      </c>
      <c r="U15" s="706">
        <f t="shared" si="1"/>
        <v>100</v>
      </c>
      <c r="V15" s="705" t="s">
        <v>14</v>
      </c>
      <c r="W15" s="706">
        <f t="shared" si="2"/>
        <v>100</v>
      </c>
      <c r="X15" s="1355"/>
      <c r="Y15" s="3716"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1680</v>
      </c>
      <c r="Q29" s="1352" t="str">
        <f t="shared" si="11"/>
        <v>建筑类型</v>
      </c>
      <c r="R29" s="705" t="s">
        <v>14</v>
      </c>
      <c r="S29" s="706">
        <f t="shared" si="12"/>
        <v>100</v>
      </c>
      <c r="T29" s="705" t="s">
        <v>14</v>
      </c>
      <c r="U29" s="706">
        <f t="shared" si="13"/>
        <v>100</v>
      </c>
      <c r="V29" s="705" t="s">
        <v>14</v>
      </c>
      <c r="W29" s="706">
        <f t="shared" si="14"/>
        <v>100</v>
      </c>
      <c r="X29" s="1355"/>
      <c r="Y29" s="3721"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1680</v>
      </c>
      <c r="Q35" s="1352" t="str">
        <f t="shared" si="11"/>
        <v>市政基础设施</v>
      </c>
      <c r="R35" s="705" t="s">
        <v>14</v>
      </c>
      <c r="S35" s="706">
        <f t="shared" si="12"/>
        <v>100</v>
      </c>
      <c r="T35" s="705" t="s">
        <v>14</v>
      </c>
      <c r="U35" s="706">
        <f t="shared" si="13"/>
        <v>100</v>
      </c>
      <c r="V35" s="705" t="s">
        <v>14</v>
      </c>
      <c r="W35" s="706">
        <f t="shared" si="14"/>
        <v>100</v>
      </c>
      <c r="X35" s="1355"/>
      <c r="Y35" s="3721"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09"/>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726" t="s">
        <v>1754</v>
      </c>
      <c r="D4" s="3727"/>
      <c r="E4" s="3728" t="s">
        <v>1755</v>
      </c>
      <c r="F4" s="3729"/>
      <c r="G4" s="3726" t="s">
        <v>1756</v>
      </c>
      <c r="H4" s="3727"/>
      <c r="I4" s="3726" t="s">
        <v>1757</v>
      </c>
      <c r="J4" s="3727"/>
      <c r="K4" s="559" t="s">
        <v>1758</v>
      </c>
      <c r="L4" s="2691"/>
      <c r="M4" s="2692"/>
      <c r="N4" s="2692"/>
      <c r="O4" s="2692"/>
      <c r="P4" s="3766" t="s">
        <v>1759</v>
      </c>
      <c r="Q4" s="3767"/>
      <c r="R4" s="3770" t="s">
        <v>1755</v>
      </c>
      <c r="S4" s="3771"/>
      <c r="T4" s="3770" t="s">
        <v>1756</v>
      </c>
      <c r="U4" s="3771"/>
      <c r="V4" s="3743" t="s">
        <v>1757</v>
      </c>
      <c r="W4" s="3743"/>
      <c r="X4" s="1355"/>
      <c r="Y4" s="3770" t="s">
        <v>1759</v>
      </c>
      <c r="Z4" s="3771"/>
      <c r="AA4" s="3765" t="s">
        <v>1755</v>
      </c>
      <c r="AB4" s="3756" t="s">
        <v>1756</v>
      </c>
      <c r="AC4" s="3765" t="s">
        <v>1757</v>
      </c>
    </row>
    <row r="5" spans="1:29" ht="15">
      <c r="A5" s="358"/>
      <c r="B5" s="359"/>
      <c r="C5" s="3752" t="s">
        <v>1657</v>
      </c>
      <c r="D5" s="3747"/>
      <c r="E5" s="3758" t="s">
        <v>1658</v>
      </c>
      <c r="F5" s="3759"/>
      <c r="G5" s="3752" t="s">
        <v>1659</v>
      </c>
      <c r="H5" s="3747"/>
      <c r="I5" s="3752" t="s">
        <v>1660</v>
      </c>
      <c r="J5" s="3747"/>
      <c r="K5" s="559"/>
      <c r="L5" s="2691"/>
      <c r="M5" s="2692"/>
      <c r="N5" s="2692"/>
      <c r="O5" s="2692"/>
      <c r="P5" s="3768"/>
      <c r="Q5" s="3733"/>
      <c r="R5" s="3738"/>
      <c r="S5" s="3739"/>
      <c r="T5" s="3738"/>
      <c r="U5" s="3739"/>
      <c r="V5" s="3743"/>
      <c r="W5" s="3743"/>
      <c r="X5" s="1355"/>
      <c r="Y5" s="3738"/>
      <c r="Z5" s="3739"/>
      <c r="AA5" s="3756"/>
      <c r="AB5" s="3756"/>
      <c r="AC5" s="3756"/>
    </row>
    <row r="6" spans="1:29" ht="15.75" thickBot="1">
      <c r="A6" s="360"/>
      <c r="B6" s="361"/>
      <c r="C6" s="3744" t="s">
        <v>1661</v>
      </c>
      <c r="D6" s="3745"/>
      <c r="E6" s="3753" t="s">
        <v>1661</v>
      </c>
      <c r="F6" s="3754"/>
      <c r="G6" s="3744" t="s">
        <v>1661</v>
      </c>
      <c r="H6" s="3745"/>
      <c r="I6" s="3744" t="s">
        <v>1661</v>
      </c>
      <c r="J6" s="3745"/>
      <c r="K6" s="559" t="s">
        <v>1662</v>
      </c>
      <c r="L6" s="2691"/>
      <c r="M6" s="2692"/>
      <c r="N6" s="2692"/>
      <c r="O6" s="2692"/>
      <c r="P6" s="3769"/>
      <c r="Q6" s="3735"/>
      <c r="R6" s="3738"/>
      <c r="S6" s="3739"/>
      <c r="T6" s="3740"/>
      <c r="U6" s="3741"/>
      <c r="V6" s="3743"/>
      <c r="W6" s="3743"/>
      <c r="X6" s="1355"/>
      <c r="Y6" s="3740"/>
      <c r="Z6" s="3741"/>
      <c r="AA6" s="3757"/>
      <c r="AB6" s="3757"/>
      <c r="AC6" s="3757"/>
    </row>
    <row r="7" spans="1:29" s="108" customFormat="1" ht="15.75" thickBot="1">
      <c r="A7" s="362" t="s">
        <v>1663</v>
      </c>
      <c r="B7" s="363"/>
      <c r="C7" s="364">
        <f>'数据-取费表'!B2</f>
        <v>45279</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50" t="s">
        <v>1664</v>
      </c>
      <c r="Q7" s="3751"/>
      <c r="R7" s="701" t="s">
        <v>14</v>
      </c>
      <c r="S7" s="702">
        <f t="shared" ref="S7:S14" si="0">F7</f>
        <v>0</v>
      </c>
      <c r="T7" s="701" t="s">
        <v>14</v>
      </c>
      <c r="U7" s="702">
        <f t="shared" ref="U7:U14" si="1">H7</f>
        <v>0</v>
      </c>
      <c r="V7" s="701" t="s">
        <v>14</v>
      </c>
      <c r="W7" s="702">
        <f t="shared" ref="W7:W14" si="2">J7</f>
        <v>0</v>
      </c>
      <c r="X7" s="703"/>
      <c r="Y7" s="3750" t="s">
        <v>1664</v>
      </c>
      <c r="Z7" s="3749"/>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50" t="s">
        <v>1667</v>
      </c>
      <c r="Q8" s="3749"/>
      <c r="R8" s="701" t="s">
        <v>14</v>
      </c>
      <c r="S8" s="702">
        <f t="shared" si="0"/>
        <v>100</v>
      </c>
      <c r="T8" s="701" t="s">
        <v>14</v>
      </c>
      <c r="U8" s="702">
        <f t="shared" si="1"/>
        <v>100</v>
      </c>
      <c r="V8" s="701" t="s">
        <v>14</v>
      </c>
      <c r="W8" s="702">
        <f t="shared" si="2"/>
        <v>100</v>
      </c>
      <c r="X8" s="703"/>
      <c r="Y8" s="3750" t="s">
        <v>1667</v>
      </c>
      <c r="Z8" s="3749"/>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09" t="s">
        <v>1670</v>
      </c>
      <c r="Q9" s="1343" t="str">
        <f t="shared" ref="Q9:Q14" si="6">B9</f>
        <v>用途</v>
      </c>
      <c r="R9" s="701" t="s">
        <v>14</v>
      </c>
      <c r="S9" s="702">
        <f t="shared" si="0"/>
        <v>100</v>
      </c>
      <c r="T9" s="701" t="s">
        <v>14</v>
      </c>
      <c r="U9" s="702">
        <f t="shared" si="1"/>
        <v>100</v>
      </c>
      <c r="V9" s="701" t="s">
        <v>14</v>
      </c>
      <c r="W9" s="702">
        <f t="shared" si="2"/>
        <v>100</v>
      </c>
      <c r="X9" s="703"/>
      <c r="Y9" s="3587" t="s">
        <v>1671</v>
      </c>
      <c r="Z9" s="52" t="str">
        <f t="shared" ref="Z9:Z14" si="7">Q9</f>
        <v>用途</v>
      </c>
      <c r="AA9" s="704">
        <f t="shared" si="3"/>
        <v>1</v>
      </c>
      <c r="AB9" s="704">
        <f t="shared" si="4"/>
        <v>1</v>
      </c>
      <c r="AC9" s="704">
        <f t="shared" si="5"/>
        <v>1</v>
      </c>
    </row>
    <row r="10" spans="1:29" s="378" customFormat="1" ht="27">
      <c r="A10" s="589"/>
      <c r="B10" s="590" t="s">
        <v>1672</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09"/>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09"/>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09"/>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09"/>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16" t="s">
        <v>1675</v>
      </c>
      <c r="Q14" s="1352" t="str">
        <f t="shared" si="6"/>
        <v>交通便捷度</v>
      </c>
      <c r="R14" s="705" t="s">
        <v>14</v>
      </c>
      <c r="S14" s="706">
        <f t="shared" si="0"/>
        <v>100</v>
      </c>
      <c r="T14" s="705" t="s">
        <v>14</v>
      </c>
      <c r="U14" s="706">
        <f t="shared" si="1"/>
        <v>100</v>
      </c>
      <c r="V14" s="705" t="s">
        <v>14</v>
      </c>
      <c r="W14" s="706">
        <f t="shared" si="2"/>
        <v>100</v>
      </c>
      <c r="X14" s="1355"/>
      <c r="Y14" s="3716"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17"/>
      <c r="Q15" s="1352"/>
      <c r="R15" s="705"/>
      <c r="S15" s="706"/>
      <c r="T15" s="705"/>
      <c r="U15" s="706"/>
      <c r="V15" s="705"/>
      <c r="W15" s="706"/>
      <c r="X15" s="1355"/>
      <c r="Y15" s="3717"/>
      <c r="Z15" s="1356"/>
      <c r="AA15" s="1353">
        <v>1</v>
      </c>
      <c r="AB15" s="1353">
        <v>1</v>
      </c>
      <c r="AC15" s="1353">
        <v>1</v>
      </c>
    </row>
    <row r="16" spans="1:29" ht="1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17"/>
      <c r="Q17" s="1352"/>
      <c r="R17" s="705"/>
      <c r="S17" s="706"/>
      <c r="T17" s="705"/>
      <c r="U17" s="706"/>
      <c r="V17" s="705"/>
      <c r="W17" s="706"/>
      <c r="X17" s="1355"/>
      <c r="Y17" s="3717"/>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17"/>
      <c r="Q19" s="1352"/>
      <c r="R19" s="705"/>
      <c r="S19" s="706"/>
      <c r="T19" s="705"/>
      <c r="U19" s="706"/>
      <c r="V19" s="705"/>
      <c r="W19" s="706"/>
      <c r="X19" s="1355"/>
      <c r="Y19" s="3717"/>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17"/>
      <c r="Q21" s="1352"/>
      <c r="R21" s="705"/>
      <c r="S21" s="706"/>
      <c r="T21" s="705"/>
      <c r="U21" s="706"/>
      <c r="V21" s="705"/>
      <c r="W21" s="706"/>
      <c r="X21" s="1355"/>
      <c r="Y21" s="3717"/>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72"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21" t="s">
        <v>1680</v>
      </c>
      <c r="Q32" s="1352" t="str">
        <f t="shared" si="11"/>
        <v>车位类型</v>
      </c>
      <c r="R32" s="705" t="s">
        <v>14</v>
      </c>
      <c r="S32" s="706">
        <f t="shared" si="12"/>
        <v>100</v>
      </c>
      <c r="T32" s="705" t="s">
        <v>14</v>
      </c>
      <c r="U32" s="706">
        <f t="shared" si="13"/>
        <v>100</v>
      </c>
      <c r="V32" s="705" t="s">
        <v>14</v>
      </c>
      <c r="W32" s="706">
        <f t="shared" si="14"/>
        <v>100</v>
      </c>
      <c r="X32" s="1355"/>
      <c r="Y32" s="3721"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1828</v>
      </c>
      <c r="B37" s="1973" t="s">
        <v>3337</v>
      </c>
      <c r="C37" s="1154" t="s">
        <v>0</v>
      </c>
      <c r="D37" s="1155"/>
      <c r="E37" s="1156"/>
      <c r="F37" s="1157"/>
      <c r="G37" s="1158"/>
      <c r="H37" s="1159"/>
      <c r="I37" s="1156"/>
      <c r="J37" s="1159"/>
      <c r="K37" s="568"/>
      <c r="L37" s="2700"/>
      <c r="M37" s="2701"/>
      <c r="N37" s="2692"/>
      <c r="O37" s="2701"/>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0"/>
      <c r="M38" s="2701"/>
      <c r="N38" s="2701"/>
      <c r="O38" s="2701"/>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762" t="str">
        <f>A39</f>
        <v>估价对象XX用房的比较价值（楼面单价，元/平方米）</v>
      </c>
      <c r="Q39" s="3763"/>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受贵公司委托，我公司对北京市海淀区西三环北路89号4层A-01等56套房地产市场价值进行了预评估。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4层A-01等56套房地产，为北京外文出版纸张有限公司所有。根据《国有土地使用证》[]，估价对象（分摊）出让国有建设用地使用权面积为0平方米，建筑面积为13128.45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4层A-01等56套房地产,属北京外文出版纸张有限公司开发建设的，该项目尚在开发建设中。根据《国有土地使用证》[]，估价对象（分摊）出让国有建设用地使用权面积为0平方米，规划建筑面积为13128.45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726" t="s">
        <v>1754</v>
      </c>
      <c r="D4" s="3727"/>
      <c r="E4" s="3728" t="s">
        <v>1755</v>
      </c>
      <c r="F4" s="3729"/>
      <c r="G4" s="3726" t="s">
        <v>1756</v>
      </c>
      <c r="H4" s="3727"/>
      <c r="I4" s="3726" t="s">
        <v>1757</v>
      </c>
      <c r="J4" s="3727"/>
      <c r="K4" s="559" t="s">
        <v>1758</v>
      </c>
      <c r="L4" s="2691"/>
      <c r="M4" s="2692"/>
      <c r="N4" s="2692"/>
      <c r="O4" s="2692"/>
      <c r="P4" s="3766" t="s">
        <v>1759</v>
      </c>
      <c r="Q4" s="3767"/>
      <c r="R4" s="3770" t="s">
        <v>1755</v>
      </c>
      <c r="S4" s="3771"/>
      <c r="T4" s="3770" t="s">
        <v>1756</v>
      </c>
      <c r="U4" s="3771"/>
      <c r="V4" s="3743" t="s">
        <v>1757</v>
      </c>
      <c r="W4" s="3743"/>
      <c r="X4" s="1355"/>
      <c r="Y4" s="3770" t="s">
        <v>1759</v>
      </c>
      <c r="Z4" s="3771"/>
      <c r="AA4" s="3765" t="s">
        <v>1755</v>
      </c>
      <c r="AB4" s="3756" t="s">
        <v>1756</v>
      </c>
      <c r="AC4" s="3765" t="s">
        <v>1757</v>
      </c>
    </row>
    <row r="5" spans="1:29" ht="15">
      <c r="A5" s="358"/>
      <c r="B5" s="359"/>
      <c r="C5" s="3752" t="s">
        <v>1657</v>
      </c>
      <c r="D5" s="3747"/>
      <c r="E5" s="3758" t="s">
        <v>1658</v>
      </c>
      <c r="F5" s="3759"/>
      <c r="G5" s="3752" t="s">
        <v>1659</v>
      </c>
      <c r="H5" s="3747"/>
      <c r="I5" s="3752" t="s">
        <v>1660</v>
      </c>
      <c r="J5" s="3747"/>
      <c r="K5" s="559"/>
      <c r="L5" s="2691"/>
      <c r="M5" s="2692"/>
      <c r="N5" s="2692"/>
      <c r="O5" s="2692"/>
      <c r="P5" s="3768"/>
      <c r="Q5" s="3733"/>
      <c r="R5" s="3738"/>
      <c r="S5" s="3739"/>
      <c r="T5" s="3738"/>
      <c r="U5" s="3739"/>
      <c r="V5" s="3743"/>
      <c r="W5" s="3743"/>
      <c r="X5" s="1355"/>
      <c r="Y5" s="3738"/>
      <c r="Z5" s="3739"/>
      <c r="AA5" s="3756"/>
      <c r="AB5" s="3756"/>
      <c r="AC5" s="3756"/>
    </row>
    <row r="6" spans="1:29" ht="15.75" thickBot="1">
      <c r="A6" s="360"/>
      <c r="B6" s="361"/>
      <c r="C6" s="3744" t="s">
        <v>1661</v>
      </c>
      <c r="D6" s="3745"/>
      <c r="E6" s="3753" t="s">
        <v>1661</v>
      </c>
      <c r="F6" s="3754"/>
      <c r="G6" s="3744" t="s">
        <v>1661</v>
      </c>
      <c r="H6" s="3745"/>
      <c r="I6" s="3744" t="s">
        <v>1661</v>
      </c>
      <c r="J6" s="3745"/>
      <c r="K6" s="559" t="s">
        <v>1662</v>
      </c>
      <c r="L6" s="2691"/>
      <c r="M6" s="2692"/>
      <c r="N6" s="2692"/>
      <c r="O6" s="2692"/>
      <c r="P6" s="3769"/>
      <c r="Q6" s="3735"/>
      <c r="R6" s="3738"/>
      <c r="S6" s="3739"/>
      <c r="T6" s="3740"/>
      <c r="U6" s="3741"/>
      <c r="V6" s="3743"/>
      <c r="W6" s="3743"/>
      <c r="X6" s="1355"/>
      <c r="Y6" s="3740"/>
      <c r="Z6" s="3741"/>
      <c r="AA6" s="3757"/>
      <c r="AB6" s="3757"/>
      <c r="AC6" s="3757"/>
    </row>
    <row r="7" spans="1:29" s="108" customFormat="1" ht="15.75" thickBot="1">
      <c r="A7" s="362" t="s">
        <v>1663</v>
      </c>
      <c r="B7" s="363"/>
      <c r="C7" s="364">
        <f>'数据-取费表'!B2</f>
        <v>45279</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750" t="s">
        <v>1664</v>
      </c>
      <c r="Q7" s="3751"/>
      <c r="R7" s="701" t="s">
        <v>14</v>
      </c>
      <c r="S7" s="702">
        <f t="shared" ref="S7:S14" si="0">F7</f>
        <v>0</v>
      </c>
      <c r="T7" s="701" t="s">
        <v>14</v>
      </c>
      <c r="U7" s="702">
        <f t="shared" ref="U7:U14" si="1">H7</f>
        <v>0</v>
      </c>
      <c r="V7" s="701" t="s">
        <v>14</v>
      </c>
      <c r="W7" s="702">
        <f t="shared" ref="W7:W14" si="2">J7</f>
        <v>0</v>
      </c>
      <c r="X7" s="703"/>
      <c r="Y7" s="3750" t="s">
        <v>1664</v>
      </c>
      <c r="Z7" s="3749"/>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50" t="s">
        <v>1667</v>
      </c>
      <c r="Q8" s="3749"/>
      <c r="R8" s="701" t="s">
        <v>14</v>
      </c>
      <c r="S8" s="702">
        <f t="shared" si="0"/>
        <v>100</v>
      </c>
      <c r="T8" s="701" t="s">
        <v>14</v>
      </c>
      <c r="U8" s="702">
        <f t="shared" si="1"/>
        <v>100</v>
      </c>
      <c r="V8" s="701" t="s">
        <v>14</v>
      </c>
      <c r="W8" s="702">
        <f t="shared" si="2"/>
        <v>100</v>
      </c>
      <c r="X8" s="703"/>
      <c r="Y8" s="3750" t="s">
        <v>1667</v>
      </c>
      <c r="Z8" s="3749"/>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09" t="s">
        <v>1670</v>
      </c>
      <c r="Q9" s="1343" t="str">
        <f t="shared" ref="Q9:Q14" si="6">B9</f>
        <v>用途</v>
      </c>
      <c r="R9" s="701" t="s">
        <v>14</v>
      </c>
      <c r="S9" s="702">
        <f t="shared" si="0"/>
        <v>100</v>
      </c>
      <c r="T9" s="701" t="s">
        <v>14</v>
      </c>
      <c r="U9" s="702">
        <f t="shared" si="1"/>
        <v>100</v>
      </c>
      <c r="V9" s="701" t="s">
        <v>14</v>
      </c>
      <c r="W9" s="702">
        <f t="shared" si="2"/>
        <v>100</v>
      </c>
      <c r="X9" s="703"/>
      <c r="Y9" s="3587" t="s">
        <v>1671</v>
      </c>
      <c r="Z9" s="52" t="str">
        <f t="shared" ref="Z9:Z14" si="7">Q9</f>
        <v>用途</v>
      </c>
      <c r="AA9" s="704">
        <f t="shared" si="3"/>
        <v>1</v>
      </c>
      <c r="AB9" s="704">
        <f t="shared" si="4"/>
        <v>1</v>
      </c>
      <c r="AC9" s="704">
        <f t="shared" si="5"/>
        <v>1</v>
      </c>
    </row>
    <row r="10" spans="1:29" s="378" customFormat="1" ht="27">
      <c r="A10" s="374"/>
      <c r="B10" s="375" t="s">
        <v>1672</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09"/>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09"/>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09"/>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09"/>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16" t="s">
        <v>1675</v>
      </c>
      <c r="Q14" s="1352" t="str">
        <f t="shared" si="6"/>
        <v>交通便捷度</v>
      </c>
      <c r="R14" s="705" t="s">
        <v>14</v>
      </c>
      <c r="S14" s="706">
        <f t="shared" si="0"/>
        <v>100</v>
      </c>
      <c r="T14" s="705" t="s">
        <v>14</v>
      </c>
      <c r="U14" s="706">
        <f t="shared" si="1"/>
        <v>100</v>
      </c>
      <c r="V14" s="705" t="s">
        <v>14</v>
      </c>
      <c r="W14" s="706">
        <f t="shared" si="2"/>
        <v>100</v>
      </c>
      <c r="X14" s="1355"/>
      <c r="Y14" s="3716"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17"/>
      <c r="Q15" s="1352"/>
      <c r="R15" s="705"/>
      <c r="S15" s="706"/>
      <c r="T15" s="705"/>
      <c r="U15" s="706"/>
      <c r="V15" s="705"/>
      <c r="W15" s="706"/>
      <c r="X15" s="1355"/>
      <c r="Y15" s="3717"/>
      <c r="Z15" s="1356"/>
      <c r="AA15" s="1353">
        <v>1</v>
      </c>
      <c r="AB15" s="1353">
        <v>1</v>
      </c>
      <c r="AC15" s="1353">
        <v>1</v>
      </c>
    </row>
    <row r="16" spans="1:29" ht="1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17"/>
      <c r="Q17" s="1352"/>
      <c r="R17" s="705"/>
      <c r="S17" s="706"/>
      <c r="T17" s="705"/>
      <c r="U17" s="706"/>
      <c r="V17" s="705"/>
      <c r="W17" s="706"/>
      <c r="X17" s="1355"/>
      <c r="Y17" s="3717"/>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17"/>
      <c r="Q19" s="1352"/>
      <c r="R19" s="705"/>
      <c r="S19" s="706"/>
      <c r="T19" s="705"/>
      <c r="U19" s="706"/>
      <c r="V19" s="705"/>
      <c r="W19" s="706"/>
      <c r="X19" s="1355"/>
      <c r="Y19" s="3717"/>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17"/>
      <c r="Q21" s="1352"/>
      <c r="R21" s="705"/>
      <c r="S21" s="706"/>
      <c r="T21" s="705"/>
      <c r="U21" s="706"/>
      <c r="V21" s="705"/>
      <c r="W21" s="706"/>
      <c r="X21" s="1355"/>
      <c r="Y21" s="3717"/>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72"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21" t="s">
        <v>1680</v>
      </c>
      <c r="Q32" s="1352">
        <f t="shared" si="11"/>
        <v>111</v>
      </c>
      <c r="R32" s="705" t="s">
        <v>14</v>
      </c>
      <c r="S32" s="706">
        <f t="shared" si="12"/>
        <v>100</v>
      </c>
      <c r="T32" s="705" t="s">
        <v>14</v>
      </c>
      <c r="U32" s="706">
        <f t="shared" si="13"/>
        <v>100</v>
      </c>
      <c r="V32" s="705" t="s">
        <v>14</v>
      </c>
      <c r="W32" s="706">
        <f t="shared" si="14"/>
        <v>100</v>
      </c>
      <c r="X32" s="1355"/>
      <c r="Y32" s="3721"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0"/>
      <c r="M36" s="2701"/>
      <c r="N36" s="2692"/>
      <c r="O36" s="2701"/>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762" t="str">
        <f>A37</f>
        <v>估价对象XX用房的比较价值（楼面单价，元/平方米）</v>
      </c>
      <c r="Q37" s="3763"/>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726" t="s">
        <v>1754</v>
      </c>
      <c r="D4" s="3727"/>
      <c r="E4" s="3728" t="s">
        <v>1755</v>
      </c>
      <c r="F4" s="3729"/>
      <c r="G4" s="3726" t="s">
        <v>1756</v>
      </c>
      <c r="H4" s="3727"/>
      <c r="I4" s="3726" t="s">
        <v>1757</v>
      </c>
      <c r="J4" s="3727"/>
      <c r="K4" s="559" t="s">
        <v>1758</v>
      </c>
      <c r="L4" s="2691"/>
      <c r="M4" s="2692"/>
      <c r="N4" s="2692"/>
      <c r="O4" s="2692"/>
      <c r="P4" s="3766" t="s">
        <v>1759</v>
      </c>
      <c r="Q4" s="3767"/>
      <c r="R4" s="3770" t="s">
        <v>1755</v>
      </c>
      <c r="S4" s="3771"/>
      <c r="T4" s="3770" t="s">
        <v>1756</v>
      </c>
      <c r="U4" s="3771"/>
      <c r="V4" s="3743" t="s">
        <v>1757</v>
      </c>
      <c r="W4" s="3743"/>
      <c r="X4" s="1355"/>
      <c r="Y4" s="3770" t="s">
        <v>1759</v>
      </c>
      <c r="Z4" s="3771"/>
      <c r="AA4" s="3765" t="s">
        <v>1755</v>
      </c>
      <c r="AB4" s="3756" t="s">
        <v>1756</v>
      </c>
      <c r="AC4" s="3765" t="s">
        <v>1757</v>
      </c>
    </row>
    <row r="5" spans="1:29" ht="15">
      <c r="A5" s="358"/>
      <c r="B5" s="359"/>
      <c r="C5" s="3752" t="s">
        <v>1657</v>
      </c>
      <c r="D5" s="3747"/>
      <c r="E5" s="3758" t="s">
        <v>1658</v>
      </c>
      <c r="F5" s="3759"/>
      <c r="G5" s="3752" t="s">
        <v>1659</v>
      </c>
      <c r="H5" s="3747"/>
      <c r="I5" s="3752" t="s">
        <v>1660</v>
      </c>
      <c r="J5" s="3747"/>
      <c r="K5" s="559"/>
      <c r="L5" s="2691"/>
      <c r="M5" s="2692"/>
      <c r="N5" s="2692"/>
      <c r="O5" s="2692"/>
      <c r="P5" s="3768"/>
      <c r="Q5" s="3733"/>
      <c r="R5" s="3738"/>
      <c r="S5" s="3739"/>
      <c r="T5" s="3738"/>
      <c r="U5" s="3739"/>
      <c r="V5" s="3743"/>
      <c r="W5" s="3743"/>
      <c r="X5" s="1355"/>
      <c r="Y5" s="3738"/>
      <c r="Z5" s="3739"/>
      <c r="AA5" s="3756"/>
      <c r="AB5" s="3756"/>
      <c r="AC5" s="3756"/>
    </row>
    <row r="6" spans="1:29" ht="15.75" thickBot="1">
      <c r="A6" s="360"/>
      <c r="B6" s="361"/>
      <c r="C6" s="3775" t="s">
        <v>1903</v>
      </c>
      <c r="D6" s="3776"/>
      <c r="E6" s="3777" t="s">
        <v>1903</v>
      </c>
      <c r="F6" s="3778"/>
      <c r="G6" s="3775" t="s">
        <v>1903</v>
      </c>
      <c r="H6" s="3776"/>
      <c r="I6" s="3775" t="s">
        <v>1903</v>
      </c>
      <c r="J6" s="3776"/>
      <c r="K6" s="559" t="s">
        <v>1662</v>
      </c>
      <c r="L6" s="2691"/>
      <c r="M6" s="2692"/>
      <c r="N6" s="2692"/>
      <c r="O6" s="2692"/>
      <c r="P6" s="3769"/>
      <c r="Q6" s="3735"/>
      <c r="R6" s="3738"/>
      <c r="S6" s="3739"/>
      <c r="T6" s="3740"/>
      <c r="U6" s="3741"/>
      <c r="V6" s="3743"/>
      <c r="W6" s="3743"/>
      <c r="X6" s="1355"/>
      <c r="Y6" s="3740"/>
      <c r="Z6" s="3741"/>
      <c r="AA6" s="3757"/>
      <c r="AB6" s="3757"/>
      <c r="AC6" s="3757"/>
    </row>
    <row r="7" spans="1:29" s="108" customFormat="1" ht="15.75" thickBot="1">
      <c r="A7" s="362" t="s">
        <v>1663</v>
      </c>
      <c r="B7" s="363"/>
      <c r="C7" s="364">
        <f>'数据-取费表'!B2</f>
        <v>45279</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750" t="s">
        <v>1664</v>
      </c>
      <c r="Q7" s="3751"/>
      <c r="R7" s="701" t="s">
        <v>14</v>
      </c>
      <c r="S7" s="702">
        <f t="shared" ref="S7:S15" si="0">F7</f>
        <v>0</v>
      </c>
      <c r="T7" s="701" t="s">
        <v>14</v>
      </c>
      <c r="U7" s="702">
        <f t="shared" ref="U7:U15" si="1">H7</f>
        <v>0</v>
      </c>
      <c r="V7" s="701" t="s">
        <v>14</v>
      </c>
      <c r="W7" s="702">
        <f t="shared" ref="W7:W15" si="2">J7</f>
        <v>0</v>
      </c>
      <c r="X7" s="703"/>
      <c r="Y7" s="3750" t="s">
        <v>1664</v>
      </c>
      <c r="Z7" s="3749"/>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50" t="s">
        <v>1667</v>
      </c>
      <c r="Q8" s="3749"/>
      <c r="R8" s="701" t="s">
        <v>14</v>
      </c>
      <c r="S8" s="702">
        <f t="shared" si="0"/>
        <v>0</v>
      </c>
      <c r="T8" s="701" t="s">
        <v>14</v>
      </c>
      <c r="U8" s="702">
        <f t="shared" si="1"/>
        <v>0</v>
      </c>
      <c r="V8" s="701" t="s">
        <v>14</v>
      </c>
      <c r="W8" s="702">
        <f t="shared" si="2"/>
        <v>0</v>
      </c>
      <c r="X8" s="703"/>
      <c r="Y8" s="3750" t="s">
        <v>1667</v>
      </c>
      <c r="Z8" s="3749"/>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09" t="s">
        <v>1670</v>
      </c>
      <c r="Q9" s="1343" t="str">
        <f t="shared" ref="Q9:Q15" si="6">B9</f>
        <v>用途</v>
      </c>
      <c r="R9" s="701" t="s">
        <v>14</v>
      </c>
      <c r="S9" s="702">
        <f t="shared" si="0"/>
        <v>100</v>
      </c>
      <c r="T9" s="701" t="s">
        <v>14</v>
      </c>
      <c r="U9" s="702">
        <f t="shared" si="1"/>
        <v>100</v>
      </c>
      <c r="V9" s="701" t="s">
        <v>14</v>
      </c>
      <c r="W9" s="702">
        <f t="shared" si="2"/>
        <v>100</v>
      </c>
      <c r="X9" s="703"/>
      <c r="Y9" s="3587"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143</v>
      </c>
      <c r="G10" s="383"/>
      <c r="H10" s="127">
        <f>ROUND(100/'数据-取费表'!G16,0)</f>
        <v>143</v>
      </c>
      <c r="I10" s="383"/>
      <c r="J10" s="127">
        <f>ROUND(100/'数据-取费表'!G16,0)</f>
        <v>143</v>
      </c>
      <c r="K10" s="620"/>
      <c r="L10" s="2695"/>
      <c r="M10" s="2696"/>
      <c r="N10" s="2696"/>
      <c r="O10" s="2749"/>
      <c r="P10" s="3709"/>
      <c r="Q10" s="1343" t="str">
        <f t="shared" si="6"/>
        <v>土地使用年限（年）</v>
      </c>
      <c r="R10" s="701" t="s">
        <v>14</v>
      </c>
      <c r="S10" s="702">
        <f t="shared" si="0"/>
        <v>143</v>
      </c>
      <c r="T10" s="701" t="s">
        <v>14</v>
      </c>
      <c r="U10" s="702">
        <f t="shared" si="1"/>
        <v>143</v>
      </c>
      <c r="V10" s="701" t="s">
        <v>14</v>
      </c>
      <c r="W10" s="702">
        <f t="shared" si="2"/>
        <v>143</v>
      </c>
      <c r="X10" s="703"/>
      <c r="Y10" s="3587"/>
      <c r="Z10" s="52" t="str">
        <f t="shared" si="7"/>
        <v>土地使用年限（年）</v>
      </c>
      <c r="AA10" s="704">
        <f t="shared" si="3"/>
        <v>0.69930069930069927</v>
      </c>
      <c r="AB10" s="704">
        <f t="shared" si="4"/>
        <v>0.69930069930069927</v>
      </c>
      <c r="AC10" s="704">
        <f t="shared" si="5"/>
        <v>0.69930069930069927</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09"/>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09"/>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09"/>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09"/>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16" t="s">
        <v>1675</v>
      </c>
      <c r="Q15" s="1352" t="str">
        <f t="shared" si="6"/>
        <v>产业集聚程度</v>
      </c>
      <c r="R15" s="705" t="s">
        <v>14</v>
      </c>
      <c r="S15" s="706">
        <f t="shared" si="0"/>
        <v>100</v>
      </c>
      <c r="T15" s="705" t="s">
        <v>14</v>
      </c>
      <c r="U15" s="706">
        <f t="shared" si="1"/>
        <v>100</v>
      </c>
      <c r="V15" s="705" t="s">
        <v>14</v>
      </c>
      <c r="W15" s="706">
        <f t="shared" si="2"/>
        <v>100</v>
      </c>
      <c r="X15" s="1355"/>
      <c r="Y15" s="3716"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17"/>
      <c r="Q16" s="1352"/>
      <c r="R16" s="705"/>
      <c r="S16" s="706"/>
      <c r="T16" s="705"/>
      <c r="U16" s="706"/>
      <c r="V16" s="705"/>
      <c r="W16" s="706"/>
      <c r="X16" s="1355"/>
      <c r="Y16" s="3717"/>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17"/>
      <c r="Q18" s="1352"/>
      <c r="R18" s="705"/>
      <c r="S18" s="706"/>
      <c r="T18" s="705"/>
      <c r="U18" s="706"/>
      <c r="V18" s="705"/>
      <c r="W18" s="706"/>
      <c r="X18" s="1355"/>
      <c r="Y18" s="3717"/>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17"/>
      <c r="Q20" s="1352"/>
      <c r="R20" s="705"/>
      <c r="S20" s="706"/>
      <c r="T20" s="705"/>
      <c r="U20" s="706"/>
      <c r="V20" s="705"/>
      <c r="W20" s="706"/>
      <c r="X20" s="1355"/>
      <c r="Y20" s="3717"/>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17"/>
      <c r="Q22" s="1352"/>
      <c r="R22" s="705"/>
      <c r="S22" s="706"/>
      <c r="T22" s="705"/>
      <c r="U22" s="706"/>
      <c r="V22" s="705"/>
      <c r="W22" s="706"/>
      <c r="X22" s="1355"/>
      <c r="Y22" s="3717"/>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17"/>
      <c r="Q24" s="1343"/>
      <c r="R24" s="701"/>
      <c r="S24" s="702"/>
      <c r="T24" s="701"/>
      <c r="U24" s="702"/>
      <c r="V24" s="701"/>
      <c r="W24" s="702"/>
      <c r="X24" s="703"/>
      <c r="Y24" s="3717"/>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17"/>
      <c r="Q26" s="1343"/>
      <c r="R26" s="701"/>
      <c r="S26" s="702"/>
      <c r="T26" s="701"/>
      <c r="U26" s="702"/>
      <c r="V26" s="701"/>
      <c r="W26" s="702"/>
      <c r="X26" s="703"/>
      <c r="Y26" s="3717"/>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17"/>
      <c r="Q29" s="1352"/>
      <c r="R29" s="705"/>
      <c r="S29" s="706"/>
      <c r="T29" s="705"/>
      <c r="U29" s="706"/>
      <c r="V29" s="705"/>
      <c r="W29" s="706"/>
      <c r="X29" s="1355"/>
      <c r="Y29" s="3717"/>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72" t="s">
        <v>1680</v>
      </c>
      <c r="Q32" s="1352">
        <f t="shared" si="8"/>
        <v>111</v>
      </c>
      <c r="R32" s="705" t="s">
        <v>14</v>
      </c>
      <c r="S32" s="706">
        <f t="shared" si="10"/>
        <v>100</v>
      </c>
      <c r="T32" s="705" t="s">
        <v>14</v>
      </c>
      <c r="U32" s="706">
        <f t="shared" si="11"/>
        <v>100</v>
      </c>
      <c r="V32" s="705" t="s">
        <v>14</v>
      </c>
      <c r="W32" s="706">
        <f t="shared" si="12"/>
        <v>100</v>
      </c>
      <c r="X32" s="1355"/>
      <c r="Y32" s="3721"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21" t="s">
        <v>1680</v>
      </c>
      <c r="Q37" s="1352" t="str">
        <f t="shared" si="14"/>
        <v>工程地质条件</v>
      </c>
      <c r="R37" s="705" t="s">
        <v>14</v>
      </c>
      <c r="S37" s="706">
        <f t="shared" si="10"/>
        <v>100</v>
      </c>
      <c r="T37" s="705" t="s">
        <v>14</v>
      </c>
      <c r="U37" s="706">
        <f t="shared" si="11"/>
        <v>100</v>
      </c>
      <c r="V37" s="705" t="s">
        <v>14</v>
      </c>
      <c r="W37" s="706">
        <f t="shared" si="12"/>
        <v>100</v>
      </c>
      <c r="X37" s="1355"/>
      <c r="Y37" s="3721"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0"/>
      <c r="M41" s="2692"/>
      <c r="N41" s="2692"/>
      <c r="O41" s="2701"/>
      <c r="P41" s="3709" t="str">
        <f>A41</f>
        <v>成交单价</v>
      </c>
      <c r="Q41" s="3709"/>
      <c r="R41" s="3743">
        <f>E41</f>
        <v>0</v>
      </c>
      <c r="S41" s="3743"/>
      <c r="T41" s="3743">
        <f>G41</f>
        <v>0</v>
      </c>
      <c r="U41" s="3743"/>
      <c r="V41" s="3743">
        <f>I41</f>
        <v>0</v>
      </c>
      <c r="W41" s="3743"/>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0"/>
      <c r="M42" s="2692"/>
      <c r="N42" s="2692"/>
      <c r="O42" s="2701"/>
      <c r="P42" s="3709" t="str">
        <f>A42</f>
        <v>比较价值（元/平方米）</v>
      </c>
      <c r="Q42" s="3709"/>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762" t="str">
        <f>A43</f>
        <v>估价对象XX用房的比较价值（楼面单价，元/平方米）</v>
      </c>
      <c r="Q43" s="3763"/>
      <c r="R43" s="3779" t="e">
        <f>ROUND(IF(D42="简单平均",AVERAGE(R42:W42),R42*F42+T42*H42+V42*J42),0)</f>
        <v>#DIV/0!</v>
      </c>
      <c r="S43" s="3779"/>
      <c r="T43" s="3779"/>
      <c r="U43" s="3779"/>
      <c r="V43" s="3779"/>
      <c r="W43" s="3779"/>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3" t="s">
        <v>1867</v>
      </c>
      <c r="D50" s="1984" t="s">
        <v>1868</v>
      </c>
      <c r="E50" s="634" t="s">
        <v>1869</v>
      </c>
      <c r="F50" s="635" t="s">
        <v>1870</v>
      </c>
      <c r="G50" s="3726" t="s">
        <v>1871</v>
      </c>
      <c r="H50" s="3774"/>
      <c r="I50" s="1356" t="s">
        <v>1907</v>
      </c>
      <c r="J50" s="1356">
        <f>项目基本情况!F35</f>
        <v>0</v>
      </c>
      <c r="K50" s="1986"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13128.449999999992</v>
      </c>
      <c r="F51" s="639" t="e">
        <f t="shared" ref="F51:F60" si="15">ROUND(B51*E51/10000,0)</f>
        <v>#DIV/0!</v>
      </c>
      <c r="G51" s="3708"/>
      <c r="H51" s="3709"/>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三级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三级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三级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84" t="s">
        <v>2068</v>
      </c>
      <c r="D1" s="3785"/>
      <c r="E1" s="3785"/>
      <c r="F1" s="3785"/>
      <c r="G1" s="3785"/>
      <c r="H1" s="3785"/>
      <c r="I1" s="3785"/>
      <c r="J1" s="3785"/>
      <c r="K1" s="3785"/>
      <c r="L1" s="3785"/>
      <c r="M1" s="3785"/>
      <c r="N1" s="3785"/>
      <c r="O1" s="3785"/>
      <c r="P1" s="3785"/>
      <c r="Q1" s="3785"/>
      <c r="R1" s="3785"/>
      <c r="S1" s="3786"/>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t="e">
        <f ca="1">J53</f>
        <v>#N/A</v>
      </c>
      <c r="G1" s="1378" t="e">
        <f>MATCH(C1,'数据-取费表'!A6:A16,0)+5</f>
        <v>#N/A</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84" t="s">
        <v>694</v>
      </c>
      <c r="C6" s="1074" t="e">
        <f ca="1">ROUND(F6*F8*F7*(1-F9)/10000,0)</f>
        <v>#N/A</v>
      </c>
      <c r="D6" s="155" t="s">
        <v>2093</v>
      </c>
      <c r="E6" s="302" t="s">
        <v>696</v>
      </c>
      <c r="F6" s="303" t="e">
        <f ca="1">INDIRECT("'数据-取费表'!u"&amp;$G$1)</f>
        <v>#N/A</v>
      </c>
      <c r="G6" s="1384"/>
      <c r="H6" s="1069" t="s">
        <v>398</v>
      </c>
      <c r="I6" s="3684" t="s">
        <v>694</v>
      </c>
      <c r="J6" s="301" t="e">
        <f ca="1">ROUND(M6*M8*M7*(1-M9)/10000,0)</f>
        <v>#N/A</v>
      </c>
      <c r="K6" s="155" t="s">
        <v>2092</v>
      </c>
      <c r="L6" s="302" t="s">
        <v>696</v>
      </c>
      <c r="M6" s="303" t="e">
        <f ca="1">INDIRECT("'数据-取费表'!z"&amp;$G$1)</f>
        <v>#N/A</v>
      </c>
    </row>
    <row r="7" spans="1:37" ht="18" customHeight="1">
      <c r="A7" s="1073"/>
      <c r="B7" s="3685"/>
      <c r="C7" s="1075"/>
      <c r="D7" s="307"/>
      <c r="E7" s="3428" t="s">
        <v>697</v>
      </c>
      <c r="F7" s="303" t="e">
        <f ca="1">IF(INDIRECT("'数据-取费表'!ah"&amp;$G$1)="",INDIRECT("'数据-取费表'!k"&amp;$G$1),INDIRECT("'数据-取费表'!ah"&amp;$G$1))</f>
        <v>#N/A</v>
      </c>
      <c r="G7" s="1384"/>
      <c r="H7" s="304"/>
      <c r="I7" s="3685"/>
      <c r="J7" s="306"/>
      <c r="K7" s="307"/>
      <c r="L7" s="302" t="s">
        <v>697</v>
      </c>
      <c r="M7" s="303" t="e">
        <f ca="1">F7</f>
        <v>#N/A</v>
      </c>
    </row>
    <row r="8" spans="1:37" ht="18" customHeight="1">
      <c r="A8" s="304"/>
      <c r="B8" s="3685"/>
      <c r="C8" s="306"/>
      <c r="D8" s="307"/>
      <c r="E8" s="302" t="s">
        <v>698</v>
      </c>
      <c r="F8" s="303" t="e">
        <f ca="1">INDIRECT("'数据-取费表'!ai"&amp;$G$1)</f>
        <v>#N/A</v>
      </c>
      <c r="G8" s="1384"/>
      <c r="H8" s="304"/>
      <c r="I8" s="3685"/>
      <c r="J8" s="306"/>
      <c r="K8" s="307"/>
      <c r="L8" s="302" t="s">
        <v>698</v>
      </c>
      <c r="M8" s="303" t="e">
        <f ca="1">INDIRECT("'数据-取费表'!ai"&amp;$G$1)</f>
        <v>#N/A</v>
      </c>
    </row>
    <row r="9" spans="1:37" ht="18" customHeight="1">
      <c r="A9" s="304"/>
      <c r="B9" s="3686"/>
      <c r="C9" s="306"/>
      <c r="D9" s="307"/>
      <c r="E9" s="302" t="s">
        <v>699</v>
      </c>
      <c r="F9" s="312" t="e">
        <f ca="1">INDIRECT("'数据-取费表'!w"&amp;$G$1)</f>
        <v>#N/A</v>
      </c>
      <c r="G9" s="1384"/>
      <c r="H9" s="304"/>
      <c r="I9" s="3686"/>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2101</v>
      </c>
      <c r="E10" s="313" t="s">
        <v>701</v>
      </c>
      <c r="F10" s="1116" t="s">
        <v>3393</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25" t="s">
        <v>705</v>
      </c>
      <c r="E13" s="342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1" t="s">
        <v>708</v>
      </c>
      <c r="E14" s="3430"/>
      <c r="F14" s="319"/>
      <c r="G14" s="1384"/>
      <c r="H14" s="982" t="s">
        <v>398</v>
      </c>
      <c r="I14" s="302" t="s">
        <v>709</v>
      </c>
      <c r="J14" s="21" t="e">
        <f ca="1">C29</f>
        <v>#N/A</v>
      </c>
      <c r="K14" s="3427"/>
      <c r="L14" s="807"/>
      <c r="M14" s="808"/>
    </row>
    <row r="15" spans="1:37" s="1397" customFormat="1" ht="18" customHeight="1" thickBot="1">
      <c r="A15" s="982" t="s">
        <v>399</v>
      </c>
      <c r="B15" s="302" t="s">
        <v>710</v>
      </c>
      <c r="C15" s="21" t="e">
        <f ca="1">ROUND(C14*F15,0)</f>
        <v>#N/A</v>
      </c>
      <c r="D15" s="3426" t="s">
        <v>711</v>
      </c>
      <c r="E15" s="3426"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3"/>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31" t="s">
        <v>720</v>
      </c>
      <c r="L17" s="34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5"/>
      <c r="F19" s="23"/>
      <c r="G19" s="1384"/>
      <c r="H19" s="982" t="s">
        <v>399</v>
      </c>
      <c r="I19" s="302" t="s">
        <v>727</v>
      </c>
      <c r="J19" s="21" t="e">
        <f ca="1">IF(K19="按租金收入计税",ROUND(J6*M19/(1+'数据-取费表'!C42),2),ROUND(C29*M19*0.7,2))</f>
        <v>#N/A</v>
      </c>
      <c r="K19" s="1370" t="s">
        <v>3319</v>
      </c>
      <c r="L19" s="302" t="s">
        <v>712</v>
      </c>
      <c r="M19" s="322">
        <f>IF(K19="按租金收入计税",'数据-取费表'!B51,'数据-取费表'!B50)</f>
        <v>0.12</v>
      </c>
    </row>
    <row r="20" spans="1:37" s="1397" customFormat="1" ht="18" customHeight="1">
      <c r="A20" s="982" t="s">
        <v>402</v>
      </c>
      <c r="B20" s="302" t="s">
        <v>728</v>
      </c>
      <c r="C20" s="21" t="e">
        <f ca="1">ROUND(C19*F20,0)</f>
        <v>#N/A</v>
      </c>
      <c r="D20" s="2427" t="s">
        <v>729</v>
      </c>
      <c r="E20" s="302" t="s">
        <v>712</v>
      </c>
      <c r="F20" s="322">
        <f>'数据-取费表'!B37</f>
        <v>0.02</v>
      </c>
      <c r="G20" s="1396"/>
      <c r="H20" s="982" t="s">
        <v>680</v>
      </c>
      <c r="I20" s="155" t="s">
        <v>730</v>
      </c>
      <c r="J20" s="22" t="e">
        <f ca="1">ROUND(M20*M21/10000,2)</f>
        <v>#N/A</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5"/>
      <c r="F22" s="23"/>
      <c r="G22" s="1384"/>
      <c r="H22" s="982" t="s">
        <v>402</v>
      </c>
      <c r="I22" s="302" t="s">
        <v>738</v>
      </c>
      <c r="J22" s="21" t="e">
        <f ca="1">ROUND(J14*M22,2)</f>
        <v>#N/A</v>
      </c>
      <c r="K22" s="343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2"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5"/>
      <c r="F25" s="23"/>
      <c r="G25" s="1384"/>
      <c r="H25" s="1079" t="s">
        <v>394</v>
      </c>
      <c r="I25" s="1094" t="s">
        <v>752</v>
      </c>
      <c r="J25" s="310" t="e">
        <f ca="1">J5-J16</f>
        <v>#N/A</v>
      </c>
      <c r="K25" s="1095" t="s">
        <v>753</v>
      </c>
      <c r="L25" s="1096"/>
      <c r="M25" s="1097"/>
    </row>
    <row r="26" spans="1:37">
      <c r="A26" s="982" t="s">
        <v>397</v>
      </c>
      <c r="B26" s="302" t="s">
        <v>754</v>
      </c>
      <c r="C26" s="21" t="e">
        <f ca="1">ROUND((C19+C20)*F26,0)</f>
        <v>#N/A</v>
      </c>
      <c r="D26" s="2427"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7" t="s">
        <v>761</v>
      </c>
      <c r="E27" s="342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3"/>
      <c r="F30" s="1072"/>
      <c r="G30" s="1384"/>
      <c r="H30" s="2673"/>
      <c r="I30" s="1398"/>
      <c r="J30" s="1399"/>
      <c r="K30" s="2472"/>
      <c r="L30" s="2674"/>
      <c r="M30" s="2675"/>
    </row>
    <row r="31" spans="1:37" ht="18" customHeight="1">
      <c r="A31" s="982" t="s">
        <v>398</v>
      </c>
      <c r="B31" s="302" t="s">
        <v>719</v>
      </c>
      <c r="C31" s="2316" t="e">
        <f ca="1">ROUND(IF(AND(项目基本情况!B11="自然人",项目基本情况!B10="北京市"),C6*F31/(1+'数据-取费表'!C42),C32+C33+C34),2)</f>
        <v>#N/A</v>
      </c>
      <c r="D31" s="3431" t="s">
        <v>720</v>
      </c>
      <c r="E31" s="3432"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t="e">
        <f ca="1">IF(项目基本情况!B11="自然人","——",ROUND(C6*F32/(1+'数据-取费表'!C42),2))</f>
        <v>#N/A</v>
      </c>
      <c r="D32" s="3432"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e">
        <f ca="1">IF(项目基本情况!B11="自然人","——",ROUND(F34*F35/10000,2))</f>
        <v>#N/A</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t="e">
        <f ca="1">INDIRECT("'数据-取费表'!r"&amp;$G$1)</f>
        <v>#N/A</v>
      </c>
      <c r="G35" s="1384"/>
      <c r="H35" s="2673"/>
      <c r="I35" s="1398"/>
      <c r="J35" s="1399"/>
      <c r="K35" s="2677"/>
      <c r="L35" s="2676"/>
      <c r="M35" s="2676"/>
    </row>
    <row r="36" spans="1:18" ht="18" customHeight="1">
      <c r="A36" s="1102" t="s">
        <v>402</v>
      </c>
      <c r="B36" s="302" t="s">
        <v>738</v>
      </c>
      <c r="C36" s="21" t="e">
        <f ca="1">ROUND(C29*F36,2)</f>
        <v>#N/A</v>
      </c>
      <c r="D36" s="3432" t="s">
        <v>771</v>
      </c>
      <c r="E36" s="302" t="s">
        <v>712</v>
      </c>
      <c r="F36" s="328" t="e">
        <f ca="1">INDIRECT("'数据-取费表'!Ak"&amp;$G$1)</f>
        <v>#N/A</v>
      </c>
      <c r="G36" s="1384"/>
      <c r="H36" s="2676"/>
      <c r="I36" s="1398"/>
      <c r="J36" s="1399"/>
      <c r="K36" s="2522"/>
      <c r="L36" s="2676"/>
      <c r="M36" s="2676"/>
    </row>
    <row r="37" spans="1:18" ht="18" customHeight="1">
      <c r="A37" s="982" t="s">
        <v>437</v>
      </c>
      <c r="B37" s="302" t="s">
        <v>742</v>
      </c>
      <c r="C37" s="21" t="e">
        <f ca="1">ROUND(C13*F37,2)</f>
        <v>#N/A</v>
      </c>
      <c r="D37" s="3432" t="s">
        <v>743</v>
      </c>
      <c r="E37" s="302" t="s">
        <v>744</v>
      </c>
      <c r="F37" s="330" t="e">
        <f ca="1">INDIRECT("'数据-取费表'!Al"&amp;$G$1)</f>
        <v>#N/A</v>
      </c>
      <c r="G37" s="1384"/>
      <c r="H37" s="2676"/>
      <c r="I37" s="1398"/>
      <c r="J37" s="1399"/>
      <c r="K37" s="2522"/>
      <c r="L37" s="2676"/>
      <c r="M37" s="2676"/>
    </row>
    <row r="38" spans="1:18" ht="18" customHeight="1" thickBot="1">
      <c r="A38" s="1089" t="s">
        <v>683</v>
      </c>
      <c r="B38" s="1090" t="s">
        <v>728</v>
      </c>
      <c r="C38" s="1091" t="e">
        <f ca="1">ROUND(C5*F38,2)</f>
        <v>#N/A</v>
      </c>
      <c r="D38" s="1092" t="s">
        <v>748</v>
      </c>
      <c r="E38" s="1090" t="s">
        <v>744</v>
      </c>
      <c r="F38" s="1086" t="e">
        <f ca="1">INDIRECT("'数据-取费表'!Am"&amp;$G$1)</f>
        <v>#N/A</v>
      </c>
      <c r="G38" s="1384"/>
      <c r="H38" s="2676"/>
      <c r="I38" s="1398"/>
      <c r="J38" s="1399"/>
      <c r="K38" s="2680"/>
      <c r="L38" s="2676"/>
      <c r="M38" s="2676"/>
    </row>
    <row r="39" spans="1:18" ht="24.6" customHeight="1" thickTop="1">
      <c r="A39" s="1079" t="s">
        <v>394</v>
      </c>
      <c r="B39" s="1094" t="s">
        <v>772</v>
      </c>
      <c r="C39" s="310" t="e">
        <f ca="1">C5-C30</f>
        <v>#N/A</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0"/>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2"/>
      <c r="L41" s="1191"/>
      <c r="M41" s="1191"/>
    </row>
    <row r="42" spans="1:18" ht="18" customHeight="1">
      <c r="A42" s="308"/>
      <c r="B42" s="309"/>
      <c r="C42" s="310"/>
      <c r="D42" s="327"/>
      <c r="E42" s="302" t="s">
        <v>766</v>
      </c>
      <c r="F42" s="312" t="e">
        <f ca="1">INDIRECT("'数据-取费表'!v"&amp;$G$1)</f>
        <v>#N/A</v>
      </c>
      <c r="G42" s="1384"/>
      <c r="H42" s="1191"/>
      <c r="I42" s="1398"/>
      <c r="J42" s="1399"/>
      <c r="K42" s="252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4" t="e">
        <f ca="1">C49+C53+C55</f>
        <v>#N/A</v>
      </c>
      <c r="D48" s="1112"/>
      <c r="E48" s="1113"/>
      <c r="F48" s="962"/>
      <c r="G48" s="722"/>
      <c r="H48" s="723"/>
      <c r="I48" s="1421" t="s">
        <v>819</v>
      </c>
      <c r="J48" s="1422" t="s">
        <v>3391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2094</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t="e">
        <f ca="1">IF(M47="住宅",IF(D1="——",MAX(J51,L48),MAX(J51,L48-'数据-取费表'!B24)),IF(D1="——",MIN(J51,L48),MIN(J51,L48-'数据-取费表'!B24)))</f>
        <v>#N/A</v>
      </c>
      <c r="K53" s="3687" t="s">
        <v>837</v>
      </c>
      <c r="L53" s="3688"/>
      <c r="O53" s="1418" t="s">
        <v>409</v>
      </c>
      <c r="P53" s="1419" t="s">
        <v>838</v>
      </c>
      <c r="Q53" s="1420" t="e">
        <f ca="1">Q47+Q48</f>
        <v>#N/A</v>
      </c>
      <c r="R53" s="1420" t="s">
        <v>410</v>
      </c>
    </row>
    <row r="54" spans="1:18" s="1384" customFormat="1" ht="13.5" thickBot="1">
      <c r="A54" s="1153"/>
      <c r="B54" s="1367" t="s">
        <v>679</v>
      </c>
      <c r="C54" s="959"/>
      <c r="D54" s="1366"/>
      <c r="E54" s="342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2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3392</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3319</v>
      </c>
      <c r="E61" s="950" t="s">
        <v>744</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12</v>
      </c>
      <c r="I62" s="1462" t="s">
        <v>858</v>
      </c>
      <c r="J62" s="1463" t="s">
        <v>859</v>
      </c>
      <c r="K62" s="1463" t="s">
        <v>860</v>
      </c>
      <c r="L62" s="1463" t="s">
        <v>861</v>
      </c>
      <c r="M62" s="1464" t="s">
        <v>862</v>
      </c>
      <c r="O62" s="1418" t="s">
        <v>409</v>
      </c>
      <c r="P62" s="1419" t="s">
        <v>838</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744</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2578</v>
      </c>
      <c r="B1" s="3048" t="s">
        <v>2579</v>
      </c>
      <c r="C1" s="3048" t="s">
        <v>2580</v>
      </c>
      <c r="D1" s="3048" t="s">
        <v>2581</v>
      </c>
      <c r="E1" s="3048" t="s">
        <v>2582</v>
      </c>
      <c r="F1" s="3048" t="s">
        <v>2583</v>
      </c>
      <c r="G1" s="3048" t="s">
        <v>2584</v>
      </c>
      <c r="H1" s="3048" t="s">
        <v>2585</v>
      </c>
      <c r="I1" s="3048" t="s">
        <v>2586</v>
      </c>
      <c r="J1" s="3048" t="s">
        <v>2587</v>
      </c>
      <c r="K1" s="3048" t="s">
        <v>2588</v>
      </c>
      <c r="L1" s="3048" t="s">
        <v>2589</v>
      </c>
      <c r="M1" s="3049" t="s">
        <v>2590</v>
      </c>
    </row>
    <row r="2" spans="1:13" ht="19.5" customHeight="1">
      <c r="A2" s="3051" t="s">
        <v>2591</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2592</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2593</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2594</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2595</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2596</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2597</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2598</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2599</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2600</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2601</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2602</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2603</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2604</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2605</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2606</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2607</v>
      </c>
      <c r="B18" s="3073"/>
      <c r="C18" s="3074"/>
      <c r="D18" s="3074"/>
      <c r="E18" s="3073"/>
      <c r="F18" s="3074"/>
      <c r="G18" s="3074"/>
    </row>
    <row r="19" spans="1:13" ht="19.5" customHeight="1" thickBot="1">
      <c r="A19" s="3071" t="s">
        <v>2608</v>
      </c>
      <c r="B19" s="3076" t="s">
        <v>2609</v>
      </c>
      <c r="C19" s="3076" t="s">
        <v>2610</v>
      </c>
      <c r="D19" s="3077"/>
      <c r="E19" s="3071" t="s">
        <v>2611</v>
      </c>
      <c r="F19" s="3078"/>
      <c r="G19" s="3078"/>
    </row>
    <row r="20" spans="1:13" ht="19.5" customHeight="1">
      <c r="A20" s="3796" t="s">
        <v>2591</v>
      </c>
      <c r="B20" s="3791" t="s">
        <v>2612</v>
      </c>
      <c r="C20" s="3079" t="s">
        <v>2423</v>
      </c>
      <c r="D20" s="3080"/>
      <c r="E20" s="3081">
        <v>1</v>
      </c>
      <c r="F20" s="3082" t="s">
        <v>2424</v>
      </c>
      <c r="G20" s="3082"/>
    </row>
    <row r="21" spans="1:13" ht="19.5" customHeight="1">
      <c r="A21" s="3797"/>
      <c r="B21" s="3790"/>
      <c r="C21" s="3083" t="s">
        <v>2425</v>
      </c>
      <c r="D21" s="3084"/>
      <c r="E21" s="3085">
        <v>1</v>
      </c>
      <c r="F21" s="3082" t="s">
        <v>2426</v>
      </c>
      <c r="G21" s="3082"/>
    </row>
    <row r="22" spans="1:13" ht="19.5" customHeight="1">
      <c r="A22" s="3797"/>
      <c r="B22" s="3790"/>
      <c r="C22" s="3083" t="s">
        <v>2427</v>
      </c>
      <c r="D22" s="3084"/>
      <c r="E22" s="3085">
        <v>0.9</v>
      </c>
      <c r="F22" s="3082" t="s">
        <v>2428</v>
      </c>
      <c r="G22" s="3082"/>
    </row>
    <row r="23" spans="1:13" ht="19.5" customHeight="1">
      <c r="A23" s="3797"/>
      <c r="B23" s="3790"/>
      <c r="C23" s="3083" t="s">
        <v>2429</v>
      </c>
      <c r="D23" s="3084"/>
      <c r="E23" s="3085">
        <v>0.9</v>
      </c>
      <c r="F23" s="3082" t="s">
        <v>2430</v>
      </c>
      <c r="G23" s="3082"/>
    </row>
    <row r="24" spans="1:13" ht="19.5" customHeight="1">
      <c r="A24" s="3797"/>
      <c r="B24" s="3790"/>
      <c r="C24" s="3083" t="s">
        <v>2431</v>
      </c>
      <c r="D24" s="3084"/>
      <c r="E24" s="3085">
        <v>0.8</v>
      </c>
      <c r="F24" s="3082" t="s">
        <v>2432</v>
      </c>
      <c r="G24" s="3082"/>
    </row>
    <row r="25" spans="1:13" ht="19.5" customHeight="1" thickBot="1">
      <c r="A25" s="3798"/>
      <c r="B25" s="3792"/>
      <c r="C25" s="3086" t="s">
        <v>2433</v>
      </c>
      <c r="D25" s="3087"/>
      <c r="E25" s="3088">
        <v>0.8</v>
      </c>
      <c r="F25" s="3082" t="s">
        <v>2434</v>
      </c>
      <c r="G25" s="3082"/>
    </row>
    <row r="26" spans="1:13" ht="19.5" customHeight="1" thickBot="1">
      <c r="A26" s="3089" t="s">
        <v>2613</v>
      </c>
      <c r="B26" s="3090" t="s">
        <v>2612</v>
      </c>
      <c r="C26" s="3091" t="s">
        <v>2614</v>
      </c>
      <c r="D26" s="3092"/>
      <c r="E26" s="3093">
        <v>1</v>
      </c>
      <c r="F26" s="3082" t="s">
        <v>2435</v>
      </c>
      <c r="G26" s="3082"/>
    </row>
    <row r="27" spans="1:13" ht="19.5" customHeight="1">
      <c r="A27" s="3793" t="s">
        <v>2615</v>
      </c>
      <c r="B27" s="3791" t="s">
        <v>2596</v>
      </c>
      <c r="C27" s="3079" t="s">
        <v>2436</v>
      </c>
      <c r="D27" s="3080"/>
      <c r="E27" s="3081">
        <v>1</v>
      </c>
      <c r="F27" s="3082" t="s">
        <v>2437</v>
      </c>
      <c r="G27" s="3082"/>
    </row>
    <row r="28" spans="1:13" ht="19.5" customHeight="1">
      <c r="A28" s="3794"/>
      <c r="B28" s="3790"/>
      <c r="C28" s="3083" t="s">
        <v>2438</v>
      </c>
      <c r="D28" s="3084"/>
      <c r="E28" s="3085">
        <v>1</v>
      </c>
      <c r="F28" s="3082" t="s">
        <v>2439</v>
      </c>
      <c r="G28" s="3082"/>
    </row>
    <row r="29" spans="1:13" ht="19.5" customHeight="1">
      <c r="A29" s="3794"/>
      <c r="B29" s="3790"/>
      <c r="C29" s="3083" t="s">
        <v>2440</v>
      </c>
      <c r="D29" s="3084"/>
      <c r="E29" s="3085">
        <v>0.8</v>
      </c>
      <c r="F29" s="3082" t="s">
        <v>2441</v>
      </c>
      <c r="G29" s="3082"/>
    </row>
    <row r="30" spans="1:13" ht="19.5" customHeight="1">
      <c r="A30" s="3794"/>
      <c r="B30" s="3790"/>
      <c r="C30" s="3083" t="s">
        <v>2442</v>
      </c>
      <c r="D30" s="3084"/>
      <c r="E30" s="3085">
        <v>0.8</v>
      </c>
      <c r="F30" s="3082" t="s">
        <v>2443</v>
      </c>
      <c r="G30" s="3082"/>
    </row>
    <row r="31" spans="1:13" ht="19.5" customHeight="1">
      <c r="A31" s="3794"/>
      <c r="B31" s="3790"/>
      <c r="C31" s="3083" t="s">
        <v>2444</v>
      </c>
      <c r="D31" s="3084"/>
      <c r="E31" s="3085">
        <v>0.8</v>
      </c>
      <c r="F31" s="3082" t="s">
        <v>2445</v>
      </c>
      <c r="G31" s="3082"/>
    </row>
    <row r="32" spans="1:13" ht="19.5" customHeight="1">
      <c r="A32" s="3794"/>
      <c r="B32" s="3790"/>
      <c r="C32" s="3083" t="s">
        <v>2446</v>
      </c>
      <c r="D32" s="3084"/>
      <c r="E32" s="3085">
        <v>0.7</v>
      </c>
      <c r="F32" s="3082" t="s">
        <v>2447</v>
      </c>
      <c r="G32" s="3082"/>
    </row>
    <row r="33" spans="1:7" ht="19.5" customHeight="1">
      <c r="A33" s="3794"/>
      <c r="B33" s="3790"/>
      <c r="C33" s="3083" t="s">
        <v>2448</v>
      </c>
      <c r="D33" s="3084"/>
      <c r="E33" s="3085">
        <v>0.8</v>
      </c>
      <c r="F33" s="3082" t="s">
        <v>2449</v>
      </c>
      <c r="G33" s="3082"/>
    </row>
    <row r="34" spans="1:7" ht="19.5" customHeight="1">
      <c r="A34" s="3794"/>
      <c r="B34" s="3790"/>
      <c r="C34" s="3083" t="s">
        <v>2450</v>
      </c>
      <c r="D34" s="3084"/>
      <c r="E34" s="3085">
        <v>0.6</v>
      </c>
      <c r="F34" s="3082" t="s">
        <v>2451</v>
      </c>
      <c r="G34" s="3082"/>
    </row>
    <row r="35" spans="1:7" ht="19.5" customHeight="1">
      <c r="A35" s="3794"/>
      <c r="B35" s="3790"/>
      <c r="C35" s="3083" t="s">
        <v>2452</v>
      </c>
      <c r="D35" s="3084"/>
      <c r="E35" s="3085">
        <v>0.2</v>
      </c>
      <c r="F35" s="3082" t="s">
        <v>2453</v>
      </c>
      <c r="G35" s="3082"/>
    </row>
    <row r="36" spans="1:7" ht="19.5" customHeight="1">
      <c r="A36" s="3794"/>
      <c r="B36" s="3790"/>
      <c r="C36" s="3083" t="s">
        <v>2454</v>
      </c>
      <c r="D36" s="3084"/>
      <c r="E36" s="3085">
        <v>0.2</v>
      </c>
      <c r="F36" s="3082" t="s">
        <v>2455</v>
      </c>
      <c r="G36" s="3082"/>
    </row>
    <row r="37" spans="1:7" ht="19.5" customHeight="1">
      <c r="A37" s="3794"/>
      <c r="B37" s="3788" t="s">
        <v>2616</v>
      </c>
      <c r="C37" s="3083" t="s">
        <v>2456</v>
      </c>
      <c r="D37" s="3084"/>
      <c r="E37" s="3085">
        <v>0.6</v>
      </c>
      <c r="F37" s="3082" t="s">
        <v>2457</v>
      </c>
      <c r="G37" s="3082"/>
    </row>
    <row r="38" spans="1:7" ht="19.5" customHeight="1">
      <c r="A38" s="3794"/>
      <c r="B38" s="3790"/>
      <c r="C38" s="3083" t="s">
        <v>2458</v>
      </c>
      <c r="D38" s="3084"/>
      <c r="E38" s="3085">
        <v>0.6</v>
      </c>
      <c r="F38" s="3082" t="s">
        <v>2459</v>
      </c>
      <c r="G38" s="3082"/>
    </row>
    <row r="39" spans="1:7" ht="19.5" customHeight="1" thickBot="1">
      <c r="A39" s="3795"/>
      <c r="B39" s="3792"/>
      <c r="C39" s="3086" t="s">
        <v>2460</v>
      </c>
      <c r="D39" s="3087"/>
      <c r="E39" s="3088">
        <v>0.6</v>
      </c>
      <c r="F39" s="3082" t="s">
        <v>2461</v>
      </c>
      <c r="G39" s="3082"/>
    </row>
    <row r="40" spans="1:7" ht="19.5" customHeight="1" thickBot="1">
      <c r="A40" s="3089" t="s">
        <v>2593</v>
      </c>
      <c r="B40" s="3090" t="s">
        <v>2593</v>
      </c>
      <c r="C40" s="3091" t="s">
        <v>2617</v>
      </c>
      <c r="D40" s="3092"/>
      <c r="E40" s="3093">
        <v>1</v>
      </c>
      <c r="F40" s="3082" t="s">
        <v>2462</v>
      </c>
      <c r="G40" s="3082"/>
    </row>
    <row r="41" spans="1:7" ht="19.5" customHeight="1">
      <c r="A41" s="3796" t="s">
        <v>2594</v>
      </c>
      <c r="B41" s="3791" t="s">
        <v>2618</v>
      </c>
      <c r="C41" s="3079" t="s">
        <v>2463</v>
      </c>
      <c r="D41" s="3080"/>
      <c r="E41" s="3081">
        <v>1</v>
      </c>
      <c r="F41" s="3082" t="s">
        <v>2464</v>
      </c>
      <c r="G41" s="3082"/>
    </row>
    <row r="42" spans="1:7" ht="19.5" customHeight="1">
      <c r="A42" s="3797"/>
      <c r="B42" s="3790"/>
      <c r="C42" s="3083" t="s">
        <v>2465</v>
      </c>
      <c r="D42" s="3084"/>
      <c r="E42" s="3085">
        <v>1</v>
      </c>
      <c r="F42" s="3082" t="s">
        <v>2466</v>
      </c>
      <c r="G42" s="3082"/>
    </row>
    <row r="43" spans="1:7" ht="19.5" customHeight="1">
      <c r="A43" s="3797"/>
      <c r="B43" s="3789"/>
      <c r="C43" s="3083" t="s">
        <v>2467</v>
      </c>
      <c r="D43" s="3084"/>
      <c r="E43" s="3085">
        <v>1.5</v>
      </c>
      <c r="F43" s="3082" t="s">
        <v>2468</v>
      </c>
      <c r="G43" s="3082"/>
    </row>
    <row r="44" spans="1:7" ht="19.5" customHeight="1">
      <c r="A44" s="3797"/>
      <c r="B44" s="3094" t="s">
        <v>2619</v>
      </c>
      <c r="C44" s="3083" t="s">
        <v>2620</v>
      </c>
      <c r="D44" s="3084"/>
      <c r="E44" s="3085">
        <v>2</v>
      </c>
      <c r="F44" s="3082" t="s">
        <v>2469</v>
      </c>
      <c r="G44" s="3082"/>
    </row>
    <row r="45" spans="1:7" ht="19.5" customHeight="1">
      <c r="A45" s="3797"/>
      <c r="B45" s="3788" t="s">
        <v>2621</v>
      </c>
      <c r="C45" s="3083" t="s">
        <v>2470</v>
      </c>
      <c r="D45" s="3084"/>
      <c r="E45" s="3085">
        <v>1</v>
      </c>
      <c r="F45" s="3082" t="s">
        <v>2471</v>
      </c>
      <c r="G45" s="3082"/>
    </row>
    <row r="46" spans="1:7" ht="19.5" customHeight="1">
      <c r="A46" s="3797"/>
      <c r="B46" s="3790"/>
      <c r="C46" s="3083" t="s">
        <v>2472</v>
      </c>
      <c r="D46" s="3084"/>
      <c r="E46" s="3085">
        <v>1</v>
      </c>
      <c r="F46" s="3082" t="s">
        <v>2473</v>
      </c>
      <c r="G46" s="3082"/>
    </row>
    <row r="47" spans="1:7" ht="19.5" customHeight="1">
      <c r="A47" s="3797"/>
      <c r="B47" s="3790"/>
      <c r="C47" s="3083" t="s">
        <v>2474</v>
      </c>
      <c r="D47" s="3084"/>
      <c r="E47" s="3085">
        <v>1</v>
      </c>
      <c r="F47" s="3082" t="s">
        <v>2475</v>
      </c>
      <c r="G47" s="3082"/>
    </row>
    <row r="48" spans="1:7" ht="19.5" customHeight="1">
      <c r="A48" s="3797"/>
      <c r="B48" s="3790"/>
      <c r="C48" s="3083" t="s">
        <v>2476</v>
      </c>
      <c r="D48" s="3084"/>
      <c r="E48" s="3085">
        <v>1</v>
      </c>
      <c r="F48" s="3082" t="s">
        <v>2477</v>
      </c>
      <c r="G48" s="3082"/>
    </row>
    <row r="49" spans="1:7" ht="19.5" customHeight="1">
      <c r="A49" s="3797"/>
      <c r="B49" s="3790"/>
      <c r="C49" s="3083" t="s">
        <v>2478</v>
      </c>
      <c r="D49" s="3084"/>
      <c r="E49" s="3085">
        <v>1</v>
      </c>
      <c r="F49" s="3082" t="s">
        <v>2479</v>
      </c>
      <c r="G49" s="3082"/>
    </row>
    <row r="50" spans="1:7" ht="19.5" customHeight="1">
      <c r="A50" s="3797"/>
      <c r="B50" s="3790"/>
      <c r="C50" s="3083" t="s">
        <v>2480</v>
      </c>
      <c r="D50" s="3084"/>
      <c r="E50" s="3085">
        <v>1</v>
      </c>
      <c r="F50" s="3082" t="s">
        <v>2481</v>
      </c>
      <c r="G50" s="3082"/>
    </row>
    <row r="51" spans="1:7" ht="19.5" customHeight="1" thickBot="1">
      <c r="A51" s="3798"/>
      <c r="B51" s="3792"/>
      <c r="C51" s="3086" t="s">
        <v>2482</v>
      </c>
      <c r="D51" s="3087"/>
      <c r="E51" s="3088">
        <v>1</v>
      </c>
      <c r="F51" s="3082" t="s">
        <v>2483</v>
      </c>
      <c r="G51" s="3082"/>
    </row>
    <row r="52" spans="1:7" ht="19.5" customHeight="1">
      <c r="A52" s="3095"/>
      <c r="B52" s="3095"/>
      <c r="C52" s="3095"/>
      <c r="D52" s="3095"/>
      <c r="E52" s="3095"/>
      <c r="F52" s="3095"/>
      <c r="G52" s="3095"/>
    </row>
    <row r="54" spans="1:7" ht="19.5" customHeight="1">
      <c r="A54" s="3096"/>
      <c r="B54" s="3068" t="s">
        <v>2622</v>
      </c>
      <c r="C54" s="3068" t="s">
        <v>2622</v>
      </c>
      <c r="D54" s="3068" t="s">
        <v>2622</v>
      </c>
      <c r="E54" s="3071" t="s">
        <v>2622</v>
      </c>
      <c r="F54" s="3071" t="s">
        <v>2623</v>
      </c>
      <c r="G54" s="3071" t="s">
        <v>2624</v>
      </c>
    </row>
    <row r="55" spans="1:7" ht="19.5" customHeight="1">
      <c r="A55" s="3097"/>
      <c r="B55" s="3071" t="s">
        <v>2591</v>
      </c>
      <c r="C55" s="3071" t="s">
        <v>2591</v>
      </c>
      <c r="D55" s="3071" t="s">
        <v>2591</v>
      </c>
      <c r="E55" s="3068" t="s">
        <v>2592</v>
      </c>
      <c r="F55" s="3068" t="s">
        <v>2594</v>
      </c>
      <c r="G55" s="3068" t="s">
        <v>2625</v>
      </c>
    </row>
    <row r="56" spans="1:7" ht="19.5" customHeight="1">
      <c r="A56" s="3098"/>
      <c r="B56" s="3068">
        <v>1</v>
      </c>
      <c r="C56" s="3068">
        <v>2</v>
      </c>
      <c r="D56" s="3068">
        <v>3</v>
      </c>
      <c r="E56" s="3099" t="s">
        <v>2626</v>
      </c>
      <c r="F56" s="3099" t="s">
        <v>2626</v>
      </c>
      <c r="G56" s="3099" t="s">
        <v>2626</v>
      </c>
    </row>
    <row r="57" spans="1:7" ht="19.5" customHeight="1">
      <c r="A57" s="3100" t="s">
        <v>2579</v>
      </c>
      <c r="B57" s="3068">
        <v>0.7</v>
      </c>
      <c r="C57" s="3068">
        <v>0.4</v>
      </c>
      <c r="D57" s="3068">
        <v>0.3</v>
      </c>
      <c r="E57" s="3099">
        <v>0.3</v>
      </c>
      <c r="F57" s="3068">
        <v>0.3</v>
      </c>
      <c r="G57" s="3068">
        <v>0.2</v>
      </c>
    </row>
    <row r="58" spans="1:7" ht="19.5" customHeight="1">
      <c r="A58" s="3100" t="s">
        <v>2580</v>
      </c>
      <c r="B58" s="3068">
        <v>0.7</v>
      </c>
      <c r="C58" s="3068">
        <v>0.4</v>
      </c>
      <c r="D58" s="3068">
        <v>0.3</v>
      </c>
      <c r="E58" s="3068">
        <v>0.3</v>
      </c>
      <c r="F58" s="3068">
        <v>0.3</v>
      </c>
      <c r="G58" s="3068">
        <v>0.2</v>
      </c>
    </row>
    <row r="59" spans="1:7" ht="19.5" customHeight="1">
      <c r="A59" s="3100" t="s">
        <v>2581</v>
      </c>
      <c r="B59" s="3068">
        <v>0.6</v>
      </c>
      <c r="C59" s="3068">
        <v>0.3</v>
      </c>
      <c r="D59" s="3068">
        <v>0.25</v>
      </c>
      <c r="E59" s="3068">
        <v>0.25</v>
      </c>
      <c r="F59" s="3068">
        <v>0.25</v>
      </c>
      <c r="G59" s="3068">
        <v>0.15</v>
      </c>
    </row>
    <row r="60" spans="1:7" ht="19.5" customHeight="1">
      <c r="A60" s="3100" t="s">
        <v>2582</v>
      </c>
      <c r="B60" s="3068">
        <v>0.6</v>
      </c>
      <c r="C60" s="3068">
        <v>0.3</v>
      </c>
      <c r="D60" s="3068">
        <v>0.25</v>
      </c>
      <c r="E60" s="3068">
        <v>0.25</v>
      </c>
      <c r="F60" s="3068">
        <v>0.25</v>
      </c>
      <c r="G60" s="3068">
        <v>0.15</v>
      </c>
    </row>
    <row r="61" spans="1:7" ht="19.5" customHeight="1">
      <c r="A61" s="3100" t="s">
        <v>2583</v>
      </c>
      <c r="B61" s="3068">
        <v>0.6</v>
      </c>
      <c r="C61" s="3068">
        <v>0.3</v>
      </c>
      <c r="D61" s="3068">
        <v>0.25</v>
      </c>
      <c r="E61" s="3068">
        <v>0.25</v>
      </c>
      <c r="F61" s="3068">
        <v>0.25</v>
      </c>
      <c r="G61" s="3068">
        <v>0.15</v>
      </c>
    </row>
    <row r="62" spans="1:7" ht="19.5" customHeight="1">
      <c r="A62" s="3100" t="s">
        <v>2584</v>
      </c>
      <c r="B62" s="3068">
        <v>0.6</v>
      </c>
      <c r="C62" s="3068">
        <v>0.3</v>
      </c>
      <c r="D62" s="3068">
        <v>0.25</v>
      </c>
      <c r="E62" s="3068">
        <v>0.25</v>
      </c>
      <c r="F62" s="3068">
        <v>0.25</v>
      </c>
      <c r="G62" s="3068">
        <v>0.15</v>
      </c>
    </row>
    <row r="63" spans="1:7" ht="19.5" customHeight="1">
      <c r="A63" s="3100" t="s">
        <v>2585</v>
      </c>
      <c r="B63" s="3068">
        <v>0.6</v>
      </c>
      <c r="C63" s="3068">
        <v>0.3</v>
      </c>
      <c r="D63" s="3068">
        <v>0.25</v>
      </c>
      <c r="E63" s="3068">
        <v>0.25</v>
      </c>
      <c r="F63" s="3068">
        <v>0.25</v>
      </c>
      <c r="G63" s="3068">
        <v>0.15</v>
      </c>
    </row>
    <row r="64" spans="1:7" ht="19.5" customHeight="1">
      <c r="A64" s="3100" t="s">
        <v>2586</v>
      </c>
      <c r="B64" s="3068">
        <v>0.5</v>
      </c>
      <c r="C64" s="3068">
        <v>0.2</v>
      </c>
      <c r="D64" s="3068">
        <v>0.2</v>
      </c>
      <c r="E64" s="3068">
        <v>0.2</v>
      </c>
      <c r="F64" s="3068">
        <v>0.2</v>
      </c>
      <c r="G64" s="3068">
        <v>0.1</v>
      </c>
    </row>
    <row r="65" spans="1:7" ht="19.5" customHeight="1">
      <c r="A65" s="3100" t="s">
        <v>2587</v>
      </c>
      <c r="B65" s="3068">
        <v>0.5</v>
      </c>
      <c r="C65" s="3068">
        <v>0.2</v>
      </c>
      <c r="D65" s="3068">
        <v>0.2</v>
      </c>
      <c r="E65" s="3068">
        <v>0.2</v>
      </c>
      <c r="F65" s="3068">
        <v>0.2</v>
      </c>
      <c r="G65" s="3068">
        <v>0.1</v>
      </c>
    </row>
    <row r="66" spans="1:7" ht="19.5" customHeight="1">
      <c r="A66" s="3100" t="s">
        <v>2588</v>
      </c>
      <c r="B66" s="3068">
        <v>0.5</v>
      </c>
      <c r="C66" s="3068">
        <v>0.2</v>
      </c>
      <c r="D66" s="3068">
        <v>0.2</v>
      </c>
      <c r="E66" s="3068">
        <v>0.2</v>
      </c>
      <c r="F66" s="3068">
        <v>0.2</v>
      </c>
      <c r="G66" s="3068">
        <v>0.1</v>
      </c>
    </row>
    <row r="67" spans="1:7" ht="19.5" customHeight="1">
      <c r="A67" s="3100" t="s">
        <v>2589</v>
      </c>
      <c r="B67" s="3068">
        <v>0.5</v>
      </c>
      <c r="C67" s="3068">
        <v>0.2</v>
      </c>
      <c r="D67" s="3068">
        <v>0.2</v>
      </c>
      <c r="E67" s="3068">
        <v>0.2</v>
      </c>
      <c r="F67" s="3068">
        <v>0.2</v>
      </c>
      <c r="G67" s="3068">
        <v>0.1</v>
      </c>
    </row>
    <row r="68" spans="1:7" ht="19.5" customHeight="1">
      <c r="A68" s="3100" t="s">
        <v>2590</v>
      </c>
      <c r="B68" s="3068">
        <v>0.5</v>
      </c>
      <c r="C68" s="3068">
        <v>0.2</v>
      </c>
      <c r="D68" s="3068">
        <v>0.2</v>
      </c>
      <c r="E68" s="3068">
        <v>0.2</v>
      </c>
      <c r="F68" s="3068">
        <v>0.2</v>
      </c>
      <c r="G68" s="3068">
        <v>0.1</v>
      </c>
    </row>
    <row r="70" spans="1:7" ht="19.5" customHeight="1">
      <c r="A70" s="3101"/>
      <c r="B70" s="3102"/>
      <c r="C70" s="3102"/>
      <c r="D70" s="3102" t="s">
        <v>2627</v>
      </c>
      <c r="E70" s="3102"/>
      <c r="F70" s="3102"/>
    </row>
    <row r="71" spans="1:7" ht="19.5" customHeight="1">
      <c r="A71" s="3094" t="s">
        <v>2628</v>
      </c>
      <c r="B71" s="3094" t="s">
        <v>2629</v>
      </c>
      <c r="C71" s="3094" t="s">
        <v>2630</v>
      </c>
      <c r="D71" s="3094" t="s">
        <v>2631</v>
      </c>
      <c r="E71" s="3094" t="s">
        <v>2632</v>
      </c>
      <c r="F71" s="3094" t="s">
        <v>2633</v>
      </c>
    </row>
    <row r="72" spans="1:7" ht="13.5">
      <c r="A72" s="3094"/>
      <c r="B72" s="3094"/>
      <c r="C72" s="3094" t="s">
        <v>2634</v>
      </c>
      <c r="D72" s="3094"/>
      <c r="E72" s="3094" t="s">
        <v>2605</v>
      </c>
      <c r="F72" s="3094" t="s">
        <v>2605</v>
      </c>
    </row>
    <row r="73" spans="1:7" ht="13.5">
      <c r="A73" s="3094">
        <v>1</v>
      </c>
      <c r="B73" s="3788" t="s">
        <v>2635</v>
      </c>
      <c r="C73" s="3068" t="s">
        <v>2636</v>
      </c>
      <c r="D73" s="3068" t="s">
        <v>2637</v>
      </c>
      <c r="E73" s="3094">
        <v>0.2</v>
      </c>
      <c r="F73" s="3094">
        <v>25</v>
      </c>
    </row>
    <row r="74" spans="1:7" ht="24">
      <c r="A74" s="3094">
        <v>2</v>
      </c>
      <c r="B74" s="3790"/>
      <c r="C74" s="3068" t="s">
        <v>2638</v>
      </c>
      <c r="D74" s="3068" t="s">
        <v>2639</v>
      </c>
      <c r="E74" s="3094">
        <v>0.2</v>
      </c>
      <c r="F74" s="3094">
        <v>25</v>
      </c>
    </row>
    <row r="75" spans="1:7" ht="24">
      <c r="A75" s="3094">
        <v>3</v>
      </c>
      <c r="B75" s="3790"/>
      <c r="C75" s="3068" t="s">
        <v>2640</v>
      </c>
      <c r="D75" s="3068" t="s">
        <v>2641</v>
      </c>
      <c r="E75" s="3094">
        <v>0.2</v>
      </c>
      <c r="F75" s="3094">
        <v>25</v>
      </c>
    </row>
    <row r="76" spans="1:7" ht="13.5">
      <c r="A76" s="3094">
        <v>4</v>
      </c>
      <c r="B76" s="3790"/>
      <c r="C76" s="3068" t="s">
        <v>2642</v>
      </c>
      <c r="D76" s="3068" t="s">
        <v>2643</v>
      </c>
      <c r="E76" s="3094">
        <v>0.15</v>
      </c>
      <c r="F76" s="3094">
        <v>20</v>
      </c>
    </row>
    <row r="77" spans="1:7" ht="24">
      <c r="A77" s="3094">
        <v>5</v>
      </c>
      <c r="B77" s="3790"/>
      <c r="C77" s="3068" t="s">
        <v>2644</v>
      </c>
      <c r="D77" s="3068" t="s">
        <v>2645</v>
      </c>
      <c r="E77" s="3094">
        <v>0.15</v>
      </c>
      <c r="F77" s="3094">
        <v>20</v>
      </c>
    </row>
    <row r="78" spans="1:7" ht="24">
      <c r="A78" s="3094">
        <v>6</v>
      </c>
      <c r="B78" s="3790"/>
      <c r="C78" s="3068" t="s">
        <v>2646</v>
      </c>
      <c r="D78" s="3068" t="s">
        <v>2647</v>
      </c>
      <c r="E78" s="3094">
        <v>0.15</v>
      </c>
      <c r="F78" s="3094">
        <v>20</v>
      </c>
    </row>
    <row r="79" spans="1:7" ht="24">
      <c r="A79" s="3094">
        <v>7</v>
      </c>
      <c r="B79" s="3790"/>
      <c r="C79" s="3068" t="s">
        <v>2648</v>
      </c>
      <c r="D79" s="3068" t="s">
        <v>2649</v>
      </c>
      <c r="E79" s="3094">
        <v>0.15</v>
      </c>
      <c r="F79" s="3094">
        <v>20</v>
      </c>
    </row>
    <row r="80" spans="1:7" ht="24">
      <c r="A80" s="3094">
        <v>8</v>
      </c>
      <c r="B80" s="3790"/>
      <c r="C80" s="3068" t="s">
        <v>2650</v>
      </c>
      <c r="D80" s="3068" t="s">
        <v>2651</v>
      </c>
      <c r="E80" s="3094">
        <v>0.1</v>
      </c>
      <c r="F80" s="3094">
        <v>15</v>
      </c>
    </row>
    <row r="81" spans="1:6" ht="24">
      <c r="A81" s="3094">
        <v>9</v>
      </c>
      <c r="B81" s="3790"/>
      <c r="C81" s="3068" t="s">
        <v>2652</v>
      </c>
      <c r="D81" s="3068" t="s">
        <v>2653</v>
      </c>
      <c r="E81" s="3094">
        <v>0.1</v>
      </c>
      <c r="F81" s="3094">
        <v>15</v>
      </c>
    </row>
    <row r="82" spans="1:6" ht="24">
      <c r="A82" s="3094">
        <v>10</v>
      </c>
      <c r="B82" s="3790"/>
      <c r="C82" s="3068" t="s">
        <v>2654</v>
      </c>
      <c r="D82" s="3068" t="s">
        <v>2655</v>
      </c>
      <c r="E82" s="3094">
        <v>0.1</v>
      </c>
      <c r="F82" s="3094">
        <v>15</v>
      </c>
    </row>
    <row r="83" spans="1:6" ht="24">
      <c r="A83" s="3094">
        <v>11</v>
      </c>
      <c r="B83" s="3790"/>
      <c r="C83" s="3068" t="s">
        <v>2656</v>
      </c>
      <c r="D83" s="3068" t="s">
        <v>2657</v>
      </c>
      <c r="E83" s="3094">
        <v>0.1</v>
      </c>
      <c r="F83" s="3094">
        <v>15</v>
      </c>
    </row>
    <row r="84" spans="1:6" ht="24">
      <c r="A84" s="3094">
        <v>12</v>
      </c>
      <c r="B84" s="3790"/>
      <c r="C84" s="3068" t="s">
        <v>2658</v>
      </c>
      <c r="D84" s="3068" t="s">
        <v>2659</v>
      </c>
      <c r="E84" s="3094">
        <v>0.1</v>
      </c>
      <c r="F84" s="3094">
        <v>15</v>
      </c>
    </row>
    <row r="85" spans="1:6" ht="13.5">
      <c r="A85" s="3094">
        <v>13</v>
      </c>
      <c r="B85" s="3790"/>
      <c r="C85" s="3068" t="s">
        <v>2660</v>
      </c>
      <c r="D85" s="3068" t="s">
        <v>2661</v>
      </c>
      <c r="E85" s="3094">
        <v>0.1</v>
      </c>
      <c r="F85" s="3094">
        <v>15</v>
      </c>
    </row>
    <row r="86" spans="1:6" ht="13.5">
      <c r="A86" s="3094">
        <v>14</v>
      </c>
      <c r="B86" s="3790"/>
      <c r="C86" s="3068" t="s">
        <v>2662</v>
      </c>
      <c r="D86" s="3068" t="s">
        <v>2663</v>
      </c>
      <c r="E86" s="3094">
        <v>0.1</v>
      </c>
      <c r="F86" s="3094">
        <v>15</v>
      </c>
    </row>
    <row r="87" spans="1:6" ht="13.5">
      <c r="A87" s="3094">
        <v>15</v>
      </c>
      <c r="B87" s="3790"/>
      <c r="C87" s="3068" t="s">
        <v>2664</v>
      </c>
      <c r="D87" s="3068" t="s">
        <v>2665</v>
      </c>
      <c r="E87" s="3094">
        <v>0.1</v>
      </c>
      <c r="F87" s="3094">
        <v>15</v>
      </c>
    </row>
    <row r="88" spans="1:6" ht="24">
      <c r="A88" s="3094">
        <v>16</v>
      </c>
      <c r="B88" s="3790"/>
      <c r="C88" s="3068" t="s">
        <v>2666</v>
      </c>
      <c r="D88" s="3068" t="s">
        <v>2667</v>
      </c>
      <c r="E88" s="3094">
        <v>0.1</v>
      </c>
      <c r="F88" s="3094">
        <v>15</v>
      </c>
    </row>
    <row r="89" spans="1:6" ht="24">
      <c r="A89" s="3094">
        <v>17</v>
      </c>
      <c r="B89" s="3789"/>
      <c r="C89" s="3068" t="s">
        <v>2668</v>
      </c>
      <c r="D89" s="3068" t="s">
        <v>2669</v>
      </c>
      <c r="E89" s="3094">
        <v>0.1</v>
      </c>
      <c r="F89" s="3094">
        <v>15</v>
      </c>
    </row>
    <row r="90" spans="1:6" ht="13.5">
      <c r="A90" s="3094">
        <v>18</v>
      </c>
      <c r="B90" s="3788" t="s">
        <v>2670</v>
      </c>
      <c r="C90" s="3068" t="s">
        <v>2671</v>
      </c>
      <c r="D90" s="3068" t="s">
        <v>2672</v>
      </c>
      <c r="E90" s="3094">
        <v>0.2</v>
      </c>
      <c r="F90" s="3094">
        <v>25</v>
      </c>
    </row>
    <row r="91" spans="1:6" ht="24">
      <c r="A91" s="3094">
        <v>19</v>
      </c>
      <c r="B91" s="3790"/>
      <c r="C91" s="3068" t="s">
        <v>2673</v>
      </c>
      <c r="D91" s="3068" t="s">
        <v>2674</v>
      </c>
      <c r="E91" s="3094">
        <v>0.2</v>
      </c>
      <c r="F91" s="3094">
        <v>25</v>
      </c>
    </row>
    <row r="92" spans="1:6" ht="13.5">
      <c r="A92" s="3094">
        <v>20</v>
      </c>
      <c r="B92" s="3790"/>
      <c r="C92" s="3068" t="s">
        <v>2675</v>
      </c>
      <c r="D92" s="3068" t="s">
        <v>2676</v>
      </c>
      <c r="E92" s="3094">
        <v>0.15</v>
      </c>
      <c r="F92" s="3094">
        <v>20</v>
      </c>
    </row>
    <row r="93" spans="1:6" ht="13.5">
      <c r="A93" s="3094">
        <v>21</v>
      </c>
      <c r="B93" s="3790"/>
      <c r="C93" s="3068" t="s">
        <v>2677</v>
      </c>
      <c r="D93" s="3068" t="s">
        <v>2678</v>
      </c>
      <c r="E93" s="3094">
        <v>0.15</v>
      </c>
      <c r="F93" s="3094">
        <v>20</v>
      </c>
    </row>
    <row r="94" spans="1:6" ht="13.5">
      <c r="A94" s="3094">
        <v>22</v>
      </c>
      <c r="B94" s="3790"/>
      <c r="C94" s="3068" t="s">
        <v>2679</v>
      </c>
      <c r="D94" s="3068" t="s">
        <v>2680</v>
      </c>
      <c r="E94" s="3094">
        <v>0.15</v>
      </c>
      <c r="F94" s="3094">
        <v>20</v>
      </c>
    </row>
    <row r="95" spans="1:6" ht="36">
      <c r="A95" s="3094">
        <v>23</v>
      </c>
      <c r="B95" s="3790"/>
      <c r="C95" s="3068" t="s">
        <v>2681</v>
      </c>
      <c r="D95" s="3068" t="s">
        <v>2682</v>
      </c>
      <c r="E95" s="3094">
        <v>0.15</v>
      </c>
      <c r="F95" s="3094">
        <v>20</v>
      </c>
    </row>
    <row r="96" spans="1:6" ht="13.5">
      <c r="A96" s="3094">
        <v>24</v>
      </c>
      <c r="B96" s="3790"/>
      <c r="C96" s="3068" t="s">
        <v>2683</v>
      </c>
      <c r="D96" s="3068" t="s">
        <v>2684</v>
      </c>
      <c r="E96" s="3094">
        <v>0.1</v>
      </c>
      <c r="F96" s="3094">
        <v>15</v>
      </c>
    </row>
    <row r="97" spans="1:6" ht="13.5">
      <c r="A97" s="3094">
        <v>25</v>
      </c>
      <c r="B97" s="3790"/>
      <c r="C97" s="3068" t="s">
        <v>2685</v>
      </c>
      <c r="D97" s="3068" t="s">
        <v>2686</v>
      </c>
      <c r="E97" s="3094">
        <v>0.1</v>
      </c>
      <c r="F97" s="3094">
        <v>15</v>
      </c>
    </row>
    <row r="98" spans="1:6" ht="24">
      <c r="A98" s="3094">
        <v>26</v>
      </c>
      <c r="B98" s="3790"/>
      <c r="C98" s="3068" t="s">
        <v>2687</v>
      </c>
      <c r="D98" s="3068" t="s">
        <v>2688</v>
      </c>
      <c r="E98" s="3094">
        <v>0.1</v>
      </c>
      <c r="F98" s="3094">
        <v>15</v>
      </c>
    </row>
    <row r="99" spans="1:6" ht="24">
      <c r="A99" s="3094">
        <v>27</v>
      </c>
      <c r="B99" s="3790"/>
      <c r="C99" s="3068" t="s">
        <v>2689</v>
      </c>
      <c r="D99" s="3068" t="s">
        <v>2690</v>
      </c>
      <c r="E99" s="3094">
        <v>0.1</v>
      </c>
      <c r="F99" s="3094">
        <v>15</v>
      </c>
    </row>
    <row r="100" spans="1:6" ht="13.5">
      <c r="A100" s="3094">
        <v>28</v>
      </c>
      <c r="B100" s="3790"/>
      <c r="C100" s="3068" t="s">
        <v>2691</v>
      </c>
      <c r="D100" s="3068" t="s">
        <v>2692</v>
      </c>
      <c r="E100" s="3094">
        <v>0.1</v>
      </c>
      <c r="F100" s="3094">
        <v>15</v>
      </c>
    </row>
    <row r="101" spans="1:6" ht="13.5">
      <c r="A101" s="3094">
        <v>29</v>
      </c>
      <c r="B101" s="3790"/>
      <c r="C101" s="3068" t="s">
        <v>2693</v>
      </c>
      <c r="D101" s="3068" t="s">
        <v>2694</v>
      </c>
      <c r="E101" s="3094">
        <v>0.1</v>
      </c>
      <c r="F101" s="3094">
        <v>15</v>
      </c>
    </row>
    <row r="102" spans="1:6" ht="13.5">
      <c r="A102" s="3094">
        <v>30</v>
      </c>
      <c r="B102" s="3790"/>
      <c r="C102" s="3068" t="s">
        <v>2695</v>
      </c>
      <c r="D102" s="3068" t="s">
        <v>2696</v>
      </c>
      <c r="E102" s="3094">
        <v>0.1</v>
      </c>
      <c r="F102" s="3094">
        <v>15</v>
      </c>
    </row>
    <row r="103" spans="1:6" ht="24">
      <c r="A103" s="3094">
        <v>31</v>
      </c>
      <c r="B103" s="3790"/>
      <c r="C103" s="3068" t="s">
        <v>2697</v>
      </c>
      <c r="D103" s="3068" t="s">
        <v>2698</v>
      </c>
      <c r="E103" s="3094">
        <v>0.1</v>
      </c>
      <c r="F103" s="3094">
        <v>15</v>
      </c>
    </row>
    <row r="104" spans="1:6" ht="24">
      <c r="A104" s="3094">
        <v>32</v>
      </c>
      <c r="B104" s="3790"/>
      <c r="C104" s="3068" t="s">
        <v>2699</v>
      </c>
      <c r="D104" s="3068" t="s">
        <v>2700</v>
      </c>
      <c r="E104" s="3094">
        <v>0.1</v>
      </c>
      <c r="F104" s="3094">
        <v>15</v>
      </c>
    </row>
    <row r="105" spans="1:6" ht="24">
      <c r="A105" s="3094">
        <v>33</v>
      </c>
      <c r="B105" s="3790"/>
      <c r="C105" s="3068" t="s">
        <v>2701</v>
      </c>
      <c r="D105" s="3068" t="s">
        <v>2702</v>
      </c>
      <c r="E105" s="3094">
        <v>0.1</v>
      </c>
      <c r="F105" s="3094">
        <v>15</v>
      </c>
    </row>
    <row r="106" spans="1:6" ht="24">
      <c r="A106" s="3094">
        <v>34</v>
      </c>
      <c r="B106" s="3789"/>
      <c r="C106" s="3068" t="s">
        <v>2703</v>
      </c>
      <c r="D106" s="3068" t="s">
        <v>2704</v>
      </c>
      <c r="E106" s="3094">
        <v>0.1</v>
      </c>
      <c r="F106" s="3094">
        <v>15</v>
      </c>
    </row>
    <row r="107" spans="1:6" ht="24">
      <c r="A107" s="3094">
        <v>35</v>
      </c>
      <c r="B107" s="3788" t="s">
        <v>2705</v>
      </c>
      <c r="C107" s="3094" t="s">
        <v>2706</v>
      </c>
      <c r="D107" s="3068" t="s">
        <v>2707</v>
      </c>
      <c r="E107" s="3094">
        <v>0.15</v>
      </c>
      <c r="F107" s="3094">
        <v>20</v>
      </c>
    </row>
    <row r="108" spans="1:6" ht="13.5">
      <c r="A108" s="3094">
        <v>36</v>
      </c>
      <c r="B108" s="3790"/>
      <c r="C108" s="3094" t="s">
        <v>2708</v>
      </c>
      <c r="D108" s="3068" t="s">
        <v>2709</v>
      </c>
      <c r="E108" s="3094">
        <v>0.15</v>
      </c>
      <c r="F108" s="3094">
        <v>20</v>
      </c>
    </row>
    <row r="109" spans="1:6" ht="13.5">
      <c r="A109" s="3094">
        <v>37</v>
      </c>
      <c r="B109" s="3790"/>
      <c r="C109" s="3094" t="s">
        <v>2710</v>
      </c>
      <c r="D109" s="3068" t="s">
        <v>2711</v>
      </c>
      <c r="E109" s="3094">
        <v>0.15</v>
      </c>
      <c r="F109" s="3094">
        <v>20</v>
      </c>
    </row>
    <row r="110" spans="1:6" ht="13.5">
      <c r="A110" s="3094">
        <v>38</v>
      </c>
      <c r="B110" s="3790"/>
      <c r="C110" s="3094" t="s">
        <v>2712</v>
      </c>
      <c r="D110" s="3068" t="s">
        <v>2713</v>
      </c>
      <c r="E110" s="3094">
        <v>0.1</v>
      </c>
      <c r="F110" s="3094">
        <v>15</v>
      </c>
    </row>
    <row r="111" spans="1:6" ht="24">
      <c r="A111" s="3094">
        <v>39</v>
      </c>
      <c r="B111" s="3790"/>
      <c r="C111" s="3094" t="s">
        <v>2714</v>
      </c>
      <c r="D111" s="3068" t="s">
        <v>2715</v>
      </c>
      <c r="E111" s="3094">
        <v>0.1</v>
      </c>
      <c r="F111" s="3094">
        <v>15</v>
      </c>
    </row>
    <row r="112" spans="1:6" ht="24">
      <c r="A112" s="3094">
        <v>40</v>
      </c>
      <c r="B112" s="3789"/>
      <c r="C112" s="3094" t="s">
        <v>2716</v>
      </c>
      <c r="D112" s="3068" t="s">
        <v>2717</v>
      </c>
      <c r="E112" s="3094">
        <v>0.1</v>
      </c>
      <c r="F112" s="3094">
        <v>15</v>
      </c>
    </row>
    <row r="113" spans="1:6" ht="13.5">
      <c r="A113" s="3094">
        <v>41</v>
      </c>
      <c r="B113" s="3787" t="s">
        <v>2718</v>
      </c>
      <c r="C113" s="3094" t="s">
        <v>2719</v>
      </c>
      <c r="D113" s="3068" t="s">
        <v>2720</v>
      </c>
      <c r="E113" s="3094">
        <v>0.1</v>
      </c>
      <c r="F113" s="3094">
        <v>15</v>
      </c>
    </row>
    <row r="114" spans="1:6" ht="13.5">
      <c r="A114" s="3094">
        <v>42</v>
      </c>
      <c r="B114" s="3787"/>
      <c r="C114" s="3094" t="s">
        <v>2721</v>
      </c>
      <c r="D114" s="3068" t="s">
        <v>2722</v>
      </c>
      <c r="E114" s="3094">
        <v>0.1</v>
      </c>
      <c r="F114" s="3094">
        <v>15</v>
      </c>
    </row>
    <row r="115" spans="1:6" ht="24">
      <c r="A115" s="3094">
        <v>43</v>
      </c>
      <c r="B115" s="3787"/>
      <c r="C115" s="3094" t="s">
        <v>2723</v>
      </c>
      <c r="D115" s="3068" t="s">
        <v>2724</v>
      </c>
      <c r="E115" s="3094">
        <v>0.1</v>
      </c>
      <c r="F115" s="3094">
        <v>15</v>
      </c>
    </row>
    <row r="116" spans="1:6" ht="13.5">
      <c r="A116" s="3094">
        <v>44</v>
      </c>
      <c r="B116" s="3788" t="s">
        <v>2725</v>
      </c>
      <c r="C116" s="3094" t="s">
        <v>2726</v>
      </c>
      <c r="D116" s="3068" t="s">
        <v>2727</v>
      </c>
      <c r="E116" s="3094">
        <v>0.1</v>
      </c>
      <c r="F116" s="3094">
        <v>15</v>
      </c>
    </row>
    <row r="117" spans="1:6" ht="24">
      <c r="A117" s="3094">
        <v>45</v>
      </c>
      <c r="B117" s="3789"/>
      <c r="C117" s="3068" t="s">
        <v>2728</v>
      </c>
      <c r="D117" s="3068" t="s">
        <v>2729</v>
      </c>
      <c r="E117" s="3094">
        <v>0.1</v>
      </c>
      <c r="F117" s="3094">
        <v>15</v>
      </c>
    </row>
    <row r="118" spans="1:6" ht="24">
      <c r="A118" s="3094">
        <v>46</v>
      </c>
      <c r="B118" s="3788" t="s">
        <v>2730</v>
      </c>
      <c r="C118" s="3094" t="s">
        <v>2731</v>
      </c>
      <c r="D118" s="3068" t="s">
        <v>2732</v>
      </c>
      <c r="E118" s="3094">
        <v>0.1</v>
      </c>
      <c r="F118" s="3094">
        <v>15</v>
      </c>
    </row>
    <row r="119" spans="1:6" ht="24">
      <c r="A119" s="3094">
        <v>47</v>
      </c>
      <c r="B119" s="3789"/>
      <c r="C119" s="3094" t="s">
        <v>2733</v>
      </c>
      <c r="D119" s="3068" t="s">
        <v>2734</v>
      </c>
      <c r="E119" s="3094">
        <v>0.1</v>
      </c>
      <c r="F119" s="3094">
        <v>15</v>
      </c>
    </row>
    <row r="120" spans="1:6" ht="13.5">
      <c r="A120" s="3094">
        <v>48</v>
      </c>
      <c r="B120" s="3788" t="s">
        <v>2735</v>
      </c>
      <c r="C120" s="3094" t="s">
        <v>2736</v>
      </c>
      <c r="D120" s="3068" t="s">
        <v>2737</v>
      </c>
      <c r="E120" s="3094">
        <v>0.1</v>
      </c>
      <c r="F120" s="3094">
        <v>15</v>
      </c>
    </row>
    <row r="121" spans="1:6" ht="13.5">
      <c r="A121" s="3094">
        <v>49</v>
      </c>
      <c r="B121" s="3789"/>
      <c r="C121" s="3094" t="s">
        <v>2738</v>
      </c>
      <c r="D121" s="3068" t="s">
        <v>2739</v>
      </c>
      <c r="E121" s="3094">
        <v>0.1</v>
      </c>
      <c r="F121" s="3094">
        <v>15</v>
      </c>
    </row>
    <row r="122" spans="1:6" ht="24">
      <c r="A122" s="3094">
        <v>50</v>
      </c>
      <c r="B122" s="3787" t="s">
        <v>2740</v>
      </c>
      <c r="C122" s="3094" t="s">
        <v>2741</v>
      </c>
      <c r="D122" s="3068" t="s">
        <v>2742</v>
      </c>
      <c r="E122" s="3094">
        <v>0.1</v>
      </c>
      <c r="F122" s="3094">
        <v>15</v>
      </c>
    </row>
    <row r="123" spans="1:6" ht="24">
      <c r="A123" s="3094">
        <v>51</v>
      </c>
      <c r="B123" s="3787"/>
      <c r="C123" s="3094" t="s">
        <v>2743</v>
      </c>
      <c r="D123" s="3068" t="s">
        <v>2744</v>
      </c>
      <c r="E123" s="3094">
        <v>0.1</v>
      </c>
      <c r="F123" s="3094">
        <v>15</v>
      </c>
    </row>
    <row r="124" spans="1:6" ht="24">
      <c r="A124" s="3094">
        <v>52</v>
      </c>
      <c r="B124" s="3787" t="s">
        <v>2745</v>
      </c>
      <c r="C124" s="3094" t="s">
        <v>2746</v>
      </c>
      <c r="D124" s="3068" t="s">
        <v>2747</v>
      </c>
      <c r="E124" s="3094">
        <v>0.1</v>
      </c>
      <c r="F124" s="3094">
        <v>15</v>
      </c>
    </row>
    <row r="125" spans="1:6" ht="24">
      <c r="A125" s="3094">
        <v>53</v>
      </c>
      <c r="B125" s="3787"/>
      <c r="C125" s="3094" t="s">
        <v>2748</v>
      </c>
      <c r="D125" s="3068" t="s">
        <v>2749</v>
      </c>
      <c r="E125" s="3094">
        <v>0.1</v>
      </c>
      <c r="F125" s="3094">
        <v>15</v>
      </c>
    </row>
    <row r="126" spans="1:6" ht="13.5">
      <c r="A126" s="3094">
        <v>54</v>
      </c>
      <c r="B126" s="3094" t="s">
        <v>2750</v>
      </c>
      <c r="C126" s="3094" t="s">
        <v>2751</v>
      </c>
      <c r="D126" s="3068" t="s">
        <v>2752</v>
      </c>
      <c r="E126" s="3094">
        <v>0.1</v>
      </c>
      <c r="F126" s="3094">
        <v>15</v>
      </c>
    </row>
    <row r="127" spans="1:6" ht="13.5">
      <c r="A127" s="3094">
        <v>55</v>
      </c>
      <c r="B127" s="3787" t="s">
        <v>2753</v>
      </c>
      <c r="C127" s="3094" t="s">
        <v>2754</v>
      </c>
      <c r="D127" s="3068" t="s">
        <v>2755</v>
      </c>
      <c r="E127" s="3094">
        <v>0.1</v>
      </c>
      <c r="F127" s="3094">
        <v>15</v>
      </c>
    </row>
    <row r="128" spans="1:6" ht="13.5">
      <c r="A128" s="3094">
        <v>56</v>
      </c>
      <c r="B128" s="3787"/>
      <c r="C128" s="3094" t="s">
        <v>2756</v>
      </c>
      <c r="D128" s="3068" t="s">
        <v>2757</v>
      </c>
      <c r="E128" s="3094">
        <v>0.1</v>
      </c>
      <c r="F128" s="3094">
        <v>15</v>
      </c>
    </row>
    <row r="129" spans="1:6" ht="24">
      <c r="A129" s="3094">
        <v>57</v>
      </c>
      <c r="B129" s="3787"/>
      <c r="C129" s="3094" t="s">
        <v>2758</v>
      </c>
      <c r="D129" s="3068" t="s">
        <v>2759</v>
      </c>
      <c r="E129" s="3094">
        <v>0.1</v>
      </c>
      <c r="F129" s="3094">
        <v>15</v>
      </c>
    </row>
    <row r="130" spans="1:6" ht="24">
      <c r="A130" s="3094">
        <v>58</v>
      </c>
      <c r="B130" s="3787" t="s">
        <v>2760</v>
      </c>
      <c r="C130" s="3094" t="s">
        <v>2761</v>
      </c>
      <c r="D130" s="3068" t="s">
        <v>2762</v>
      </c>
      <c r="E130" s="3094">
        <v>0.1</v>
      </c>
      <c r="F130" s="3094">
        <v>15</v>
      </c>
    </row>
    <row r="131" spans="1:6" ht="13.5">
      <c r="A131" s="3094">
        <v>59</v>
      </c>
      <c r="B131" s="3787"/>
      <c r="C131" s="3094" t="s">
        <v>2763</v>
      </c>
      <c r="D131" s="3068" t="s">
        <v>2764</v>
      </c>
      <c r="E131" s="3094">
        <v>0.1</v>
      </c>
      <c r="F131" s="3094">
        <v>15</v>
      </c>
    </row>
    <row r="132" spans="1:6" ht="13.5">
      <c r="A132" s="3094">
        <v>60</v>
      </c>
      <c r="B132" s="3788" t="s">
        <v>2765</v>
      </c>
      <c r="C132" s="3094" t="s">
        <v>2766</v>
      </c>
      <c r="D132" s="3068" t="s">
        <v>2767</v>
      </c>
      <c r="E132" s="3094">
        <v>0.1</v>
      </c>
      <c r="F132" s="3094">
        <v>15</v>
      </c>
    </row>
    <row r="133" spans="1:6" ht="13.5">
      <c r="A133" s="3094">
        <v>61</v>
      </c>
      <c r="B133" s="3789"/>
      <c r="C133" s="3094" t="s">
        <v>2768</v>
      </c>
      <c r="D133" s="3068" t="s">
        <v>2769</v>
      </c>
      <c r="E133" s="3094">
        <v>0.1</v>
      </c>
      <c r="F133" s="3094">
        <v>15</v>
      </c>
    </row>
    <row r="134" spans="1:6" ht="24">
      <c r="A134" s="3094">
        <v>62</v>
      </c>
      <c r="B134" s="3094" t="s">
        <v>2770</v>
      </c>
      <c r="C134" s="3094" t="s">
        <v>2771</v>
      </c>
      <c r="D134" s="3068" t="s">
        <v>2772</v>
      </c>
      <c r="E134" s="3094">
        <v>0.1</v>
      </c>
      <c r="F134" s="3094">
        <v>15</v>
      </c>
    </row>
    <row r="135" spans="1:6" ht="13.5">
      <c r="A135" s="3094">
        <v>63</v>
      </c>
      <c r="B135" s="3787" t="s">
        <v>2773</v>
      </c>
      <c r="C135" s="3094" t="s">
        <v>2774</v>
      </c>
      <c r="D135" s="3068" t="s">
        <v>2775</v>
      </c>
      <c r="E135" s="3094">
        <v>0.1</v>
      </c>
      <c r="F135" s="3094">
        <v>15</v>
      </c>
    </row>
    <row r="136" spans="1:6" ht="13.5">
      <c r="A136" s="3094">
        <v>64</v>
      </c>
      <c r="B136" s="3787"/>
      <c r="C136" s="3094" t="s">
        <v>2776</v>
      </c>
      <c r="D136" s="3068" t="s">
        <v>2777</v>
      </c>
      <c r="E136" s="3094">
        <v>0.1</v>
      </c>
      <c r="F136" s="3094">
        <v>15</v>
      </c>
    </row>
    <row r="137" spans="1:6" ht="13.5">
      <c r="A137" s="3094">
        <v>65</v>
      </c>
      <c r="B137" s="3094" t="s">
        <v>2778</v>
      </c>
      <c r="C137" s="3094" t="s">
        <v>2779</v>
      </c>
      <c r="D137" s="3068" t="s">
        <v>2780</v>
      </c>
      <c r="E137" s="3094">
        <v>0.1</v>
      </c>
      <c r="F137" s="3094">
        <v>15</v>
      </c>
    </row>
    <row r="138" spans="1:6" ht="13.5">
      <c r="A138" s="3094"/>
      <c r="B138" s="3094"/>
      <c r="C138" s="3094"/>
      <c r="D138" s="3094"/>
      <c r="E138" s="3094" t="s">
        <v>2781</v>
      </c>
      <c r="F138" s="3094"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2782</v>
      </c>
      <c r="B1" s="3103"/>
      <c r="C1" s="3103"/>
      <c r="D1" s="3103"/>
      <c r="E1" s="3103"/>
      <c r="F1" s="3103"/>
      <c r="G1" s="3103"/>
      <c r="H1" s="3103"/>
      <c r="I1" s="3103"/>
      <c r="J1" s="3103"/>
      <c r="K1" s="3103"/>
      <c r="L1" s="3103"/>
      <c r="M1" s="3103"/>
      <c r="N1" s="749"/>
    </row>
    <row r="2" spans="1:20">
      <c r="A2" s="3104" t="s">
        <v>2783</v>
      </c>
      <c r="B2" s="3105" t="s">
        <v>2579</v>
      </c>
      <c r="C2" s="3105" t="s">
        <v>2580</v>
      </c>
      <c r="D2" s="3105" t="s">
        <v>2581</v>
      </c>
      <c r="E2" s="3105" t="s">
        <v>2582</v>
      </c>
      <c r="F2" s="3105" t="s">
        <v>2583</v>
      </c>
      <c r="G2" s="3105" t="s">
        <v>2584</v>
      </c>
      <c r="H2" s="3106" t="s">
        <v>2585</v>
      </c>
      <c r="I2" s="3106" t="s">
        <v>2586</v>
      </c>
      <c r="J2" s="3107" t="s">
        <v>2587</v>
      </c>
      <c r="K2" s="3107" t="s">
        <v>2588</v>
      </c>
      <c r="L2" s="3107" t="s">
        <v>2589</v>
      </c>
      <c r="M2" s="3108" t="s">
        <v>2590</v>
      </c>
      <c r="Q2" s="3118" t="s">
        <v>2788</v>
      </c>
      <c r="R2" s="3118" t="s">
        <v>2789</v>
      </c>
      <c r="S2" s="3118" t="s">
        <v>2790</v>
      </c>
      <c r="T2" s="3118" t="s">
        <v>2791</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2784</v>
      </c>
      <c r="B93" s="3103"/>
      <c r="C93" s="3103"/>
      <c r="D93" s="3103"/>
      <c r="E93" s="3103"/>
      <c r="F93" s="3103"/>
      <c r="G93" s="3103"/>
      <c r="H93" s="3103"/>
      <c r="I93" s="3103"/>
      <c r="J93" s="3103"/>
      <c r="K93" s="3103"/>
      <c r="L93" s="3103"/>
      <c r="M93" s="3103"/>
    </row>
    <row r="94" spans="1:20">
      <c r="A94" s="3104" t="s">
        <v>2783</v>
      </c>
      <c r="B94" s="3105" t="s">
        <v>2579</v>
      </c>
      <c r="C94" s="3105" t="s">
        <v>2580</v>
      </c>
      <c r="D94" s="3105" t="s">
        <v>2581</v>
      </c>
      <c r="E94" s="3105" t="s">
        <v>2582</v>
      </c>
      <c r="F94" s="3105" t="s">
        <v>2583</v>
      </c>
      <c r="G94" s="3105" t="s">
        <v>2584</v>
      </c>
      <c r="H94" s="3106" t="s">
        <v>2585</v>
      </c>
      <c r="I94" s="3106" t="s">
        <v>2586</v>
      </c>
      <c r="J94" s="3107" t="s">
        <v>2587</v>
      </c>
      <c r="K94" s="3107" t="s">
        <v>2588</v>
      </c>
      <c r="L94" s="3107" t="s">
        <v>2589</v>
      </c>
      <c r="M94" s="3108" t="s">
        <v>2590</v>
      </c>
      <c r="N94" s="750" t="e">
        <f>SUMPRODUCT((A95:A184=ROUNDDOWN(基准地价修正!G3,1))*(B94:M94=基准地价修正!G2)*(B95:M184))</f>
        <v>#DIV/0!</v>
      </c>
      <c r="Q94" s="3118" t="s">
        <v>2788</v>
      </c>
      <c r="R94" s="3118" t="s">
        <v>2789</v>
      </c>
      <c r="S94" s="3118" t="s">
        <v>2790</v>
      </c>
      <c r="T94" s="3118" t="s">
        <v>2791</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2785</v>
      </c>
      <c r="B185" s="3103"/>
      <c r="C185" s="3103"/>
      <c r="D185" s="3103"/>
      <c r="E185" s="3103"/>
      <c r="F185" s="3103"/>
      <c r="G185" s="3103"/>
      <c r="H185" s="3103"/>
      <c r="I185" s="3103"/>
      <c r="J185" s="3103"/>
      <c r="K185" s="3103"/>
      <c r="L185" s="3103"/>
      <c r="M185" s="3103"/>
    </row>
    <row r="186" spans="1:20">
      <c r="A186" s="3104" t="s">
        <v>2783</v>
      </c>
      <c r="B186" s="3105" t="s">
        <v>2579</v>
      </c>
      <c r="C186" s="3105" t="s">
        <v>2580</v>
      </c>
      <c r="D186" s="3105" t="s">
        <v>2581</v>
      </c>
      <c r="E186" s="3105" t="s">
        <v>2582</v>
      </c>
      <c r="F186" s="3105" t="s">
        <v>2583</v>
      </c>
      <c r="G186" s="3105" t="s">
        <v>2584</v>
      </c>
      <c r="H186" s="3106" t="s">
        <v>2585</v>
      </c>
      <c r="I186" s="3106" t="s">
        <v>2586</v>
      </c>
      <c r="J186" s="3107" t="s">
        <v>2587</v>
      </c>
      <c r="K186" s="3107" t="s">
        <v>2588</v>
      </c>
      <c r="L186" s="3107" t="s">
        <v>2589</v>
      </c>
      <c r="M186" s="3108" t="s">
        <v>2590</v>
      </c>
      <c r="Q186" s="3118" t="s">
        <v>2788</v>
      </c>
      <c r="R186" s="3118" t="s">
        <v>2789</v>
      </c>
      <c r="S186" s="3118" t="s">
        <v>2790</v>
      </c>
      <c r="T186" s="3118" t="s">
        <v>2791</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2786</v>
      </c>
      <c r="B277" s="3103"/>
      <c r="C277" s="3103"/>
      <c r="D277" s="3103"/>
      <c r="E277" s="3103"/>
      <c r="F277" s="3103"/>
      <c r="G277" s="3103"/>
      <c r="H277" s="3103"/>
      <c r="I277" s="3103"/>
      <c r="J277" s="3103"/>
      <c r="K277" s="3103"/>
      <c r="L277" s="3103"/>
      <c r="M277" s="3103"/>
    </row>
    <row r="278" spans="1:21">
      <c r="A278" s="3104" t="s">
        <v>2783</v>
      </c>
      <c r="B278" s="3105" t="s">
        <v>2579</v>
      </c>
      <c r="C278" s="3105" t="s">
        <v>2580</v>
      </c>
      <c r="D278" s="3105" t="s">
        <v>2581</v>
      </c>
      <c r="E278" s="3105" t="s">
        <v>2582</v>
      </c>
      <c r="F278" s="3105" t="s">
        <v>2583</v>
      </c>
      <c r="G278" s="3105" t="s">
        <v>2584</v>
      </c>
      <c r="H278" s="3106" t="s">
        <v>2585</v>
      </c>
      <c r="I278" s="3106" t="s">
        <v>2586</v>
      </c>
      <c r="J278" s="3107" t="s">
        <v>2587</v>
      </c>
      <c r="K278" s="3107" t="s">
        <v>2588</v>
      </c>
      <c r="L278" s="3107" t="s">
        <v>2589</v>
      </c>
      <c r="M278" s="3108" t="s">
        <v>2590</v>
      </c>
      <c r="Q278" s="3118" t="s">
        <v>2788</v>
      </c>
      <c r="R278" s="3118" t="s">
        <v>2789</v>
      </c>
      <c r="S278" s="3118" t="s">
        <v>2792</v>
      </c>
      <c r="T278" s="3118" t="s">
        <v>2793</v>
      </c>
      <c r="U278" s="3118" t="s">
        <v>2791</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2787</v>
      </c>
      <c r="B369" s="3116"/>
      <c r="C369" s="3116"/>
      <c r="D369" s="3116"/>
      <c r="E369" s="3116"/>
      <c r="F369" s="3116"/>
      <c r="G369" s="3116"/>
      <c r="H369" s="3116"/>
      <c r="I369" s="3116"/>
      <c r="J369" s="3116"/>
      <c r="K369" s="3116"/>
      <c r="L369" s="3116"/>
      <c r="M369" s="3116"/>
    </row>
    <row r="370" spans="1:20">
      <c r="A370" s="3104" t="s">
        <v>2783</v>
      </c>
      <c r="B370" s="3105" t="s">
        <v>2579</v>
      </c>
      <c r="C370" s="3105" t="s">
        <v>2580</v>
      </c>
      <c r="D370" s="3105" t="s">
        <v>2581</v>
      </c>
      <c r="E370" s="3105" t="s">
        <v>2582</v>
      </c>
      <c r="F370" s="3105" t="s">
        <v>2583</v>
      </c>
      <c r="G370" s="3105" t="s">
        <v>2584</v>
      </c>
      <c r="H370" s="3106" t="s">
        <v>2585</v>
      </c>
      <c r="I370" s="3106" t="s">
        <v>2586</v>
      </c>
      <c r="J370" s="3107" t="s">
        <v>2587</v>
      </c>
      <c r="K370" s="3107" t="s">
        <v>2588</v>
      </c>
      <c r="L370" s="3107" t="s">
        <v>2589</v>
      </c>
      <c r="M370" s="3108" t="s">
        <v>2590</v>
      </c>
      <c r="N370" s="750" t="e">
        <f>SUMPRODUCT((A371:A460=ROUNDDOWN(基准地价修正!G3,1))*(B370:M370=基准地价修正!G2)*(B371:M460))</f>
        <v>#DIV/0!</v>
      </c>
      <c r="Q370" s="3118" t="s">
        <v>2788</v>
      </c>
      <c r="R370" s="3118" t="s">
        <v>2789</v>
      </c>
      <c r="S370" s="3118" t="s">
        <v>2790</v>
      </c>
      <c r="T370" s="3118" t="s">
        <v>2791</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36354</v>
      </c>
      <c r="C2" s="2" t="s">
        <v>106</v>
      </c>
      <c r="D2" s="199"/>
      <c r="E2" s="199"/>
      <c r="F2" s="199"/>
      <c r="G2" s="199"/>
    </row>
    <row r="3" spans="1:7" s="200" customFormat="1" ht="18" customHeight="1" thickBot="1">
      <c r="A3" s="203" t="s">
        <v>58</v>
      </c>
      <c r="B3" s="204">
        <f ca="1">ROUND(B2*10000/'数据-汇总表'!E3,0)</f>
        <v>27691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263</v>
      </c>
      <c r="D10" s="845">
        <f>'数据-汇总表'!E6</f>
        <v>13128.449999999992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263</v>
      </c>
      <c r="D19" s="849">
        <f>'数据-汇总表'!E3</f>
        <v>13128.449999999992</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1479</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3194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7953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7221</v>
      </c>
      <c r="D34" s="217"/>
      <c r="E34" s="220"/>
      <c r="F34" s="257">
        <f>IF('数据-取费表'!B24=0,1,'数据-取费表'!N16)</f>
        <v>1</v>
      </c>
      <c r="G34" s="219" t="s">
        <v>89</v>
      </c>
    </row>
    <row r="35" spans="1:7" ht="13.5" customHeight="1">
      <c r="A35" s="780" t="s">
        <v>351</v>
      </c>
      <c r="B35" s="215" t="s">
        <v>33</v>
      </c>
      <c r="C35" s="220">
        <f>ROUND(C34*F35,0)</f>
        <v>361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263</v>
      </c>
      <c r="D37" s="217">
        <f>'数据-汇总表'!E3</f>
        <v>13128.449999999992</v>
      </c>
      <c r="E37" s="249">
        <f>'数据-取费表'!B35</f>
        <v>200</v>
      </c>
      <c r="F37" s="259"/>
      <c r="G37" s="261" t="s">
        <v>92</v>
      </c>
    </row>
    <row r="38" spans="1:7" ht="13.5" customHeight="1">
      <c r="A38" s="780" t="s">
        <v>354</v>
      </c>
      <c r="B38" s="215" t="s">
        <v>36</v>
      </c>
      <c r="C38" s="220">
        <f>ROUND(C34*F38,0)</f>
        <v>108</v>
      </c>
      <c r="D38" s="220"/>
      <c r="E38" s="220"/>
      <c r="F38" s="259">
        <f>'数据-取费表'!B36</f>
        <v>1.4999999999999999E-2</v>
      </c>
      <c r="G38" s="219" t="s">
        <v>90</v>
      </c>
    </row>
    <row r="39" spans="1:7" s="214" customFormat="1" ht="13.5" customHeight="1">
      <c r="A39" s="777" t="s">
        <v>338</v>
      </c>
      <c r="B39" s="210" t="s">
        <v>77</v>
      </c>
      <c r="C39" s="232">
        <f>ROUND(C33*F20,0)</f>
        <v>159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274</v>
      </c>
      <c r="D42" s="238"/>
      <c r="E42" s="238"/>
      <c r="F42" s="239"/>
      <c r="G42" s="3681" t="s">
        <v>94</v>
      </c>
    </row>
    <row r="43" spans="1:7" ht="13.5" customHeight="1">
      <c r="A43" s="780" t="s">
        <v>347</v>
      </c>
      <c r="B43" s="215" t="s">
        <v>426</v>
      </c>
      <c r="C43" s="238">
        <f ca="1">ROUND(IF('数据-取费表'!B22&lt;=1,C39*F22*'数据-取费表'!B21/2,C39*(POWER((1+F22),'数据-取费表'!B21/2)-1)),0)</f>
        <v>5</v>
      </c>
      <c r="D43" s="238"/>
      <c r="E43" s="238"/>
      <c r="F43" s="239"/>
      <c r="G43" s="3682"/>
    </row>
    <row r="44" spans="1:7" ht="13.5" customHeight="1">
      <c r="A44" s="780" t="s">
        <v>348</v>
      </c>
      <c r="B44" s="215" t="s">
        <v>428</v>
      </c>
      <c r="C44" s="238">
        <f ca="1">ROUND(IF('数据-取费表'!B22&lt;=1,C40*F22*'数据-取费表'!B21/2,C40*(POWER((1+F22),'数据-取费表'!B21/2)-1)),4)</f>
        <v>6.9999999999999999E-4</v>
      </c>
      <c r="D44" s="238"/>
      <c r="E44" s="238"/>
      <c r="F44" s="239"/>
      <c r="G44" s="3683"/>
    </row>
    <row r="45" spans="1:7" s="214" customFormat="1" ht="13.5" customHeight="1">
      <c r="A45" s="777" t="s">
        <v>341</v>
      </c>
      <c r="B45" s="244" t="s">
        <v>85</v>
      </c>
      <c r="C45" s="245">
        <f>C46</f>
        <v>1217</v>
      </c>
      <c r="D45" s="235">
        <f>C47</f>
        <v>3.0000000000000001E-3</v>
      </c>
      <c r="E45" s="236" t="s">
        <v>102</v>
      </c>
      <c r="F45" s="246"/>
      <c r="G45" s="247" t="s">
        <v>434</v>
      </c>
    </row>
    <row r="46" spans="1:7" s="214" customFormat="1" ht="13.5" customHeight="1">
      <c r="A46" s="780" t="s">
        <v>349</v>
      </c>
      <c r="B46" s="248" t="s">
        <v>427</v>
      </c>
      <c r="C46" s="249">
        <f>ROUND((C33+C39)*F27,0)</f>
        <v>1217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10410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8224</v>
      </c>
      <c r="D51" s="232"/>
      <c r="E51" s="232"/>
      <c r="F51" s="264"/>
      <c r="G51" s="234" t="s">
        <v>37</v>
      </c>
    </row>
    <row r="52" spans="1:7" s="208" customFormat="1" ht="16.5" thickBot="1">
      <c r="A52" s="265" t="s">
        <v>38</v>
      </c>
      <c r="B52" s="266"/>
      <c r="C52" s="267">
        <f ca="1">C31+C51</f>
        <v>36354</v>
      </c>
      <c r="D52" s="266"/>
      <c r="E52" s="266"/>
      <c r="F52" s="266"/>
      <c r="G52" s="268"/>
    </row>
    <row r="55" spans="1:7" ht="15">
      <c r="B55" s="270" t="s">
        <v>39</v>
      </c>
      <c r="C55" s="271"/>
    </row>
    <row r="56" spans="1:7">
      <c r="B56" s="273" t="s">
        <v>40</v>
      </c>
      <c r="C56" s="274">
        <f ca="1">ROUND(C51/C52,3)</f>
        <v>0.22600000000000001</v>
      </c>
    </row>
    <row r="57" spans="1:7">
      <c r="B57" s="273" t="s">
        <v>41</v>
      </c>
      <c r="C57" s="275">
        <f ca="1">1-C56</f>
        <v>0.77400000000000002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801" t="s">
        <v>2823</v>
      </c>
      <c r="B1" s="3801"/>
      <c r="C1" s="3801"/>
      <c r="D1" s="3801"/>
      <c r="E1" s="3801"/>
      <c r="F1" s="3801"/>
      <c r="G1" s="3802"/>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99" t="s">
        <v>2850</v>
      </c>
      <c r="B3" s="3206"/>
      <c r="C3" s="3207" t="s">
        <v>2795</v>
      </c>
      <c r="D3" s="3207" t="s">
        <v>2851</v>
      </c>
      <c r="E3" s="3207" t="s">
        <v>2797</v>
      </c>
      <c r="F3" s="3207" t="s">
        <v>2852</v>
      </c>
      <c r="G3" s="3207" t="s">
        <v>2615</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800"/>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803" t="s">
        <v>3165</v>
      </c>
      <c r="B1" s="3803"/>
    </row>
    <row r="2" spans="1:7" ht="14.25" thickBot="1">
      <c r="A2" s="3231"/>
      <c r="B2" s="3231"/>
    </row>
    <row r="3" spans="1:7" ht="14.25" thickBot="1">
      <c r="A3" s="3231"/>
      <c r="B3" s="3231"/>
      <c r="C3" s="3232" t="s">
        <v>2795</v>
      </c>
      <c r="D3" s="3232" t="s">
        <v>2851</v>
      </c>
      <c r="E3" s="3232" t="s">
        <v>2797</v>
      </c>
      <c r="F3" s="3232" t="s">
        <v>2852</v>
      </c>
      <c r="G3" s="3232" t="s">
        <v>2615</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804" t="s">
        <v>3216</v>
      </c>
      <c r="B1" s="3804"/>
      <c r="C1" s="3804"/>
      <c r="D1" s="3804"/>
      <c r="E1" s="3804"/>
      <c r="F1" s="3805"/>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估价结果一览表（市场价值不需“结果表-1”）</v>
      </c>
      <c r="B3" s="3503"/>
      <c r="C3" s="3503"/>
      <c r="D3" s="3503"/>
      <c r="E3" s="3503"/>
    </row>
    <row r="4" spans="1:5" ht="19.5" thickBot="1">
      <c r="A4" s="1493"/>
      <c r="B4" s="3501" t="s">
        <v>917</v>
      </c>
      <c r="C4" s="3501"/>
      <c r="D4" s="3501"/>
      <c r="E4" s="1493"/>
    </row>
    <row r="5" spans="1:5" ht="16.5" thickTop="1">
      <c r="A5" s="1491"/>
      <c r="B5" s="3499" t="s">
        <v>909</v>
      </c>
      <c r="C5" s="1494" t="s">
        <v>910</v>
      </c>
      <c r="D5" s="850">
        <f ca="1">结果表!H101</f>
        <v>62290</v>
      </c>
      <c r="E5" s="1491"/>
    </row>
    <row r="6" spans="1:5" ht="15.75">
      <c r="A6" s="1491"/>
      <c r="B6" s="3499"/>
      <c r="C6" s="1494" t="s">
        <v>911</v>
      </c>
      <c r="D6" s="850" t="str">
        <f ca="1">NUMBERSTRING(INT(D5*10000),2)&amp;"元整"</f>
        <v>陆亿贰仟贰佰玖拾万元整</v>
      </c>
      <c r="E6" s="1491"/>
    </row>
    <row r="7" spans="1:5" ht="15.75">
      <c r="A7" s="1491"/>
      <c r="B7" s="3504"/>
      <c r="C7" s="1495" t="s">
        <v>912</v>
      </c>
      <c r="D7" s="851">
        <f ca="1">结果表!H102</f>
        <v>47447</v>
      </c>
      <c r="E7" s="1491"/>
    </row>
    <row r="8" spans="1:5" ht="15.75">
      <c r="A8" s="1491"/>
      <c r="B8" s="3505" t="str">
        <f>结果表!E103</f>
        <v>2.估价师知悉的法定优先受偿款</v>
      </c>
      <c r="C8" s="1496" t="s">
        <v>913</v>
      </c>
      <c r="D8" s="851">
        <f>结果表!H103</f>
        <v>0</v>
      </c>
      <c r="E8" s="1491"/>
    </row>
    <row r="9" spans="1:5" ht="15.75">
      <c r="A9" s="1491"/>
      <c r="B9" s="350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8" t="str">
        <f>结果表!E107</f>
        <v>3.房地产抵押价值</v>
      </c>
      <c r="C13" s="1499" t="s">
        <v>910</v>
      </c>
      <c r="D13" s="853">
        <f ca="1">结果表!H107</f>
        <v>62290</v>
      </c>
      <c r="E13" s="1491"/>
    </row>
    <row r="14" spans="1:5" ht="15.75">
      <c r="A14" s="1491"/>
      <c r="B14" s="3499"/>
      <c r="C14" s="1494" t="s">
        <v>911</v>
      </c>
      <c r="D14" s="850" t="str">
        <f ca="1">NUMBERSTRING(INT(D13*10000),2)&amp;"元整"</f>
        <v>陆亿贰仟贰佰玖拾万元整</v>
      </c>
      <c r="E14" s="1491"/>
    </row>
    <row r="15" spans="1:5" ht="15">
      <c r="A15" s="1491"/>
      <c r="B15" s="3504"/>
      <c r="C15" s="1495" t="s">
        <v>921</v>
      </c>
      <c r="D15" s="859">
        <f ca="1">结果表!H108</f>
        <v>47447</v>
      </c>
      <c r="E15" s="1491"/>
    </row>
    <row r="16" spans="1:5" ht="15">
      <c r="A16" s="1491"/>
      <c r="B16" s="3505" t="str">
        <f>结果表!E109</f>
        <v>——</v>
      </c>
      <c r="C16" s="1499" t="s">
        <v>922</v>
      </c>
      <c r="D16" s="1500" t="str">
        <f>结果表!H109</f>
        <v>——</v>
      </c>
      <c r="E16" s="1491"/>
    </row>
    <row r="17" spans="1:5" ht="15.75">
      <c r="A17" s="1491"/>
      <c r="B17" s="3506"/>
      <c r="C17" s="1494" t="s">
        <v>923</v>
      </c>
      <c r="D17" s="850" t="e">
        <f>NUMBERSTRING(INT(D16*10000),2)&amp;"元整"</f>
        <v>#VALUE!</v>
      </c>
      <c r="E17" s="1491"/>
    </row>
    <row r="18" spans="1:5" ht="15">
      <c r="A18" s="1491"/>
      <c r="B18" s="3507"/>
      <c r="C18" s="1495" t="s">
        <v>912</v>
      </c>
      <c r="D18" s="859" t="str">
        <f>结果表!H110</f>
        <v>——</v>
      </c>
      <c r="E18" s="1491"/>
    </row>
    <row r="19" spans="1:5" ht="15.75">
      <c r="A19" s="1491"/>
      <c r="B19" s="3498" t="str">
        <f>结果表!E111</f>
        <v>——</v>
      </c>
      <c r="C19" s="1499" t="s">
        <v>910</v>
      </c>
      <c r="D19" s="851" t="str">
        <f>结果表!H111</f>
        <v>——</v>
      </c>
      <c r="E19" s="1491"/>
    </row>
    <row r="20" spans="1:5" ht="15.75">
      <c r="A20" s="1491"/>
      <c r="B20" s="3499"/>
      <c r="C20" s="1494" t="s">
        <v>923</v>
      </c>
      <c r="D20" s="850" t="e">
        <f>NUMBERSTRING(INT(D19*10000),2)&amp;"元整"</f>
        <v>#VALUE!</v>
      </c>
      <c r="E20" s="1491"/>
    </row>
    <row r="21" spans="1:5" ht="15.75" thickBot="1">
      <c r="A21" s="1491"/>
      <c r="B21" s="350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45279</v>
      </c>
      <c r="B1" s="3186" t="s">
        <v>3355</v>
      </c>
      <c r="C1" s="3187"/>
      <c r="D1" s="3187"/>
      <c r="E1" s="3187"/>
      <c r="F1" s="3187"/>
      <c r="G1" s="3187"/>
      <c r="H1" s="3187"/>
      <c r="I1" s="3187"/>
      <c r="J1" s="3141"/>
      <c r="K1" s="3187" t="s">
        <v>454</v>
      </c>
      <c r="L1" s="3187"/>
      <c r="M1" s="3187"/>
      <c r="N1" s="3187"/>
      <c r="O1" s="3187"/>
      <c r="P1" s="3187"/>
      <c r="Q1" s="3141"/>
      <c r="R1" s="3806" t="s">
        <v>456</v>
      </c>
      <c r="S1" s="3807"/>
      <c r="T1" s="3807"/>
      <c r="U1" s="3807"/>
      <c r="V1" s="3807"/>
      <c r="W1" s="3807"/>
      <c r="X1" s="3141"/>
      <c r="Y1" s="3806" t="s">
        <v>457</v>
      </c>
      <c r="Z1" s="3807"/>
      <c r="AA1" s="3807"/>
      <c r="AB1" s="3807"/>
      <c r="AC1" s="3807"/>
      <c r="AD1" s="3807"/>
    </row>
    <row r="2" spans="1:30" s="3119" customFormat="1" ht="14.25" thickBot="1">
      <c r="B2" s="3120"/>
      <c r="C2" s="3121"/>
      <c r="D2" s="3122" t="s">
        <v>2794</v>
      </c>
      <c r="E2" s="3123" t="s">
        <v>2795</v>
      </c>
      <c r="F2" s="3123" t="s">
        <v>2796</v>
      </c>
      <c r="G2" s="3123" t="s">
        <v>2797</v>
      </c>
      <c r="H2" s="3123" t="s">
        <v>2798</v>
      </c>
      <c r="I2" s="3123" t="s">
        <v>2615</v>
      </c>
      <c r="J2" s="3124"/>
      <c r="K2" s="3122" t="s">
        <v>2794</v>
      </c>
      <c r="L2" s="3123" t="s">
        <v>2795</v>
      </c>
      <c r="M2" s="3123" t="s">
        <v>2796</v>
      </c>
      <c r="N2" s="3123" t="s">
        <v>2797</v>
      </c>
      <c r="O2" s="3123" t="s">
        <v>2799</v>
      </c>
      <c r="P2" s="3123" t="s">
        <v>2615</v>
      </c>
      <c r="Q2" s="3124"/>
      <c r="R2" s="3122" t="s">
        <v>2794</v>
      </c>
      <c r="S2" s="3123" t="s">
        <v>2795</v>
      </c>
      <c r="T2" s="3123" t="s">
        <v>2796</v>
      </c>
      <c r="U2" s="3123" t="s">
        <v>2800</v>
      </c>
      <c r="V2" s="3123" t="s">
        <v>2801</v>
      </c>
      <c r="W2" s="3123" t="s">
        <v>2615</v>
      </c>
      <c r="X2" s="3124"/>
      <c r="Y2" s="3122" t="s">
        <v>2794</v>
      </c>
      <c r="Z2" s="3123" t="s">
        <v>2795</v>
      </c>
      <c r="AA2" s="3123" t="s">
        <v>2796</v>
      </c>
      <c r="AB2" s="3123" t="s">
        <v>2802</v>
      </c>
      <c r="AC2" s="3123" t="s">
        <v>2801</v>
      </c>
      <c r="AD2" s="3123" t="s">
        <v>2615</v>
      </c>
    </row>
    <row r="3" spans="1:30" s="3137" customFormat="1" ht="12.75">
      <c r="A3" s="3125" t="s">
        <v>2803</v>
      </c>
      <c r="B3" s="3126"/>
      <c r="C3" s="3127"/>
      <c r="D3" s="3127">
        <f>ROUND(AVERAGEIF(D4:D18,"&lt;&gt;0"),2)</f>
        <v>0.78</v>
      </c>
      <c r="E3" s="3127">
        <f t="shared" ref="E3:H3" si="0">ROUND(AVERAGEIF(E4:E18,"&lt;&gt;0"),2)</f>
        <v>0.41</v>
      </c>
      <c r="F3" s="3127">
        <f t="shared" si="0"/>
        <v>0.23</v>
      </c>
      <c r="G3" s="3127">
        <f t="shared" si="0"/>
        <v>0.84</v>
      </c>
      <c r="H3" s="3127">
        <f t="shared" si="0"/>
        <v>0.63</v>
      </c>
      <c r="I3" s="3127">
        <f>F3</f>
        <v>0.23</v>
      </c>
      <c r="J3" s="3128"/>
      <c r="K3" s="3129">
        <f>ROUND(AVERAGEIF(K4:K18,"&lt;&gt;0"),4)</f>
        <v>7.7999999999999996E-3</v>
      </c>
      <c r="L3" s="3130">
        <f t="shared" ref="L3:O3" si="1">ROUND(AVERAGEIF(L4:L18,"&lt;&gt;0"),4)</f>
        <v>4.1000000000000003E-3</v>
      </c>
      <c r="M3" s="3130">
        <f t="shared" si="1"/>
        <v>2.3E-3</v>
      </c>
      <c r="N3" s="3130">
        <f t="shared" si="1"/>
        <v>8.3999999999999995E-3</v>
      </c>
      <c r="O3" s="3130">
        <f t="shared" si="1"/>
        <v>6.3E-3</v>
      </c>
      <c r="P3" s="3130">
        <f>M3</f>
        <v>2.3E-3</v>
      </c>
      <c r="Q3" s="3128"/>
      <c r="R3" s="3131">
        <f>ROUND(SUMPRODUCT(PRODUCT(1+K4:K18)),4)</f>
        <v>1.0888</v>
      </c>
      <c r="S3" s="3132">
        <f t="shared" ref="S3:V3" si="2">ROUND(SUMPRODUCT(PRODUCT(1+L4:L18)),4)</f>
        <v>1.0463</v>
      </c>
      <c r="T3" s="3132">
        <f t="shared" si="2"/>
        <v>1.0257000000000001</v>
      </c>
      <c r="U3" s="3132">
        <f t="shared" si="2"/>
        <v>1.0961000000000001</v>
      </c>
      <c r="V3" s="3132">
        <f t="shared" si="2"/>
        <v>1.0713999999999999</v>
      </c>
      <c r="W3" s="3131">
        <f>T3</f>
        <v>1.0257000000000001</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3359</v>
      </c>
      <c r="B5" s="3153">
        <v>2023</v>
      </c>
      <c r="C5" s="3154">
        <v>4</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1.0783</v>
      </c>
      <c r="S5" s="3159">
        <f>ROUND(IF(项目基本情况!$B$8="出让",SUMPRODUCT(PRODUCT(1+L5:$L$18)),SUMPRODUCT(PRODUCT(1+L5:$L$17))),4)</f>
        <v>1.0447</v>
      </c>
      <c r="T5" s="3159">
        <f>ROUND(IF(项目基本情况!$B$8="出让",SUMPRODUCT(PRODUCT(1+M5:$M$18)),SUMPRODUCT(PRODUCT(1+M5:$M$17))),4)</f>
        <v>1.0282</v>
      </c>
      <c r="U5" s="3159">
        <f>ROUND(IF(项目基本情况!$B$8="出让",SUMPRODUCT(PRODUCT(1+N5:$N$18)),SUMPRODUCT(PRODUCT(1+N5:$N$17))),4)</f>
        <v>1.0841000000000001</v>
      </c>
      <c r="V5" s="3159">
        <f>ROUND(IF(项目基本情况!$B$8="出让",SUMPRODUCT(PRODUCT(1+O5:$O$18)),SUMPRODUCT(PRODUCT(1+O5:$O$17))),4)</f>
        <v>1.0674999999999999</v>
      </c>
      <c r="W5" s="3159">
        <f>T5</f>
        <v>1.0282</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3360</v>
      </c>
      <c r="B6" s="3153">
        <v>2023</v>
      </c>
      <c r="C6" s="3154">
        <v>3</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1.0783</v>
      </c>
      <c r="S6" s="3159">
        <f>ROUND(IF(项目基本情况!$B$8="出让",SUMPRODUCT(PRODUCT(1+L6:$L$18)),SUMPRODUCT(PRODUCT(1+L6:$L$17))),4)</f>
        <v>1.0447</v>
      </c>
      <c r="T6" s="3159">
        <f>ROUND(IF(项目基本情况!$B$8="出让",SUMPRODUCT(PRODUCT(1+M6:$M$18)),SUMPRODUCT(PRODUCT(1+M6:$M$17))),4)</f>
        <v>1.0282</v>
      </c>
      <c r="U6" s="3159">
        <f>ROUND(IF(项目基本情况!$B$8="出让",SUMPRODUCT(PRODUCT(1+N6:$N$18)),SUMPRODUCT(PRODUCT(1+N6:$N$17))),4)</f>
        <v>1.0841000000000001</v>
      </c>
      <c r="V6" s="3159">
        <f>ROUND(IF(项目基本情况!$B$8="出让",SUMPRODUCT(PRODUCT(1+O6:$O$18)),SUMPRODUCT(PRODUCT(1+O6:$O$17))),4)</f>
        <v>1.0674999999999999</v>
      </c>
      <c r="W6" s="3159">
        <f t="shared" ref="W6" si="14">T6</f>
        <v>1.0282</v>
      </c>
      <c r="X6" s="3157"/>
      <c r="Y6" s="3160"/>
      <c r="Z6" s="3160"/>
      <c r="AA6" s="3160"/>
      <c r="AB6" s="3160"/>
      <c r="AC6" s="3160"/>
      <c r="AD6" s="3160"/>
    </row>
    <row r="7" spans="1:30" s="3161" customFormat="1" ht="12.75">
      <c r="A7" s="2205" t="s">
        <v>3361</v>
      </c>
      <c r="B7" s="3153">
        <v>2023</v>
      </c>
      <c r="C7" s="3154">
        <v>3</v>
      </c>
      <c r="D7" s="3155">
        <v>0</v>
      </c>
      <c r="E7" s="3155">
        <v>0</v>
      </c>
      <c r="F7" s="3155">
        <v>0</v>
      </c>
      <c r="G7" s="3155">
        <v>0</v>
      </c>
      <c r="H7" s="3172">
        <v>0</v>
      </c>
      <c r="I7" s="3156">
        <v>0</v>
      </c>
      <c r="J7" s="3157"/>
      <c r="K7" s="3158">
        <f t="shared" si="5"/>
        <v>0</v>
      </c>
      <c r="L7" s="3148">
        <f t="shared" si="5"/>
        <v>0</v>
      </c>
      <c r="M7" s="3148">
        <f t="shared" si="5"/>
        <v>0</v>
      </c>
      <c r="N7" s="3148">
        <f t="shared" si="5"/>
        <v>0</v>
      </c>
      <c r="O7" s="3148">
        <f t="shared" si="5"/>
        <v>0</v>
      </c>
      <c r="P7" s="3148">
        <f t="shared" ref="P7" si="15">M7</f>
        <v>0</v>
      </c>
      <c r="Q7" s="3157"/>
      <c r="R7" s="3159">
        <f>ROUND(IF(项目基本情况!$B$8="出让",SUMPRODUCT(PRODUCT(1+K7:$K$18)),SUMPRODUCT(PRODUCT(1+K7:$K$17))),4)</f>
        <v>1.0783</v>
      </c>
      <c r="S7" s="3159">
        <f>ROUND(IF(项目基本情况!$B$8="出让",SUMPRODUCT(PRODUCT(1+L7:$L$18)),SUMPRODUCT(PRODUCT(1+L7:$L$17))),4)</f>
        <v>1.0447</v>
      </c>
      <c r="T7" s="3159">
        <f>ROUND(IF(项目基本情况!$B$8="出让",SUMPRODUCT(PRODUCT(1+M7:$M$18)),SUMPRODUCT(PRODUCT(1+M7:$M$17))),4)</f>
        <v>1.0282</v>
      </c>
      <c r="U7" s="3159">
        <f>ROUND(IF(项目基本情况!$B$8="出让",SUMPRODUCT(PRODUCT(1+N7:$N$18)),SUMPRODUCT(PRODUCT(1+N7:$N$17))),4)</f>
        <v>1.0841000000000001</v>
      </c>
      <c r="V7" s="3159">
        <f>ROUND(IF(项目基本情况!$B$8="出让",SUMPRODUCT(PRODUCT(1+O7:$O$18)),SUMPRODUCT(PRODUCT(1+O7:$O$17))),4)</f>
        <v>1.0674999999999999</v>
      </c>
      <c r="W7" s="3159">
        <f t="shared" ref="W7" si="16">T7</f>
        <v>1.0282</v>
      </c>
      <c r="X7" s="3157"/>
      <c r="Y7" s="3160"/>
      <c r="Z7" s="3160"/>
      <c r="AA7" s="3160"/>
      <c r="AB7" s="3160"/>
      <c r="AC7" s="3160"/>
      <c r="AD7" s="3160"/>
    </row>
    <row r="8" spans="1:30" s="3171" customFormat="1" ht="12.75">
      <c r="A8" s="3162" t="s">
        <v>3353</v>
      </c>
      <c r="B8" s="3163">
        <v>2023</v>
      </c>
      <c r="C8" s="3164">
        <v>3</v>
      </c>
      <c r="D8" s="3165">
        <v>0.25</v>
      </c>
      <c r="E8" s="3165">
        <v>0.5</v>
      </c>
      <c r="F8" s="3165">
        <v>0.31</v>
      </c>
      <c r="G8" s="3165">
        <v>0.21</v>
      </c>
      <c r="H8" s="3166">
        <v>0.43</v>
      </c>
      <c r="I8" s="3167">
        <f t="shared" si="4"/>
        <v>0.31</v>
      </c>
      <c r="J8" s="3168"/>
      <c r="K8" s="3169">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68"/>
      <c r="R8" s="3168">
        <f>ROUND(IF(项目基本情况!$B$8="出让",SUMPRODUCT(PRODUCT(1+K8:$K$18)),SUMPRODUCT(PRODUCT(1+K8:$K$17))),4)</f>
        <v>1.0783</v>
      </c>
      <c r="S8" s="3168">
        <f>ROUND(IF(项目基本情况!$B$8="出让",SUMPRODUCT(PRODUCT(1+L8:$L$18)),SUMPRODUCT(PRODUCT(1+L8:$L$17))),4)</f>
        <v>1.0447</v>
      </c>
      <c r="T8" s="3168">
        <f>ROUND(IF(项目基本情况!$B$8="出让",SUMPRODUCT(PRODUCT(1+M8:$M$18)),SUMPRODUCT(PRODUCT(1+M8:$M$17))),4)</f>
        <v>1.0282</v>
      </c>
      <c r="U8" s="3168">
        <f>ROUND(IF(项目基本情况!$B$8="出让",SUMPRODUCT(PRODUCT(1+N8:$N$18)),SUMPRODUCT(PRODUCT(1+N8:$N$17))),4)</f>
        <v>1.0841000000000001</v>
      </c>
      <c r="V8" s="3168">
        <f>ROUND(IF(项目基本情况!$B$8="出让",SUMPRODUCT(PRODUCT(1+O8:$O$18)),SUMPRODUCT(PRODUCT(1+O8:$O$17))),4)</f>
        <v>1.0674999999999999</v>
      </c>
      <c r="W8" s="3168">
        <f t="shared" ref="W8:W9" si="23">T8</f>
        <v>1.0282</v>
      </c>
      <c r="X8" s="3168"/>
      <c r="Y8" s="3170"/>
      <c r="Z8" s="3170"/>
      <c r="AA8" s="3170"/>
      <c r="AB8" s="3170"/>
      <c r="AC8" s="3170"/>
      <c r="AD8" s="3170"/>
    </row>
    <row r="9" spans="1:30" s="3161" customFormat="1" ht="12.75">
      <c r="A9" s="3152" t="s">
        <v>3354</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3352</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3351</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3347</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3338</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2804</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2805</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2806</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2807</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2808</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3349</v>
      </c>
    </row>
    <row r="21" spans="1:30" s="2985" customFormat="1">
      <c r="I21" s="3184" t="s">
        <v>2809</v>
      </c>
    </row>
    <row r="22" spans="1:30" s="2985" customFormat="1"/>
    <row r="23" spans="1:30" s="3185" customFormat="1" ht="12.75">
      <c r="B23" s="3186" t="s">
        <v>3356</v>
      </c>
      <c r="C23" s="3187"/>
      <c r="D23" s="3187"/>
      <c r="E23" s="3187"/>
      <c r="F23" s="3187"/>
      <c r="G23" s="3187"/>
      <c r="H23" s="3187"/>
      <c r="I23" s="3187"/>
      <c r="J23" s="3141"/>
      <c r="K23" s="3187" t="s">
        <v>2810</v>
      </c>
      <c r="L23" s="3187"/>
      <c r="M23" s="3187"/>
      <c r="N23" s="3187"/>
      <c r="O23" s="3187"/>
      <c r="P23" s="3187"/>
      <c r="Q23" s="3141"/>
      <c r="R23" s="3806" t="s">
        <v>2811</v>
      </c>
      <c r="S23" s="3807"/>
      <c r="T23" s="3807"/>
      <c r="U23" s="3807"/>
      <c r="V23" s="3807"/>
      <c r="W23" s="3807"/>
      <c r="X23" s="3141"/>
      <c r="Y23" s="3806" t="s">
        <v>2812</v>
      </c>
      <c r="Z23" s="3807"/>
      <c r="AA23" s="3807"/>
      <c r="AB23" s="3807"/>
      <c r="AC23" s="3807"/>
      <c r="AD23" s="3807"/>
    </row>
    <row r="24" spans="1:30" s="3119" customFormat="1" ht="14.25" thickBot="1">
      <c r="B24" s="3120"/>
      <c r="C24" s="3121"/>
      <c r="D24" s="3122" t="s">
        <v>2813</v>
      </c>
      <c r="E24" s="3123" t="s">
        <v>2814</v>
      </c>
      <c r="F24" s="3123" t="s">
        <v>2815</v>
      </c>
      <c r="G24" s="3123" t="s">
        <v>2816</v>
      </c>
      <c r="H24" s="3123"/>
      <c r="I24" s="3123" t="s">
        <v>2817</v>
      </c>
      <c r="J24" s="3124"/>
      <c r="K24" s="3122" t="s">
        <v>2813</v>
      </c>
      <c r="L24" s="3123" t="s">
        <v>2814</v>
      </c>
      <c r="M24" s="3123" t="s">
        <v>2815</v>
      </c>
      <c r="N24" s="3123" t="s">
        <v>2816</v>
      </c>
      <c r="O24" s="3123"/>
      <c r="P24" s="3123" t="s">
        <v>2817</v>
      </c>
      <c r="Q24" s="3124"/>
      <c r="R24" s="3122" t="s">
        <v>2813</v>
      </c>
      <c r="S24" s="3123" t="s">
        <v>2814</v>
      </c>
      <c r="T24" s="3123" t="s">
        <v>2815</v>
      </c>
      <c r="U24" s="3123" t="s">
        <v>2816</v>
      </c>
      <c r="V24" s="3123"/>
      <c r="W24" s="3123" t="s">
        <v>2817</v>
      </c>
      <c r="X24" s="3124"/>
      <c r="Y24" s="3122" t="s">
        <v>2813</v>
      </c>
      <c r="Z24" s="3123" t="s">
        <v>2814</v>
      </c>
      <c r="AA24" s="3123" t="s">
        <v>2815</v>
      </c>
      <c r="AB24" s="3123" t="s">
        <v>2816</v>
      </c>
      <c r="AC24" s="3123"/>
      <c r="AD24" s="3123" t="s">
        <v>2817</v>
      </c>
    </row>
    <row r="25" spans="1:30" s="3137" customFormat="1" ht="12.75">
      <c r="A25" s="3125" t="s">
        <v>2818</v>
      </c>
      <c r="B25" s="3126"/>
      <c r="C25" s="3127"/>
      <c r="D25" s="3127"/>
      <c r="E25" s="3127">
        <f t="shared" ref="E25:G25" si="32">ROUND(AVERAGEIF(E26:E40,"&lt;&gt;0"),2)</f>
        <v>0.42</v>
      </c>
      <c r="F25" s="3127">
        <f t="shared" si="32"/>
        <v>0.3</v>
      </c>
      <c r="G25" s="3127">
        <f t="shared" si="32"/>
        <v>0.73</v>
      </c>
      <c r="H25" s="3127"/>
      <c r="I25" s="3127">
        <f>F25</f>
        <v>0.3</v>
      </c>
      <c r="J25" s="3128"/>
      <c r="K25" s="3129"/>
      <c r="L25" s="3130">
        <f t="shared" ref="L25:N25" si="33">ROUND(AVERAGEIF(L26:L40,"&lt;&gt;0"),4)</f>
        <v>4.1999999999999997E-3</v>
      </c>
      <c r="M25" s="3130">
        <f t="shared" si="33"/>
        <v>3.0000000000000001E-3</v>
      </c>
      <c r="N25" s="3130">
        <f t="shared" si="33"/>
        <v>7.3000000000000001E-3</v>
      </c>
      <c r="O25" s="3130"/>
      <c r="P25" s="3130">
        <f>M25</f>
        <v>3.0000000000000001E-3</v>
      </c>
      <c r="Q25" s="3128"/>
      <c r="R25" s="3131"/>
      <c r="S25" s="3132">
        <f>ROUND(SUMPRODUCT(PRODUCT(1+L26:L40)),4)</f>
        <v>1.0468</v>
      </c>
      <c r="T25" s="3132">
        <f t="shared" ref="T25:U25" si="34">ROUND(SUMPRODUCT(PRODUCT(1+M26:M40)),4)</f>
        <v>1.0337000000000001</v>
      </c>
      <c r="U25" s="3132">
        <f t="shared" si="34"/>
        <v>1.0828</v>
      </c>
      <c r="V25" s="3132"/>
      <c r="W25" s="3131">
        <f>T25</f>
        <v>1.0337000000000001</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3359</v>
      </c>
      <c r="B27" s="3153">
        <v>2023</v>
      </c>
      <c r="C27" s="3154">
        <v>4</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1.0431999999999999</v>
      </c>
      <c r="T27" s="3159">
        <f>ROUND(IF(项目基本情况!$B$8="出让",SUMPRODUCT(PRODUCT(1+M27:M$40)),SUMPRODUCT(PRODUCT(1+M27:M$39))),4)</f>
        <v>1.0286999999999999</v>
      </c>
      <c r="U27" s="3159">
        <f>ROUND(IF(项目基本情况!$B$8="出让",SUMPRODUCT(PRODUCT(1+N27:N$40)),SUMPRODUCT(PRODUCT(1+N27:N$39))),4)</f>
        <v>1.0723</v>
      </c>
      <c r="V27" s="3159"/>
      <c r="W27" s="3159">
        <f>T27</f>
        <v>1.0286999999999999</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3360</v>
      </c>
      <c r="B28" s="3153">
        <v>2023</v>
      </c>
      <c r="C28" s="3154">
        <v>3</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1.0431999999999999</v>
      </c>
      <c r="T28" s="3159">
        <f>ROUND(IF(项目基本情况!$B$8="出让",SUMPRODUCT(PRODUCT(1+M28:M$40)),SUMPRODUCT(PRODUCT(1+M28:M$39))),4)</f>
        <v>1.0286999999999999</v>
      </c>
      <c r="U28" s="3159">
        <f>ROUND(IF(项目基本情况!$B$8="出让",SUMPRODUCT(PRODUCT(1+N28:N$40)),SUMPRODUCT(PRODUCT(1+N28:N$39))),4)</f>
        <v>1.0723</v>
      </c>
      <c r="V28" s="3159"/>
      <c r="W28" s="3159">
        <f t="shared" ref="W28" si="43">T28</f>
        <v>1.0286999999999999</v>
      </c>
      <c r="X28" s="3157"/>
      <c r="Y28" s="3160"/>
      <c r="Z28" s="3188"/>
      <c r="AA28" s="3190"/>
      <c r="AB28" s="3160"/>
      <c r="AC28" s="3189"/>
      <c r="AD28" s="3160"/>
    </row>
    <row r="29" spans="1:30" s="3161" customFormat="1" ht="12.75">
      <c r="A29" s="2205" t="s">
        <v>3361</v>
      </c>
      <c r="B29" s="3153">
        <v>2023</v>
      </c>
      <c r="C29" s="3154">
        <v>3</v>
      </c>
      <c r="D29" s="3155"/>
      <c r="E29" s="3155">
        <v>0</v>
      </c>
      <c r="F29" s="3155">
        <v>0</v>
      </c>
      <c r="G29" s="3155">
        <v>0</v>
      </c>
      <c r="H29" s="3155"/>
      <c r="I29" s="3156">
        <f t="shared" si="38"/>
        <v>0</v>
      </c>
      <c r="J29" s="3157"/>
      <c r="K29" s="3158"/>
      <c r="L29" s="3148">
        <f t="shared" si="37"/>
        <v>0</v>
      </c>
      <c r="M29" s="3148">
        <f t="shared" si="37"/>
        <v>0</v>
      </c>
      <c r="N29" s="3148">
        <f t="shared" si="37"/>
        <v>0</v>
      </c>
      <c r="O29" s="3148"/>
      <c r="P29" s="3148">
        <f t="shared" ref="P29" si="44">M29</f>
        <v>0</v>
      </c>
      <c r="Q29" s="3157"/>
      <c r="R29" s="3159"/>
      <c r="S29" s="3159">
        <f>ROUND(IF(项目基本情况!$B$8="出让",SUMPRODUCT(PRODUCT(1+L29:L$40)),SUMPRODUCT(PRODUCT(1+L29:L$39))),4)</f>
        <v>1.0431999999999999</v>
      </c>
      <c r="T29" s="3159">
        <f>ROUND(IF(项目基本情况!$B$8="出让",SUMPRODUCT(PRODUCT(1+M29:M$40)),SUMPRODUCT(PRODUCT(1+M29:M$39))),4)</f>
        <v>1.0286999999999999</v>
      </c>
      <c r="U29" s="3159">
        <f>ROUND(IF(项目基本情况!$B$8="出让",SUMPRODUCT(PRODUCT(1+N29:N$40)),SUMPRODUCT(PRODUCT(1+N29:N$39))),4)</f>
        <v>1.0723</v>
      </c>
      <c r="V29" s="3159"/>
      <c r="W29" s="3159">
        <f t="shared" ref="W29" si="45">T29</f>
        <v>1.0286999999999999</v>
      </c>
      <c r="X29" s="3157"/>
      <c r="Y29" s="3160"/>
      <c r="Z29" s="3188"/>
      <c r="AA29" s="3190"/>
      <c r="AB29" s="3160"/>
      <c r="AC29" s="3189"/>
      <c r="AD29" s="3160"/>
    </row>
    <row r="30" spans="1:30" s="3171" customFormat="1" ht="12.75">
      <c r="A30" s="3162" t="s">
        <v>3357</v>
      </c>
      <c r="B30" s="3163">
        <v>2023</v>
      </c>
      <c r="C30" s="3164">
        <v>3</v>
      </c>
      <c r="D30" s="3165"/>
      <c r="E30" s="3165">
        <v>0.35</v>
      </c>
      <c r="F30" s="3165">
        <v>0.17</v>
      </c>
      <c r="G30" s="3165">
        <v>0.52</v>
      </c>
      <c r="H30" s="3166"/>
      <c r="I30" s="3167">
        <f t="shared" si="36"/>
        <v>0.17</v>
      </c>
      <c r="J30" s="3168"/>
      <c r="K30" s="3169"/>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68"/>
      <c r="R30" s="3168"/>
      <c r="S30" s="3168">
        <f>ROUND(IF(项目基本情况!$B$8="出让",SUMPRODUCT(PRODUCT(1+L30:L$40)),SUMPRODUCT(PRODUCT(1+L30:L$39))),4)</f>
        <v>1.0431999999999999</v>
      </c>
      <c r="T30" s="3168">
        <f>ROUND(IF(项目基本情况!$B$8="出让",SUMPRODUCT(PRODUCT(1+M30:M$40)),SUMPRODUCT(PRODUCT(1+M30:M$39))),4)</f>
        <v>1.0286999999999999</v>
      </c>
      <c r="U30" s="3168">
        <f>ROUND(IF(项目基本情况!$B$8="出让",SUMPRODUCT(PRODUCT(1+N30:N$40)),SUMPRODUCT(PRODUCT(1+N30:N$39))),4)</f>
        <v>1.0723</v>
      </c>
      <c r="V30" s="3168"/>
      <c r="W30" s="3168">
        <f t="shared" ref="W30:W32" si="50">T30</f>
        <v>1.0286999999999999</v>
      </c>
      <c r="X30" s="3168"/>
      <c r="Y30" s="3170"/>
      <c r="Z30" s="3191"/>
      <c r="AA30" s="3192"/>
      <c r="AB30" s="3170"/>
      <c r="AC30" s="3193"/>
      <c r="AD30" s="3170"/>
    </row>
    <row r="31" spans="1:30" s="3161" customFormat="1" ht="12.75">
      <c r="A31" s="3152" t="s">
        <v>3358</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3352</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3351</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3348</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3338</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2819</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2820</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2821</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2822</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2808</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3350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2293</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A28" sqref="A28:XFD28"/>
    </sheetView>
  </sheetViews>
  <sheetFormatPr defaultColWidth="9.375" defaultRowHeight="13.5"/>
  <cols>
    <col min="1" max="1" width="9.375" style="3475"/>
    <col min="2" max="2" width="21.625" style="3475" customWidth="1"/>
    <col min="3" max="3" width="28.625" style="3475" customWidth="1"/>
    <col min="4" max="5" width="17" style="3475" bestFit="1" customWidth="1"/>
    <col min="6" max="6" width="16.375" style="3475" customWidth="1"/>
    <col min="7" max="7" width="12.125" style="3475" customWidth="1"/>
    <col min="8" max="8" width="13.375" style="3475" bestFit="1" customWidth="1"/>
    <col min="9" max="9" width="15.25" style="3475" bestFit="1" customWidth="1"/>
    <col min="10" max="11" width="17" style="3475" bestFit="1" customWidth="1"/>
    <col min="12" max="12" width="13.375" style="3475" bestFit="1" customWidth="1"/>
    <col min="13" max="13" width="21.375" style="3475" bestFit="1" customWidth="1"/>
    <col min="14" max="14" width="19.625" style="3475" bestFit="1" customWidth="1"/>
    <col min="15" max="15" width="37.25" style="3475" bestFit="1" customWidth="1"/>
    <col min="16" max="16" width="13.375" style="3475" bestFit="1" customWidth="1"/>
    <col min="17" max="17" width="37.25" style="3475" bestFit="1" customWidth="1"/>
    <col min="18" max="18" width="11.625" style="3475" bestFit="1" customWidth="1"/>
    <col min="19" max="19" width="15.25" style="3475" bestFit="1" customWidth="1"/>
    <col min="20" max="20" width="29.375" style="3475" bestFit="1" customWidth="1"/>
    <col min="21" max="21" width="9.375" style="3475"/>
    <col min="22" max="22" width="17" style="3475" bestFit="1" customWidth="1"/>
    <col min="23" max="16384" width="9.375" style="3475"/>
  </cols>
  <sheetData>
    <row r="1" spans="1:23">
      <c r="A1" s="3474" t="s">
        <v>3479</v>
      </c>
      <c r="B1" s="3474" t="s">
        <v>3480</v>
      </c>
      <c r="C1" s="3474" t="s">
        <v>3481</v>
      </c>
      <c r="D1" s="3474" t="s">
        <v>3482</v>
      </c>
      <c r="E1" s="3474" t="s">
        <v>3483</v>
      </c>
      <c r="F1" s="3474" t="s">
        <v>3484</v>
      </c>
      <c r="G1" s="3474" t="s">
        <v>672</v>
      </c>
      <c r="H1" s="3474" t="s">
        <v>3485</v>
      </c>
      <c r="I1" s="3474" t="s">
        <v>3486</v>
      </c>
      <c r="J1" s="3474" t="s">
        <v>3487</v>
      </c>
      <c r="K1" s="3474" t="s">
        <v>3488</v>
      </c>
      <c r="L1" s="3474" t="s">
        <v>3489</v>
      </c>
      <c r="M1" s="3474" t="s">
        <v>3490</v>
      </c>
      <c r="N1" s="3474" t="s">
        <v>3491</v>
      </c>
      <c r="O1" s="3474" t="s">
        <v>3492</v>
      </c>
      <c r="P1" s="3474" t="s">
        <v>3493</v>
      </c>
      <c r="Q1" s="3474" t="s">
        <v>3494</v>
      </c>
      <c r="R1" s="3474" t="s">
        <v>3495</v>
      </c>
      <c r="S1" s="3474" t="s">
        <v>3496</v>
      </c>
      <c r="T1" s="3474" t="s">
        <v>3497</v>
      </c>
      <c r="U1" s="3474" t="s">
        <v>3498</v>
      </c>
      <c r="V1" s="3474" t="s">
        <v>3499</v>
      </c>
      <c r="W1" s="3474" t="s">
        <v>3500</v>
      </c>
    </row>
    <row r="2" spans="1:23" ht="60">
      <c r="A2" s="3476">
        <v>0</v>
      </c>
      <c r="B2" s="3476" t="s">
        <v>3501</v>
      </c>
      <c r="C2" s="3476" t="s">
        <v>3502</v>
      </c>
      <c r="D2" s="3476" t="s">
        <v>3503</v>
      </c>
      <c r="E2" s="3476" t="s">
        <v>3504</v>
      </c>
      <c r="F2" s="3476" t="s">
        <v>3505</v>
      </c>
      <c r="G2" s="3476" t="s">
        <v>673</v>
      </c>
      <c r="H2" s="3476"/>
      <c r="I2" s="3476">
        <v>1834.56</v>
      </c>
      <c r="J2" s="3476">
        <v>1834.56</v>
      </c>
      <c r="K2" s="3476"/>
      <c r="L2" s="3476">
        <v>11059.343999999999</v>
      </c>
      <c r="M2" s="3476">
        <v>60283</v>
      </c>
      <c r="N2" s="3476">
        <v>60283</v>
      </c>
      <c r="O2" s="3476" t="s">
        <v>3506</v>
      </c>
      <c r="P2" s="3477">
        <v>44205</v>
      </c>
      <c r="Q2" s="3476" t="s">
        <v>3507</v>
      </c>
      <c r="R2" s="3476" t="s">
        <v>3508</v>
      </c>
      <c r="S2" s="3476">
        <v>12841.92</v>
      </c>
      <c r="T2" s="3476"/>
      <c r="U2" s="3476"/>
      <c r="V2" s="3478">
        <v>0.86</v>
      </c>
      <c r="W2" s="3476" t="s">
        <v>3509</v>
      </c>
    </row>
    <row r="3" spans="1:23" ht="84">
      <c r="A3" s="3479">
        <v>1</v>
      </c>
      <c r="B3" s="3479" t="s">
        <v>3510</v>
      </c>
      <c r="C3" s="3479" t="s">
        <v>3511</v>
      </c>
      <c r="D3" s="3479" t="s">
        <v>3512</v>
      </c>
      <c r="E3" s="3479" t="s">
        <v>3513</v>
      </c>
      <c r="F3" s="3479" t="s">
        <v>3514</v>
      </c>
      <c r="G3" s="3479" t="s">
        <v>673</v>
      </c>
      <c r="H3" s="3479">
        <v>649.30999999999995</v>
      </c>
      <c r="I3" s="3479">
        <v>2626.47</v>
      </c>
      <c r="J3" s="3479">
        <v>2003.6</v>
      </c>
      <c r="K3" s="3479">
        <v>622.87</v>
      </c>
      <c r="L3" s="3479">
        <v>8320</v>
      </c>
      <c r="M3" s="3479">
        <v>31677</v>
      </c>
      <c r="N3" s="3479">
        <v>41525</v>
      </c>
      <c r="O3" s="3479" t="s">
        <v>3515</v>
      </c>
      <c r="P3" s="3480">
        <v>44219</v>
      </c>
      <c r="Q3" s="3479" t="s">
        <v>3516</v>
      </c>
      <c r="R3" s="3479" t="s">
        <v>3517</v>
      </c>
      <c r="S3" s="3479">
        <v>10277.780000000001</v>
      </c>
      <c r="T3" s="3479"/>
      <c r="U3" s="3479"/>
      <c r="V3" s="3481">
        <v>0.81</v>
      </c>
      <c r="W3" s="3479" t="s">
        <v>3509</v>
      </c>
    </row>
    <row r="4" spans="1:23" s="3485" customFormat="1" ht="36">
      <c r="A4" s="3482">
        <v>2</v>
      </c>
      <c r="B4" s="3482" t="s">
        <v>3518</v>
      </c>
      <c r="C4" s="3482" t="s">
        <v>3519</v>
      </c>
      <c r="D4" s="3482" t="s">
        <v>3512</v>
      </c>
      <c r="E4" s="3482" t="s">
        <v>3520</v>
      </c>
      <c r="F4" s="3482" t="s">
        <v>3521</v>
      </c>
      <c r="G4" s="3482" t="s">
        <v>21</v>
      </c>
      <c r="H4" s="3482"/>
      <c r="I4" s="3482">
        <v>18396.150000000001</v>
      </c>
      <c r="J4" s="3482">
        <v>18396.150000000001</v>
      </c>
      <c r="K4" s="3482"/>
      <c r="L4" s="3482">
        <v>112181</v>
      </c>
      <c r="M4" s="3482">
        <v>60981</v>
      </c>
      <c r="N4" s="3482">
        <v>60981</v>
      </c>
      <c r="O4" s="3482" t="s">
        <v>3522</v>
      </c>
      <c r="P4" s="3483">
        <v>44187</v>
      </c>
      <c r="Q4" s="3482" t="s">
        <v>3523</v>
      </c>
      <c r="R4" s="3482" t="s">
        <v>3524</v>
      </c>
      <c r="S4" s="3482"/>
      <c r="T4" s="3482"/>
      <c r="U4" s="3482"/>
      <c r="V4" s="3484"/>
      <c r="W4" s="3482"/>
    </row>
    <row r="5" spans="1:23" ht="36" hidden="1">
      <c r="A5" s="3479">
        <v>3</v>
      </c>
      <c r="B5" s="3479" t="s">
        <v>3525</v>
      </c>
      <c r="C5" s="3479" t="s">
        <v>3519</v>
      </c>
      <c r="D5" s="3479" t="s">
        <v>3512</v>
      </c>
      <c r="E5" s="3479" t="s">
        <v>3520</v>
      </c>
      <c r="F5" s="3479" t="s">
        <v>3521</v>
      </c>
      <c r="G5" s="3479" t="s">
        <v>673</v>
      </c>
      <c r="H5" s="3479"/>
      <c r="I5" s="3479">
        <v>33261.14</v>
      </c>
      <c r="J5" s="3479"/>
      <c r="K5" s="3479"/>
      <c r="L5" s="3479">
        <v>85874</v>
      </c>
      <c r="M5" s="3479">
        <v>25818</v>
      </c>
      <c r="N5" s="3479" t="e">
        <v>#DIV/0!</v>
      </c>
      <c r="O5" s="3479" t="s">
        <v>3526</v>
      </c>
      <c r="P5" s="3480">
        <v>44188</v>
      </c>
      <c r="Q5" s="3479" t="s">
        <v>3527</v>
      </c>
      <c r="R5" s="3479" t="s">
        <v>3528</v>
      </c>
      <c r="S5" s="3479"/>
      <c r="T5" s="3479"/>
      <c r="U5" s="3479"/>
      <c r="V5" s="3481"/>
      <c r="W5" s="3479"/>
    </row>
    <row r="6" spans="1:23" ht="24" hidden="1">
      <c r="A6" s="3476">
        <v>4</v>
      </c>
      <c r="B6" s="3476" t="s">
        <v>3529</v>
      </c>
      <c r="C6" s="3476" t="s">
        <v>3530</v>
      </c>
      <c r="D6" s="3476" t="s">
        <v>3531</v>
      </c>
      <c r="E6" s="3476" t="s">
        <v>3532</v>
      </c>
      <c r="F6" s="3476" t="s">
        <v>3533</v>
      </c>
      <c r="G6" s="3476" t="s">
        <v>3534</v>
      </c>
      <c r="H6" s="3476">
        <v>2041.16</v>
      </c>
      <c r="I6" s="3476">
        <v>5860.92</v>
      </c>
      <c r="J6" s="3476"/>
      <c r="K6" s="3476"/>
      <c r="L6" s="3476">
        <v>9587.8790000000008</v>
      </c>
      <c r="M6" s="3476">
        <v>16359</v>
      </c>
      <c r="N6" s="3476" t="e">
        <v>#DIV/0!</v>
      </c>
      <c r="O6" s="3476" t="s">
        <v>3535</v>
      </c>
      <c r="P6" s="3477">
        <v>44151</v>
      </c>
      <c r="Q6" s="3476" t="s">
        <v>3536</v>
      </c>
      <c r="R6" s="3476" t="s">
        <v>3537</v>
      </c>
      <c r="S6" s="3476">
        <v>13696.97</v>
      </c>
      <c r="T6" s="3476">
        <v>23370</v>
      </c>
      <c r="U6" s="3476"/>
      <c r="V6" s="3478">
        <v>0.7</v>
      </c>
      <c r="W6" s="3476" t="s">
        <v>3509</v>
      </c>
    </row>
    <row r="7" spans="1:23" ht="24" hidden="1">
      <c r="A7" s="3479">
        <v>5</v>
      </c>
      <c r="B7" s="3479" t="s">
        <v>3538</v>
      </c>
      <c r="C7" s="3479" t="s">
        <v>3539</v>
      </c>
      <c r="D7" s="3479" t="s">
        <v>3540</v>
      </c>
      <c r="E7" s="3479" t="s">
        <v>3541</v>
      </c>
      <c r="F7" s="3479" t="s">
        <v>3542</v>
      </c>
      <c r="G7" s="3479" t="s">
        <v>673</v>
      </c>
      <c r="H7" s="3479"/>
      <c r="I7" s="3479">
        <v>492.7</v>
      </c>
      <c r="J7" s="3479"/>
      <c r="K7" s="3479"/>
      <c r="L7" s="3479">
        <v>3060</v>
      </c>
      <c r="M7" s="3479">
        <v>62107</v>
      </c>
      <c r="N7" s="3479" t="e">
        <v>#DIV/0!</v>
      </c>
      <c r="O7" s="3479" t="s">
        <v>3543</v>
      </c>
      <c r="P7" s="3480">
        <v>44257</v>
      </c>
      <c r="Q7" s="3479" t="s">
        <v>3544</v>
      </c>
      <c r="R7" s="3479"/>
      <c r="S7" s="3479">
        <v>4285.7142000000003</v>
      </c>
      <c r="T7" s="3479">
        <v>86984</v>
      </c>
      <c r="U7" s="3479"/>
      <c r="V7" s="3481">
        <v>0.71</v>
      </c>
      <c r="W7" s="3479" t="s">
        <v>3509</v>
      </c>
    </row>
    <row r="8" spans="1:23" ht="48" hidden="1">
      <c r="A8" s="3476">
        <v>6</v>
      </c>
      <c r="B8" s="3476" t="s">
        <v>3545</v>
      </c>
      <c r="C8" s="3476" t="s">
        <v>3546</v>
      </c>
      <c r="D8" s="3476" t="s">
        <v>3540</v>
      </c>
      <c r="E8" s="3476" t="s">
        <v>3541</v>
      </c>
      <c r="F8" s="3476" t="s">
        <v>3547</v>
      </c>
      <c r="G8" s="3476" t="s">
        <v>673</v>
      </c>
      <c r="H8" s="3476"/>
      <c r="I8" s="3476">
        <v>1864.93</v>
      </c>
      <c r="J8" s="3476">
        <v>1864.93</v>
      </c>
      <c r="K8" s="3476"/>
      <c r="L8" s="3476">
        <v>15480</v>
      </c>
      <c r="M8" s="3476">
        <v>83001</v>
      </c>
      <c r="N8" s="3476">
        <v>83001</v>
      </c>
      <c r="O8" s="3476" t="s">
        <v>3548</v>
      </c>
      <c r="P8" s="3477">
        <v>44228</v>
      </c>
      <c r="Q8" s="3476" t="s">
        <v>3549</v>
      </c>
      <c r="R8" s="3476" t="s">
        <v>3550</v>
      </c>
      <c r="S8" s="3476"/>
      <c r="T8" s="3476"/>
      <c r="U8" s="3476"/>
      <c r="V8" s="3478"/>
      <c r="W8" s="3476"/>
    </row>
    <row r="9" spans="1:23" ht="48" hidden="1">
      <c r="A9" s="3479">
        <v>7</v>
      </c>
      <c r="B9" s="3479" t="s">
        <v>3545</v>
      </c>
      <c r="C9" s="3479" t="s">
        <v>3546</v>
      </c>
      <c r="D9" s="3479" t="s">
        <v>3540</v>
      </c>
      <c r="E9" s="3479" t="s">
        <v>3541</v>
      </c>
      <c r="F9" s="3479" t="s">
        <v>3547</v>
      </c>
      <c r="G9" s="3479" t="s">
        <v>673</v>
      </c>
      <c r="H9" s="3479"/>
      <c r="I9" s="3479">
        <v>5531.7</v>
      </c>
      <c r="J9" s="3479">
        <v>5531.7</v>
      </c>
      <c r="K9" s="3479"/>
      <c r="L9" s="3479">
        <v>44251</v>
      </c>
      <c r="M9" s="3479">
        <v>80000</v>
      </c>
      <c r="N9" s="3479">
        <v>80000</v>
      </c>
      <c r="O9" s="3479" t="s">
        <v>3548</v>
      </c>
      <c r="P9" s="3480">
        <v>44230</v>
      </c>
      <c r="Q9" s="3479" t="s">
        <v>3549</v>
      </c>
      <c r="R9" s="3479" t="s">
        <v>3550</v>
      </c>
      <c r="S9" s="3479"/>
      <c r="T9" s="3479"/>
      <c r="U9" s="3479"/>
      <c r="V9" s="3481"/>
      <c r="W9" s="3479"/>
    </row>
    <row r="10" spans="1:23" ht="24">
      <c r="A10" s="3476">
        <v>8</v>
      </c>
      <c r="B10" s="3476" t="s">
        <v>3551</v>
      </c>
      <c r="C10" s="3476" t="s">
        <v>3552</v>
      </c>
      <c r="D10" s="3476" t="s">
        <v>3503</v>
      </c>
      <c r="E10" s="3476" t="s">
        <v>3553</v>
      </c>
      <c r="F10" s="3476" t="s">
        <v>3554</v>
      </c>
      <c r="G10" s="3476" t="s">
        <v>3555</v>
      </c>
      <c r="H10" s="3476"/>
      <c r="I10" s="3476">
        <v>25834.13</v>
      </c>
      <c r="J10" s="3476">
        <v>25834.13</v>
      </c>
      <c r="K10" s="3476"/>
      <c r="L10" s="3476">
        <v>78491</v>
      </c>
      <c r="M10" s="3476">
        <v>30383</v>
      </c>
      <c r="N10" s="3476">
        <v>30383</v>
      </c>
      <c r="O10" s="3476" t="s">
        <v>3556</v>
      </c>
      <c r="P10" s="3477">
        <v>44257</v>
      </c>
      <c r="Q10" s="3476" t="s">
        <v>3557</v>
      </c>
      <c r="R10" s="3476" t="s">
        <v>3528</v>
      </c>
      <c r="S10" s="3476"/>
      <c r="T10" s="3476"/>
      <c r="U10" s="3476"/>
      <c r="V10" s="3478"/>
      <c r="W10" s="3476"/>
    </row>
    <row r="11" spans="1:23">
      <c r="A11" s="3479">
        <v>9</v>
      </c>
      <c r="B11" s="3479" t="s">
        <v>3558</v>
      </c>
      <c r="C11" s="3479" t="s">
        <v>3552</v>
      </c>
      <c r="D11" s="3479" t="s">
        <v>3503</v>
      </c>
      <c r="E11" s="3479" t="s">
        <v>3553</v>
      </c>
      <c r="F11" s="3479" t="s">
        <v>3554</v>
      </c>
      <c r="G11" s="3479" t="s">
        <v>3555</v>
      </c>
      <c r="H11" s="3479"/>
      <c r="I11" s="3479">
        <v>12857.96</v>
      </c>
      <c r="J11" s="3479">
        <v>12857.96</v>
      </c>
      <c r="K11" s="3479"/>
      <c r="L11" s="3479">
        <v>39210</v>
      </c>
      <c r="M11" s="3479">
        <v>30495</v>
      </c>
      <c r="N11" s="3479">
        <v>30495</v>
      </c>
      <c r="O11" s="3479" t="s">
        <v>3556</v>
      </c>
      <c r="P11" s="3480">
        <v>44257</v>
      </c>
      <c r="Q11" s="3479" t="s">
        <v>3557</v>
      </c>
      <c r="R11" s="3479" t="s">
        <v>3528</v>
      </c>
      <c r="S11" s="3479"/>
      <c r="T11" s="3479"/>
      <c r="U11" s="3479"/>
      <c r="V11" s="3481"/>
      <c r="W11" s="3479"/>
    </row>
    <row r="12" spans="1:23">
      <c r="A12" s="3476">
        <v>10</v>
      </c>
      <c r="B12" s="3476" t="s">
        <v>3559</v>
      </c>
      <c r="C12" s="3476" t="s">
        <v>3552</v>
      </c>
      <c r="D12" s="3476" t="s">
        <v>3503</v>
      </c>
      <c r="E12" s="3476" t="s">
        <v>3553</v>
      </c>
      <c r="F12" s="3476" t="s">
        <v>3554</v>
      </c>
      <c r="G12" s="3476" t="s">
        <v>3555</v>
      </c>
      <c r="H12" s="3476"/>
      <c r="I12" s="3476">
        <v>12955.85</v>
      </c>
      <c r="J12" s="3476">
        <v>12955.85</v>
      </c>
      <c r="K12" s="3476"/>
      <c r="L12" s="3476">
        <v>38868</v>
      </c>
      <c r="M12" s="3476">
        <v>30000</v>
      </c>
      <c r="N12" s="3476">
        <v>30000</v>
      </c>
      <c r="O12" s="3476" t="s">
        <v>3556</v>
      </c>
      <c r="P12" s="3477">
        <v>44161</v>
      </c>
      <c r="Q12" s="3476" t="s">
        <v>3557</v>
      </c>
      <c r="R12" s="3476" t="s">
        <v>3528</v>
      </c>
      <c r="S12" s="3476"/>
      <c r="T12" s="3476"/>
      <c r="U12" s="3476"/>
      <c r="V12" s="3478"/>
      <c r="W12" s="3476"/>
    </row>
    <row r="13" spans="1:23" hidden="1">
      <c r="A13" s="3479">
        <v>11</v>
      </c>
      <c r="B13" s="3479" t="s">
        <v>3560</v>
      </c>
      <c r="C13" s="3479" t="s">
        <v>3552</v>
      </c>
      <c r="D13" s="3479" t="s">
        <v>3503</v>
      </c>
      <c r="E13" s="3479" t="s">
        <v>3553</v>
      </c>
      <c r="F13" s="3479" t="s">
        <v>3554</v>
      </c>
      <c r="G13" s="3479" t="s">
        <v>3555</v>
      </c>
      <c r="H13" s="3479"/>
      <c r="I13" s="3479">
        <v>16782.07</v>
      </c>
      <c r="J13" s="3479">
        <v>16782.07</v>
      </c>
      <c r="K13" s="3479"/>
      <c r="L13" s="3479">
        <v>38599</v>
      </c>
      <c r="M13" s="3479">
        <v>23000</v>
      </c>
      <c r="N13" s="3479">
        <v>23000</v>
      </c>
      <c r="O13" s="3479" t="s">
        <v>3556</v>
      </c>
      <c r="P13" s="3480">
        <v>44257</v>
      </c>
      <c r="Q13" s="3479" t="s">
        <v>3557</v>
      </c>
      <c r="R13" s="3479" t="s">
        <v>3561</v>
      </c>
      <c r="S13" s="3479"/>
      <c r="T13" s="3479"/>
      <c r="U13" s="3479"/>
      <c r="V13" s="3481"/>
      <c r="W13" s="3479"/>
    </row>
    <row r="14" spans="1:23" hidden="1">
      <c r="A14" s="3476">
        <v>12</v>
      </c>
      <c r="B14" s="3476" t="s">
        <v>3562</v>
      </c>
      <c r="C14" s="3476" t="s">
        <v>3552</v>
      </c>
      <c r="D14" s="3476" t="s">
        <v>3503</v>
      </c>
      <c r="E14" s="3476" t="s">
        <v>3553</v>
      </c>
      <c r="F14" s="3476" t="s">
        <v>3554</v>
      </c>
      <c r="G14" s="3476" t="s">
        <v>3555</v>
      </c>
      <c r="H14" s="3476"/>
      <c r="I14" s="3476">
        <v>16796.16</v>
      </c>
      <c r="J14" s="3476">
        <v>16796.16</v>
      </c>
      <c r="K14" s="3476"/>
      <c r="L14" s="3476">
        <v>39026</v>
      </c>
      <c r="M14" s="3476">
        <v>23235</v>
      </c>
      <c r="N14" s="3476">
        <v>23235</v>
      </c>
      <c r="O14" s="3476" t="s">
        <v>3563</v>
      </c>
      <c r="P14" s="3477">
        <v>44257</v>
      </c>
      <c r="Q14" s="3476" t="s">
        <v>3564</v>
      </c>
      <c r="R14" s="3476" t="s">
        <v>3565</v>
      </c>
      <c r="S14" s="3476"/>
      <c r="T14" s="3476"/>
      <c r="U14" s="3476"/>
      <c r="V14" s="3478"/>
      <c r="W14" s="3476"/>
    </row>
    <row r="15" spans="1:23" hidden="1">
      <c r="A15" s="3479">
        <v>13</v>
      </c>
      <c r="B15" s="3479" t="s">
        <v>3566</v>
      </c>
      <c r="C15" s="3479" t="s">
        <v>3552</v>
      </c>
      <c r="D15" s="3479" t="s">
        <v>3503</v>
      </c>
      <c r="E15" s="3479" t="s">
        <v>3553</v>
      </c>
      <c r="F15" s="3479" t="s">
        <v>3554</v>
      </c>
      <c r="G15" s="3479" t="s">
        <v>3555</v>
      </c>
      <c r="H15" s="3479"/>
      <c r="I15" s="3479">
        <v>28095.98</v>
      </c>
      <c r="J15" s="3479">
        <v>21852.43</v>
      </c>
      <c r="K15" s="3479">
        <v>6243.55</v>
      </c>
      <c r="L15" s="3479">
        <v>64621</v>
      </c>
      <c r="M15" s="3479">
        <v>23000</v>
      </c>
      <c r="N15" s="3479">
        <v>29572</v>
      </c>
      <c r="O15" s="3479" t="s">
        <v>3556</v>
      </c>
      <c r="P15" s="3480">
        <v>44257</v>
      </c>
      <c r="Q15" s="3479" t="s">
        <v>3567</v>
      </c>
      <c r="R15" s="3479" t="s">
        <v>3565</v>
      </c>
      <c r="S15" s="3479"/>
      <c r="T15" s="3479"/>
      <c r="U15" s="3479"/>
      <c r="V15" s="3481"/>
      <c r="W15" s="3479"/>
    </row>
    <row r="16" spans="1:23" hidden="1">
      <c r="A16" s="3476">
        <v>14</v>
      </c>
      <c r="B16" s="3476" t="s">
        <v>3568</v>
      </c>
      <c r="C16" s="3476" t="s">
        <v>3552</v>
      </c>
      <c r="D16" s="3476" t="s">
        <v>3503</v>
      </c>
      <c r="E16" s="3476" t="s">
        <v>3553</v>
      </c>
      <c r="F16" s="3476" t="s">
        <v>3554</v>
      </c>
      <c r="G16" s="3476" t="s">
        <v>3555</v>
      </c>
      <c r="H16" s="3476"/>
      <c r="I16" s="3476">
        <v>14656.14</v>
      </c>
      <c r="J16" s="3476">
        <v>12824.12</v>
      </c>
      <c r="K16" s="3476">
        <v>1832.02</v>
      </c>
      <c r="L16" s="3476">
        <v>38236</v>
      </c>
      <c r="M16" s="3476">
        <v>26089</v>
      </c>
      <c r="N16" s="3476">
        <v>29816</v>
      </c>
      <c r="O16" s="3476" t="s">
        <v>3556</v>
      </c>
      <c r="P16" s="3477">
        <v>44161</v>
      </c>
      <c r="Q16" s="3476" t="s">
        <v>3569</v>
      </c>
      <c r="R16" s="3476" t="s">
        <v>3565</v>
      </c>
      <c r="S16" s="3476"/>
      <c r="T16" s="3476"/>
      <c r="U16" s="3476"/>
      <c r="V16" s="3478"/>
      <c r="W16" s="3476"/>
    </row>
    <row r="17" spans="1:23">
      <c r="A17" s="3479">
        <v>15</v>
      </c>
      <c r="B17" s="3479" t="s">
        <v>3570</v>
      </c>
      <c r="C17" s="3479" t="s">
        <v>3571</v>
      </c>
      <c r="D17" s="3479" t="s">
        <v>3503</v>
      </c>
      <c r="E17" s="3479" t="s">
        <v>3553</v>
      </c>
      <c r="F17" s="3479" t="s">
        <v>3554</v>
      </c>
      <c r="G17" s="3479" t="s">
        <v>3572</v>
      </c>
      <c r="H17" s="3479"/>
      <c r="I17" s="3479">
        <v>66987.539999999994</v>
      </c>
      <c r="J17" s="3479">
        <v>66987.539999999994</v>
      </c>
      <c r="K17" s="3479"/>
      <c r="L17" s="3479">
        <v>267950</v>
      </c>
      <c r="M17" s="3479">
        <v>40000</v>
      </c>
      <c r="N17" s="3479">
        <v>40000</v>
      </c>
      <c r="O17" s="3479" t="s">
        <v>43</v>
      </c>
      <c r="P17" s="3480">
        <v>44161</v>
      </c>
      <c r="Q17" s="3479" t="s">
        <v>3573</v>
      </c>
      <c r="R17" s="3479" t="s">
        <v>3550</v>
      </c>
      <c r="S17" s="3479"/>
      <c r="T17" s="3479"/>
      <c r="U17" s="3479"/>
      <c r="V17" s="3481"/>
      <c r="W17" s="3479"/>
    </row>
    <row r="18" spans="1:23" ht="36">
      <c r="A18" s="3476">
        <v>16</v>
      </c>
      <c r="B18" s="3476" t="s">
        <v>3574</v>
      </c>
      <c r="C18" s="3476" t="s">
        <v>3575</v>
      </c>
      <c r="D18" s="3476" t="s">
        <v>3531</v>
      </c>
      <c r="E18" s="3476" t="s">
        <v>3576</v>
      </c>
      <c r="F18" s="3476" t="s">
        <v>3577</v>
      </c>
      <c r="G18" s="3476" t="s">
        <v>3578</v>
      </c>
      <c r="H18" s="3476"/>
      <c r="I18" s="3476">
        <v>14263.2</v>
      </c>
      <c r="J18" s="3476">
        <v>12079.89</v>
      </c>
      <c r="K18" s="3476">
        <v>2183.31</v>
      </c>
      <c r="L18" s="3476">
        <v>99736</v>
      </c>
      <c r="M18" s="3476">
        <v>69925</v>
      </c>
      <c r="N18" s="3476">
        <v>82564</v>
      </c>
      <c r="O18" s="3476" t="s">
        <v>3579</v>
      </c>
      <c r="P18" s="3477">
        <v>44224</v>
      </c>
      <c r="Q18" s="3476" t="s">
        <v>3580</v>
      </c>
      <c r="R18" s="3476" t="s">
        <v>3550</v>
      </c>
      <c r="S18" s="3476"/>
      <c r="T18" s="3476"/>
      <c r="U18" s="3476"/>
      <c r="V18" s="3478"/>
      <c r="W18" s="3476"/>
    </row>
    <row r="19" spans="1:23" ht="24">
      <c r="A19" s="3479">
        <v>17</v>
      </c>
      <c r="B19" s="3479" t="s">
        <v>3581</v>
      </c>
      <c r="C19" s="3479" t="s">
        <v>3552</v>
      </c>
      <c r="D19" s="3479" t="s">
        <v>3503</v>
      </c>
      <c r="E19" s="3479" t="s">
        <v>3553</v>
      </c>
      <c r="F19" s="3479" t="s">
        <v>3554</v>
      </c>
      <c r="G19" s="3479" t="s">
        <v>3555</v>
      </c>
      <c r="H19" s="3479"/>
      <c r="I19" s="3479">
        <v>30280.83</v>
      </c>
      <c r="J19" s="3479">
        <v>30280.83</v>
      </c>
      <c r="K19" s="3479"/>
      <c r="L19" s="3479">
        <v>91206</v>
      </c>
      <c r="M19" s="3479">
        <v>30120</v>
      </c>
      <c r="N19" s="3479">
        <v>30120</v>
      </c>
      <c r="O19" s="3479" t="s">
        <v>3556</v>
      </c>
      <c r="P19" s="3480">
        <v>44267</v>
      </c>
      <c r="Q19" s="3479" t="s">
        <v>3557</v>
      </c>
      <c r="R19" s="3479" t="s">
        <v>3528</v>
      </c>
      <c r="S19" s="3479"/>
      <c r="T19" s="3479"/>
      <c r="U19" s="3479"/>
      <c r="V19" s="3481"/>
      <c r="W19" s="3479"/>
    </row>
    <row r="20" spans="1:23" hidden="1">
      <c r="A20" s="3476">
        <v>18</v>
      </c>
      <c r="B20" s="3476" t="s">
        <v>3582</v>
      </c>
      <c r="C20" s="3476" t="s">
        <v>3552</v>
      </c>
      <c r="D20" s="3476" t="s">
        <v>3503</v>
      </c>
      <c r="E20" s="3476" t="s">
        <v>3553</v>
      </c>
      <c r="F20" s="3476" t="s">
        <v>3554</v>
      </c>
      <c r="G20" s="3476" t="s">
        <v>3555</v>
      </c>
      <c r="H20" s="3476"/>
      <c r="I20" s="3476">
        <v>28371.47</v>
      </c>
      <c r="J20" s="3476">
        <v>22066.7</v>
      </c>
      <c r="K20" s="3476">
        <v>6304.77</v>
      </c>
      <c r="L20" s="3476">
        <v>65061</v>
      </c>
      <c r="M20" s="3476">
        <v>22932</v>
      </c>
      <c r="N20" s="3476">
        <v>29484</v>
      </c>
      <c r="O20" s="3476" t="s">
        <v>3556</v>
      </c>
      <c r="P20" s="3477">
        <v>44267</v>
      </c>
      <c r="Q20" s="3476" t="s">
        <v>3567</v>
      </c>
      <c r="R20" s="3476" t="s">
        <v>3565</v>
      </c>
      <c r="S20" s="3476"/>
      <c r="T20" s="3476"/>
      <c r="U20" s="3476"/>
      <c r="V20" s="3478"/>
      <c r="W20" s="3476"/>
    </row>
    <row r="21" spans="1:23" ht="24" hidden="1">
      <c r="A21" s="3479">
        <v>19</v>
      </c>
      <c r="B21" s="3479" t="s">
        <v>3583</v>
      </c>
      <c r="C21" s="3479" t="s">
        <v>3584</v>
      </c>
      <c r="D21" s="3479" t="s">
        <v>3540</v>
      </c>
      <c r="E21" s="3479" t="s">
        <v>3541</v>
      </c>
      <c r="F21" s="3479" t="s">
        <v>3585</v>
      </c>
      <c r="G21" s="3479" t="s">
        <v>21</v>
      </c>
      <c r="H21" s="3479"/>
      <c r="I21" s="3479">
        <v>3532.33</v>
      </c>
      <c r="J21" s="3479"/>
      <c r="K21" s="3479"/>
      <c r="L21" s="3479">
        <v>18368</v>
      </c>
      <c r="M21" s="3479">
        <v>52000</v>
      </c>
      <c r="N21" s="3479"/>
      <c r="O21" s="3479" t="s">
        <v>43</v>
      </c>
      <c r="P21" s="3480">
        <v>44273</v>
      </c>
      <c r="Q21" s="3479" t="s">
        <v>3586</v>
      </c>
      <c r="R21" s="3479"/>
      <c r="S21" s="3479"/>
      <c r="T21" s="3479"/>
      <c r="U21" s="3479"/>
      <c r="V21" s="3481"/>
      <c r="W21" s="3479"/>
    </row>
    <row r="22" spans="1:23" ht="24" hidden="1">
      <c r="A22" s="3476">
        <v>20</v>
      </c>
      <c r="B22" s="3476" t="s">
        <v>3587</v>
      </c>
      <c r="C22" s="3476" t="s">
        <v>3584</v>
      </c>
      <c r="D22" s="3476" t="s">
        <v>3540</v>
      </c>
      <c r="E22" s="3476" t="s">
        <v>3541</v>
      </c>
      <c r="F22" s="3476" t="s">
        <v>3588</v>
      </c>
      <c r="G22" s="3476" t="s">
        <v>21</v>
      </c>
      <c r="H22" s="3476"/>
      <c r="I22" s="3476">
        <v>2913.97</v>
      </c>
      <c r="J22" s="3476"/>
      <c r="K22" s="3476"/>
      <c r="L22" s="3476">
        <v>21000</v>
      </c>
      <c r="M22" s="3476">
        <v>72067</v>
      </c>
      <c r="N22" s="3476"/>
      <c r="O22" s="3476" t="s">
        <v>43</v>
      </c>
      <c r="P22" s="3477">
        <v>44040</v>
      </c>
      <c r="Q22" s="3476" t="s">
        <v>3589</v>
      </c>
      <c r="R22" s="3476" t="s">
        <v>3528</v>
      </c>
      <c r="S22" s="3476"/>
      <c r="T22" s="3476"/>
      <c r="U22" s="3476"/>
      <c r="V22" s="3478"/>
      <c r="W22" s="3476"/>
    </row>
    <row r="23" spans="1:23" ht="60" hidden="1">
      <c r="A23" s="3479">
        <v>21</v>
      </c>
      <c r="B23" s="3479" t="s">
        <v>3590</v>
      </c>
      <c r="C23" s="3479" t="s">
        <v>3591</v>
      </c>
      <c r="D23" s="3479" t="s">
        <v>3503</v>
      </c>
      <c r="E23" s="3479" t="s">
        <v>3592</v>
      </c>
      <c r="F23" s="3479" t="s">
        <v>3514</v>
      </c>
      <c r="G23" s="3479" t="s">
        <v>3593</v>
      </c>
      <c r="H23" s="3479"/>
      <c r="I23" s="3479">
        <v>9550.73</v>
      </c>
      <c r="J23" s="3479">
        <v>9550.73</v>
      </c>
      <c r="K23" s="3479"/>
      <c r="L23" s="3479">
        <v>27620</v>
      </c>
      <c r="M23" s="3479">
        <v>28919</v>
      </c>
      <c r="N23" s="3479"/>
      <c r="O23" s="3479" t="s">
        <v>3594</v>
      </c>
      <c r="P23" s="3480">
        <v>44282</v>
      </c>
      <c r="Q23" s="3479" t="s">
        <v>3595</v>
      </c>
      <c r="R23" s="3479" t="s">
        <v>3596</v>
      </c>
      <c r="S23" s="3479"/>
      <c r="T23" s="3479"/>
      <c r="U23" s="3479" t="s">
        <v>3509</v>
      </c>
      <c r="V23" s="3481"/>
      <c r="W23" s="3479"/>
    </row>
    <row r="24" spans="1:23" s="3489" customFormat="1" ht="24">
      <c r="A24" s="3486">
        <v>22</v>
      </c>
      <c r="B24" s="3486" t="s">
        <v>3597</v>
      </c>
      <c r="C24" s="3486" t="s">
        <v>3598</v>
      </c>
      <c r="D24" s="3486" t="s">
        <v>3531</v>
      </c>
      <c r="E24" s="3486" t="s">
        <v>3532</v>
      </c>
      <c r="F24" s="3486" t="s">
        <v>3599</v>
      </c>
      <c r="G24" s="3486" t="s">
        <v>21</v>
      </c>
      <c r="H24" s="3486"/>
      <c r="I24" s="3486">
        <v>4849.38</v>
      </c>
      <c r="J24" s="3486">
        <v>4849.38</v>
      </c>
      <c r="K24" s="3486"/>
      <c r="L24" s="3486">
        <v>24068</v>
      </c>
      <c r="M24" s="3486">
        <v>49631</v>
      </c>
      <c r="N24" s="3486">
        <v>49631</v>
      </c>
      <c r="O24" s="3486" t="s">
        <v>3600</v>
      </c>
      <c r="P24" s="3487">
        <v>44277</v>
      </c>
      <c r="Q24" s="3486" t="s">
        <v>3601</v>
      </c>
      <c r="R24" s="3486"/>
      <c r="S24" s="3486"/>
      <c r="T24" s="3486"/>
      <c r="U24" s="3486"/>
      <c r="V24" s="3488"/>
      <c r="W24" s="3486"/>
    </row>
    <row r="25" spans="1:23" ht="24" hidden="1">
      <c r="A25" s="3479">
        <v>23</v>
      </c>
      <c r="B25" s="3479" t="s">
        <v>3602</v>
      </c>
      <c r="C25" s="3479" t="s">
        <v>3603</v>
      </c>
      <c r="D25" s="3479" t="s">
        <v>3503</v>
      </c>
      <c r="E25" s="3479" t="s">
        <v>3604</v>
      </c>
      <c r="F25" s="3479" t="s">
        <v>3605</v>
      </c>
      <c r="G25" s="3479" t="s">
        <v>3606</v>
      </c>
      <c r="H25" s="3479"/>
      <c r="I25" s="3479">
        <v>10326.35</v>
      </c>
      <c r="J25" s="3479">
        <v>8873.76</v>
      </c>
      <c r="K25" s="3479">
        <v>1452.59</v>
      </c>
      <c r="L25" s="3479">
        <v>26015.737499999999</v>
      </c>
      <c r="M25" s="3479">
        <v>25194</v>
      </c>
      <c r="N25" s="3479">
        <v>29318</v>
      </c>
      <c r="O25" s="3479" t="s">
        <v>3607</v>
      </c>
      <c r="P25" s="3480">
        <v>44309</v>
      </c>
      <c r="Q25" s="3479" t="s">
        <v>3608</v>
      </c>
      <c r="R25" s="3479" t="s">
        <v>3517</v>
      </c>
      <c r="S25" s="3479">
        <v>32956.674099999997</v>
      </c>
      <c r="T25" s="3479">
        <v>31915</v>
      </c>
      <c r="U25" s="3479"/>
      <c r="V25" s="3481">
        <v>0.79</v>
      </c>
      <c r="W25" s="3479" t="s">
        <v>3509</v>
      </c>
    </row>
    <row r="26" spans="1:23" ht="132">
      <c r="A26" s="3476">
        <v>24</v>
      </c>
      <c r="B26" s="3476" t="s">
        <v>3609</v>
      </c>
      <c r="C26" s="3476" t="s">
        <v>3610</v>
      </c>
      <c r="D26" s="3476" t="s">
        <v>3503</v>
      </c>
      <c r="E26" s="3476" t="s">
        <v>3611</v>
      </c>
      <c r="F26" s="3476" t="s">
        <v>3612</v>
      </c>
      <c r="G26" s="3476" t="s">
        <v>3613</v>
      </c>
      <c r="H26" s="3476">
        <v>4154.62</v>
      </c>
      <c r="I26" s="3476">
        <v>2784.8</v>
      </c>
      <c r="J26" s="3476">
        <v>2784.8</v>
      </c>
      <c r="K26" s="3476"/>
      <c r="L26" s="3476">
        <v>10175</v>
      </c>
      <c r="M26" s="3476">
        <v>36538</v>
      </c>
      <c r="N26" s="3476"/>
      <c r="O26" s="3476" t="s">
        <v>3614</v>
      </c>
      <c r="P26" s="3477">
        <v>44302</v>
      </c>
      <c r="Q26" s="3476" t="s">
        <v>3615</v>
      </c>
      <c r="R26" s="3476" t="s">
        <v>3616</v>
      </c>
      <c r="S26" s="3476">
        <v>8664</v>
      </c>
      <c r="T26" s="3476">
        <v>31110</v>
      </c>
      <c r="U26" s="3476"/>
      <c r="V26" s="3478">
        <v>1.17</v>
      </c>
      <c r="W26" s="3476" t="s">
        <v>3509</v>
      </c>
    </row>
    <row r="27" spans="1:23" s="3485" customFormat="1" ht="24">
      <c r="A27" s="3490">
        <v>25</v>
      </c>
      <c r="B27" s="3490" t="s">
        <v>3617</v>
      </c>
      <c r="C27" s="3490" t="s">
        <v>3618</v>
      </c>
      <c r="D27" s="3490" t="s">
        <v>3531</v>
      </c>
      <c r="E27" s="3490" t="s">
        <v>3619</v>
      </c>
      <c r="F27" s="3490" t="s">
        <v>3620</v>
      </c>
      <c r="G27" s="3490" t="s">
        <v>3606</v>
      </c>
      <c r="H27" s="3490">
        <v>4831.42</v>
      </c>
      <c r="I27" s="3490">
        <v>46330.33</v>
      </c>
      <c r="J27" s="3490">
        <v>35489.51</v>
      </c>
      <c r="K27" s="3490">
        <v>10840.82</v>
      </c>
      <c r="L27" s="3490">
        <v>265000</v>
      </c>
      <c r="M27" s="3490">
        <v>57198</v>
      </c>
      <c r="N27" s="3490">
        <v>74670</v>
      </c>
      <c r="O27" s="3490" t="s">
        <v>3621</v>
      </c>
      <c r="P27" s="3491" t="s">
        <v>3622</v>
      </c>
      <c r="Q27" s="3490" t="s">
        <v>3623</v>
      </c>
      <c r="R27" s="3490" t="s">
        <v>3624</v>
      </c>
      <c r="S27" s="3490"/>
      <c r="T27" s="3490"/>
      <c r="U27" s="3490"/>
      <c r="V27" s="3492"/>
      <c r="W27" s="3490"/>
    </row>
    <row r="28" spans="1:23" s="3856" customFormat="1" ht="24">
      <c r="A28" s="3853">
        <v>26</v>
      </c>
      <c r="B28" s="3853" t="s">
        <v>3625</v>
      </c>
      <c r="C28" s="3853" t="s">
        <v>3626</v>
      </c>
      <c r="D28" s="3853" t="s">
        <v>3503</v>
      </c>
      <c r="E28" s="3853" t="s">
        <v>3627</v>
      </c>
      <c r="F28" s="3853" t="s">
        <v>3628</v>
      </c>
      <c r="G28" s="3853" t="s">
        <v>3629</v>
      </c>
      <c r="H28" s="3853"/>
      <c r="I28" s="3853">
        <v>40201.339999999997</v>
      </c>
      <c r="J28" s="3853">
        <v>37923.279999999999</v>
      </c>
      <c r="K28" s="3853">
        <v>2278.06</v>
      </c>
      <c r="L28" s="3853">
        <v>204800</v>
      </c>
      <c r="M28" s="3853">
        <v>50944</v>
      </c>
      <c r="N28" s="3853">
        <v>54004</v>
      </c>
      <c r="O28" s="3853" t="s">
        <v>3630</v>
      </c>
      <c r="P28" s="3854" t="s">
        <v>3622</v>
      </c>
      <c r="Q28" s="3853" t="s">
        <v>3631</v>
      </c>
      <c r="R28" s="3853" t="s">
        <v>3632</v>
      </c>
      <c r="S28" s="3853"/>
      <c r="T28" s="3853"/>
      <c r="U28" s="3853"/>
      <c r="V28" s="3855"/>
      <c r="W28" s="3853"/>
    </row>
    <row r="29" spans="1:23" ht="96" hidden="1">
      <c r="A29" s="3479">
        <v>27</v>
      </c>
      <c r="B29" s="3479" t="s">
        <v>3633</v>
      </c>
      <c r="C29" s="3479" t="s">
        <v>3634</v>
      </c>
      <c r="D29" s="3479" t="s">
        <v>3531</v>
      </c>
      <c r="E29" s="3479" t="s">
        <v>3635</v>
      </c>
      <c r="F29" s="3479" t="s">
        <v>3636</v>
      </c>
      <c r="G29" s="3479" t="s">
        <v>673</v>
      </c>
      <c r="H29" s="3479">
        <v>286843.40000000002</v>
      </c>
      <c r="I29" s="3479">
        <v>279866.98</v>
      </c>
      <c r="J29" s="3479">
        <v>116948.41</v>
      </c>
      <c r="K29" s="3479">
        <v>162918.57</v>
      </c>
      <c r="L29" s="3479">
        <v>663600</v>
      </c>
      <c r="M29" s="3479">
        <v>23711</v>
      </c>
      <c r="N29" s="3479">
        <v>56743</v>
      </c>
      <c r="O29" s="3479" t="s">
        <v>3637</v>
      </c>
      <c r="P29" s="3480" t="s">
        <v>3622</v>
      </c>
      <c r="Q29" s="3479" t="s">
        <v>3638</v>
      </c>
      <c r="R29" s="3479"/>
      <c r="S29" s="3479"/>
      <c r="T29" s="3479"/>
      <c r="U29" s="3479"/>
      <c r="V29" s="3481"/>
      <c r="W29" s="3479"/>
    </row>
    <row r="30" spans="1:23" ht="24" hidden="1">
      <c r="A30" s="3476">
        <v>28</v>
      </c>
      <c r="B30" s="3476" t="s">
        <v>3639</v>
      </c>
      <c r="C30" s="3476" t="s">
        <v>3640</v>
      </c>
      <c r="D30" s="3476" t="s">
        <v>3540</v>
      </c>
      <c r="E30" s="3476" t="s">
        <v>3541</v>
      </c>
      <c r="F30" s="3476" t="s">
        <v>3641</v>
      </c>
      <c r="G30" s="3476" t="s">
        <v>3642</v>
      </c>
      <c r="H30" s="3476"/>
      <c r="I30" s="3476">
        <v>32518.27</v>
      </c>
      <c r="J30" s="3476">
        <v>28822.73</v>
      </c>
      <c r="K30" s="3476">
        <v>3695.54</v>
      </c>
      <c r="L30" s="3476">
        <v>167389</v>
      </c>
      <c r="M30" s="3476">
        <v>51475</v>
      </c>
      <c r="N30" s="3476">
        <v>58075</v>
      </c>
      <c r="O30" s="3476" t="s">
        <v>3643</v>
      </c>
      <c r="P30" s="3477">
        <v>44305</v>
      </c>
      <c r="Q30" s="3476" t="s">
        <v>3644</v>
      </c>
      <c r="R30" s="3476" t="s">
        <v>3550</v>
      </c>
      <c r="S30" s="3476"/>
      <c r="T30" s="3476"/>
      <c r="U30" s="3476"/>
      <c r="V30" s="3478"/>
      <c r="W30" s="3476"/>
    </row>
    <row r="31" spans="1:23" ht="24" hidden="1">
      <c r="A31" s="3479">
        <v>29</v>
      </c>
      <c r="B31" s="3479" t="s">
        <v>3645</v>
      </c>
      <c r="C31" s="3479" t="s">
        <v>3646</v>
      </c>
      <c r="D31" s="3479" t="s">
        <v>3647</v>
      </c>
      <c r="E31" s="3479" t="s">
        <v>3648</v>
      </c>
      <c r="F31" s="3479" t="s">
        <v>3649</v>
      </c>
      <c r="G31" s="3479" t="s">
        <v>21</v>
      </c>
      <c r="H31" s="3479"/>
      <c r="I31" s="3479">
        <v>27743.35</v>
      </c>
      <c r="J31" s="3479">
        <v>27743.35</v>
      </c>
      <c r="K31" s="3479"/>
      <c r="L31" s="3479">
        <v>66308</v>
      </c>
      <c r="M31" s="3479">
        <v>23901</v>
      </c>
      <c r="N31" s="3479">
        <v>23901</v>
      </c>
      <c r="O31" s="3479" t="s">
        <v>43</v>
      </c>
      <c r="P31" s="3480">
        <v>44299</v>
      </c>
      <c r="Q31" s="3479" t="s">
        <v>3650</v>
      </c>
      <c r="R31" s="3479"/>
      <c r="S31" s="3479"/>
      <c r="T31" s="3479"/>
      <c r="U31" s="3479"/>
      <c r="V31" s="3481"/>
      <c r="W31" s="3479"/>
    </row>
    <row r="32" spans="1:23" ht="24" hidden="1">
      <c r="A32" s="3476">
        <v>30</v>
      </c>
      <c r="B32" s="3476" t="s">
        <v>3651</v>
      </c>
      <c r="C32" s="3476" t="s">
        <v>3646</v>
      </c>
      <c r="D32" s="3476" t="s">
        <v>3647</v>
      </c>
      <c r="E32" s="3476" t="s">
        <v>3648</v>
      </c>
      <c r="F32" s="3476" t="s">
        <v>3649</v>
      </c>
      <c r="G32" s="3476" t="s">
        <v>21</v>
      </c>
      <c r="H32" s="3476"/>
      <c r="I32" s="3476">
        <v>19141.03</v>
      </c>
      <c r="J32" s="3476">
        <v>19141.03</v>
      </c>
      <c r="K32" s="3476"/>
      <c r="L32" s="3476">
        <v>65078</v>
      </c>
      <c r="M32" s="3476">
        <v>33999</v>
      </c>
      <c r="N32" s="3476">
        <v>33999</v>
      </c>
      <c r="O32" s="3476" t="s">
        <v>43</v>
      </c>
      <c r="P32" s="3477">
        <v>44187</v>
      </c>
      <c r="Q32" s="3476" t="s">
        <v>3650</v>
      </c>
      <c r="R32" s="3476"/>
      <c r="S32" s="3476"/>
      <c r="T32" s="3476"/>
      <c r="U32" s="3476"/>
      <c r="V32" s="3478"/>
      <c r="W32" s="3476"/>
    </row>
    <row r="33" spans="1:23" s="3496" customFormat="1" ht="24">
      <c r="A33" s="3493">
        <v>31</v>
      </c>
      <c r="B33" s="3493" t="s">
        <v>3652</v>
      </c>
      <c r="C33" s="3493" t="s">
        <v>3653</v>
      </c>
      <c r="D33" s="3493" t="s">
        <v>3531</v>
      </c>
      <c r="E33" s="3493" t="s">
        <v>3654</v>
      </c>
      <c r="F33" s="3493" t="s">
        <v>3655</v>
      </c>
      <c r="G33" s="3493" t="s">
        <v>21</v>
      </c>
      <c r="H33" s="3493">
        <v>26823.14</v>
      </c>
      <c r="I33" s="3493">
        <v>22666.71</v>
      </c>
      <c r="J33" s="3493">
        <v>15766.21</v>
      </c>
      <c r="K33" s="3493">
        <v>6900.5</v>
      </c>
      <c r="L33" s="3493">
        <v>85000</v>
      </c>
      <c r="M33" s="3493">
        <v>37500</v>
      </c>
      <c r="N33" s="3493">
        <v>53913</v>
      </c>
      <c r="O33" s="3493" t="s">
        <v>3656</v>
      </c>
      <c r="P33" s="3494" t="s">
        <v>3622</v>
      </c>
      <c r="Q33" s="3493" t="s">
        <v>3657</v>
      </c>
      <c r="R33" s="3493" t="s">
        <v>3624</v>
      </c>
      <c r="S33" s="3493"/>
      <c r="T33" s="3493"/>
      <c r="U33" s="3493"/>
      <c r="V33" s="3495"/>
      <c r="W33" s="3493"/>
    </row>
    <row r="34" spans="1:23" hidden="1">
      <c r="A34" s="3476">
        <v>32</v>
      </c>
      <c r="B34" s="3476" t="s">
        <v>3658</v>
      </c>
      <c r="C34" s="3476" t="s">
        <v>3659</v>
      </c>
      <c r="D34" s="3476" t="s">
        <v>3540</v>
      </c>
      <c r="E34" s="3476" t="s">
        <v>3541</v>
      </c>
      <c r="F34" s="3476" t="s">
        <v>3660</v>
      </c>
      <c r="G34" s="3476" t="s">
        <v>21</v>
      </c>
      <c r="H34" s="3476"/>
      <c r="I34" s="3476">
        <v>3260.28</v>
      </c>
      <c r="J34" s="3476">
        <v>2445.21</v>
      </c>
      <c r="K34" s="3476">
        <v>815.07</v>
      </c>
      <c r="L34" s="3476">
        <v>10107</v>
      </c>
      <c r="M34" s="3476">
        <v>31000</v>
      </c>
      <c r="N34" s="3476">
        <v>41334</v>
      </c>
      <c r="O34" s="3476" t="s">
        <v>3661</v>
      </c>
      <c r="P34" s="3477">
        <v>44324</v>
      </c>
      <c r="Q34" s="3476" t="s">
        <v>3662</v>
      </c>
      <c r="R34" s="3476"/>
      <c r="S34" s="3476"/>
      <c r="T34" s="3476"/>
      <c r="U34" s="3476"/>
      <c r="V34" s="3478"/>
      <c r="W34" s="3476"/>
    </row>
    <row r="35" spans="1:23" ht="36">
      <c r="A35" s="3479">
        <v>33</v>
      </c>
      <c r="B35" s="3479" t="s">
        <v>3663</v>
      </c>
      <c r="C35" s="3479" t="s">
        <v>3598</v>
      </c>
      <c r="D35" s="3479" t="s">
        <v>3531</v>
      </c>
      <c r="E35" s="3479" t="s">
        <v>3532</v>
      </c>
      <c r="F35" s="3479" t="s">
        <v>3599</v>
      </c>
      <c r="G35" s="3479" t="s">
        <v>21</v>
      </c>
      <c r="H35" s="3479"/>
      <c r="I35" s="3479">
        <v>11646.93</v>
      </c>
      <c r="J35" s="3479">
        <v>11646.93</v>
      </c>
      <c r="K35" s="3479"/>
      <c r="L35" s="3479">
        <v>56093</v>
      </c>
      <c r="M35" s="3479">
        <v>48000</v>
      </c>
      <c r="N35" s="3479">
        <v>48000</v>
      </c>
      <c r="O35" s="3479" t="s">
        <v>3664</v>
      </c>
      <c r="P35" s="3480">
        <v>44329</v>
      </c>
      <c r="Q35" s="3479" t="s">
        <v>3665</v>
      </c>
      <c r="R35" s="3479" t="s">
        <v>3550</v>
      </c>
      <c r="S35" s="3479"/>
      <c r="T35" s="3479"/>
      <c r="U35" s="3479"/>
      <c r="V35" s="3481"/>
      <c r="W35" s="3479"/>
    </row>
    <row r="36" spans="1:23" ht="26.25" customHeight="1">
      <c r="A36" s="3476">
        <v>34</v>
      </c>
      <c r="B36" s="3476" t="s">
        <v>3666</v>
      </c>
      <c r="C36" s="3476" t="s">
        <v>3667</v>
      </c>
      <c r="D36" s="3476" t="s">
        <v>3668</v>
      </c>
      <c r="E36" s="3476" t="s">
        <v>3669</v>
      </c>
      <c r="F36" s="3476" t="s">
        <v>3670</v>
      </c>
      <c r="G36" s="3476" t="s">
        <v>3671</v>
      </c>
      <c r="H36" s="3476"/>
      <c r="I36" s="3476">
        <v>4790.7299999999996</v>
      </c>
      <c r="J36" s="3476">
        <v>4790.7299999999996</v>
      </c>
      <c r="K36" s="3476"/>
      <c r="L36" s="3476">
        <v>19387</v>
      </c>
      <c r="M36" s="3476">
        <v>40468</v>
      </c>
      <c r="N36" s="3476">
        <v>40468</v>
      </c>
      <c r="O36" s="3476" t="s">
        <v>43</v>
      </c>
      <c r="P36" s="3477">
        <v>44329</v>
      </c>
      <c r="Q36" s="3476" t="s">
        <v>3672</v>
      </c>
      <c r="R36" s="3476" t="s">
        <v>3561</v>
      </c>
      <c r="S36" s="3476"/>
      <c r="T36" s="3476"/>
      <c r="U36" s="3476"/>
      <c r="V36" s="3478"/>
      <c r="W36" s="3476"/>
    </row>
    <row r="37" spans="1:23" ht="24" hidden="1">
      <c r="A37" s="3479">
        <v>35</v>
      </c>
      <c r="B37" s="3479" t="s">
        <v>3673</v>
      </c>
      <c r="C37" s="3479" t="s">
        <v>3674</v>
      </c>
      <c r="D37" s="3479" t="s">
        <v>3675</v>
      </c>
      <c r="E37" s="3479" t="s">
        <v>3675</v>
      </c>
      <c r="F37" s="3479" t="s">
        <v>3676</v>
      </c>
      <c r="G37" s="3479" t="s">
        <v>21</v>
      </c>
      <c r="H37" s="3479"/>
      <c r="I37" s="3479">
        <v>7652.17</v>
      </c>
      <c r="J37" s="3479">
        <v>5969.62</v>
      </c>
      <c r="K37" s="3479">
        <v>1682.55</v>
      </c>
      <c r="L37" s="3479">
        <v>29079</v>
      </c>
      <c r="M37" s="3479">
        <v>38001</v>
      </c>
      <c r="N37" s="3479">
        <v>48712</v>
      </c>
      <c r="O37" s="3479" t="s">
        <v>43</v>
      </c>
      <c r="P37" s="3480">
        <v>44334</v>
      </c>
      <c r="Q37" s="3479" t="s">
        <v>3677</v>
      </c>
      <c r="R37" s="3479" t="s">
        <v>3528</v>
      </c>
      <c r="S37" s="3479"/>
      <c r="T37" s="3479"/>
      <c r="U37" s="3479"/>
      <c r="V37" s="3481"/>
      <c r="W37" s="3479"/>
    </row>
    <row r="38" spans="1:23" ht="24">
      <c r="A38" s="3476">
        <v>36</v>
      </c>
      <c r="B38" s="3476" t="s">
        <v>3678</v>
      </c>
      <c r="C38" s="3476" t="s">
        <v>3679</v>
      </c>
      <c r="D38" s="3476" t="s">
        <v>3503</v>
      </c>
      <c r="E38" s="3476" t="s">
        <v>3680</v>
      </c>
      <c r="F38" s="3476" t="s">
        <v>3681</v>
      </c>
      <c r="G38" s="3476" t="s">
        <v>21</v>
      </c>
      <c r="H38" s="3476"/>
      <c r="I38" s="3476">
        <v>107627.08</v>
      </c>
      <c r="J38" s="3476">
        <v>107627.08</v>
      </c>
      <c r="K38" s="3476"/>
      <c r="L38" s="3476">
        <v>906000</v>
      </c>
      <c r="M38" s="3476">
        <v>84180</v>
      </c>
      <c r="N38" s="3476">
        <v>84180</v>
      </c>
      <c r="O38" s="3476" t="s">
        <v>3682</v>
      </c>
      <c r="P38" s="3477">
        <v>44348</v>
      </c>
      <c r="Q38" s="3476" t="s">
        <v>3683</v>
      </c>
      <c r="R38" s="3476" t="s">
        <v>3517</v>
      </c>
      <c r="S38" s="3476"/>
      <c r="T38" s="3476"/>
      <c r="U38" s="3476"/>
      <c r="V38" s="3478"/>
      <c r="W38" s="3476"/>
    </row>
    <row r="39" spans="1:23" ht="24" hidden="1">
      <c r="A39" s="3479">
        <v>37</v>
      </c>
      <c r="B39" s="3479" t="s">
        <v>3684</v>
      </c>
      <c r="C39" s="3479" t="s">
        <v>3685</v>
      </c>
      <c r="D39" s="3479" t="s">
        <v>3686</v>
      </c>
      <c r="E39" s="3479" t="s">
        <v>3687</v>
      </c>
      <c r="F39" s="3479" t="s">
        <v>3688</v>
      </c>
      <c r="G39" s="3479" t="s">
        <v>673</v>
      </c>
      <c r="H39" s="3479">
        <v>949.75</v>
      </c>
      <c r="I39" s="3479">
        <v>1807.6</v>
      </c>
      <c r="J39" s="3479">
        <v>1807.6</v>
      </c>
      <c r="K39" s="3479"/>
      <c r="L39" s="3479">
        <v>3500</v>
      </c>
      <c r="M39" s="3479">
        <v>19363</v>
      </c>
      <c r="N39" s="3479">
        <v>19363</v>
      </c>
      <c r="O39" s="3479" t="s">
        <v>3689</v>
      </c>
      <c r="P39" s="3480">
        <v>44395</v>
      </c>
      <c r="Q39" s="3479" t="s">
        <v>3690</v>
      </c>
      <c r="R39" s="3479" t="s">
        <v>3691</v>
      </c>
      <c r="S39" s="3479">
        <v>3806.6</v>
      </c>
      <c r="T39" s="3479">
        <v>21059</v>
      </c>
      <c r="U39" s="3479"/>
      <c r="V39" s="3481">
        <v>0.92</v>
      </c>
      <c r="W39" s="3479" t="s">
        <v>3509</v>
      </c>
    </row>
    <row r="40" spans="1:23" ht="36" hidden="1">
      <c r="A40" s="3476">
        <v>38</v>
      </c>
      <c r="B40" s="3476" t="s">
        <v>3692</v>
      </c>
      <c r="C40" s="3476" t="s">
        <v>3693</v>
      </c>
      <c r="D40" s="3476" t="s">
        <v>3694</v>
      </c>
      <c r="E40" s="3476" t="s">
        <v>3695</v>
      </c>
      <c r="F40" s="3476" t="s">
        <v>3696</v>
      </c>
      <c r="G40" s="3476" t="s">
        <v>3697</v>
      </c>
      <c r="H40" s="3476"/>
      <c r="I40" s="3476">
        <v>2513.25</v>
      </c>
      <c r="J40" s="3476">
        <v>2513.25</v>
      </c>
      <c r="K40" s="3476"/>
      <c r="L40" s="3476">
        <v>3514.5070000000001</v>
      </c>
      <c r="M40" s="3476">
        <v>13984</v>
      </c>
      <c r="N40" s="3476">
        <v>13984</v>
      </c>
      <c r="O40" s="3476" t="s">
        <v>3698</v>
      </c>
      <c r="P40" s="3477">
        <v>44393</v>
      </c>
      <c r="Q40" s="3476" t="s">
        <v>3699</v>
      </c>
      <c r="R40" s="3476" t="s">
        <v>3700</v>
      </c>
      <c r="S40" s="3476">
        <v>3795.01</v>
      </c>
      <c r="T40" s="3476">
        <v>15100</v>
      </c>
      <c r="U40" s="3476"/>
      <c r="V40" s="3478">
        <v>0.93</v>
      </c>
      <c r="W40" s="3476" t="s">
        <v>3509</v>
      </c>
    </row>
    <row r="41" spans="1:23" hidden="1">
      <c r="A41" s="3479"/>
      <c r="B41" s="3479"/>
      <c r="C41" s="3479"/>
      <c r="D41" s="3479"/>
      <c r="E41" s="3479"/>
      <c r="F41" s="3479"/>
      <c r="G41" s="3479"/>
      <c r="H41" s="3479"/>
      <c r="I41" s="3479"/>
      <c r="J41" s="3479"/>
      <c r="K41" s="3479"/>
      <c r="L41" s="3479"/>
      <c r="M41" s="3479"/>
      <c r="N41" s="3479"/>
      <c r="O41" s="3479"/>
      <c r="P41" s="3480"/>
      <c r="Q41" s="3479" t="s">
        <v>3701</v>
      </c>
      <c r="R41" s="3479"/>
      <c r="S41" s="3479"/>
      <c r="T41" s="3479"/>
      <c r="U41" s="3479"/>
      <c r="V41" s="3481"/>
      <c r="W41" s="3479"/>
    </row>
    <row r="42" spans="1:23" ht="108" hidden="1">
      <c r="A42" s="3476">
        <v>39</v>
      </c>
      <c r="B42" s="3476" t="s">
        <v>3702</v>
      </c>
      <c r="C42" s="3476" t="s">
        <v>3703</v>
      </c>
      <c r="D42" s="3476" t="s">
        <v>3531</v>
      </c>
      <c r="E42" s="3476" t="s">
        <v>3654</v>
      </c>
      <c r="F42" s="3476" t="s">
        <v>3704</v>
      </c>
      <c r="G42" s="3476" t="s">
        <v>3606</v>
      </c>
      <c r="H42" s="3476">
        <v>10958.77</v>
      </c>
      <c r="I42" s="3476">
        <v>16239.52</v>
      </c>
      <c r="J42" s="3476">
        <v>11951.04</v>
      </c>
      <c r="K42" s="3476">
        <v>4288.4799999999996</v>
      </c>
      <c r="L42" s="3476">
        <v>30775.432799999999</v>
      </c>
      <c r="M42" s="3476">
        <v>18951</v>
      </c>
      <c r="N42" s="3476">
        <v>25751</v>
      </c>
      <c r="O42" s="3476" t="s">
        <v>3705</v>
      </c>
      <c r="P42" s="3477">
        <v>44416</v>
      </c>
      <c r="Q42" s="3476" t="s">
        <v>3706</v>
      </c>
      <c r="R42" s="3476" t="s">
        <v>3700</v>
      </c>
      <c r="S42" s="3476">
        <v>54956.13</v>
      </c>
      <c r="T42" s="3476">
        <v>45984</v>
      </c>
      <c r="U42" s="3476"/>
      <c r="V42" s="3478">
        <v>0.56000000000000005</v>
      </c>
      <c r="W42" s="3476" t="s">
        <v>3509</v>
      </c>
    </row>
    <row r="43" spans="1:23" s="3496" customFormat="1" ht="24">
      <c r="A43" s="3493">
        <v>40</v>
      </c>
      <c r="B43" s="3493" t="s">
        <v>3707</v>
      </c>
      <c r="C43" s="3493" t="s">
        <v>3708</v>
      </c>
      <c r="D43" s="3493" t="s">
        <v>3531</v>
      </c>
      <c r="E43" s="3493"/>
      <c r="F43" s="3493" t="s">
        <v>3709</v>
      </c>
      <c r="G43" s="3493" t="s">
        <v>21</v>
      </c>
      <c r="H43" s="3493"/>
      <c r="I43" s="3493">
        <v>4649.72</v>
      </c>
      <c r="J43" s="3493">
        <v>4035.57</v>
      </c>
      <c r="K43" s="3493">
        <v>614.15</v>
      </c>
      <c r="L43" s="3493">
        <v>16499</v>
      </c>
      <c r="M43" s="3493">
        <v>35484</v>
      </c>
      <c r="N43" s="3493">
        <v>40884</v>
      </c>
      <c r="O43" s="3493" t="s">
        <v>43</v>
      </c>
      <c r="P43" s="3494">
        <v>44413</v>
      </c>
      <c r="Q43" s="3493" t="s">
        <v>3710</v>
      </c>
      <c r="R43" s="3493" t="s">
        <v>3550</v>
      </c>
      <c r="S43" s="3493"/>
      <c r="T43" s="3493">
        <v>0</v>
      </c>
      <c r="U43" s="3493"/>
      <c r="V43" s="3495" t="e">
        <v>#DIV/0!</v>
      </c>
      <c r="W43" s="3493"/>
    </row>
    <row r="44" spans="1:23" ht="36">
      <c r="A44" s="3476">
        <v>41</v>
      </c>
      <c r="B44" s="3476" t="s">
        <v>3711</v>
      </c>
      <c r="C44" s="3476" t="s">
        <v>3712</v>
      </c>
      <c r="D44" s="3476" t="s">
        <v>3531</v>
      </c>
      <c r="E44" s="3476" t="s">
        <v>3713</v>
      </c>
      <c r="F44" s="3476" t="s">
        <v>3714</v>
      </c>
      <c r="G44" s="3476" t="s">
        <v>673</v>
      </c>
      <c r="H44" s="3476"/>
      <c r="I44" s="3476">
        <v>2892.36</v>
      </c>
      <c r="J44" s="3476">
        <v>552.79</v>
      </c>
      <c r="K44" s="3476">
        <v>2339.5700000000002</v>
      </c>
      <c r="L44" s="3476">
        <v>12038</v>
      </c>
      <c r="M44" s="3476">
        <v>41620</v>
      </c>
      <c r="N44" s="3476">
        <v>217768</v>
      </c>
      <c r="O44" s="3476" t="s">
        <v>43</v>
      </c>
      <c r="P44" s="3477">
        <v>44413</v>
      </c>
      <c r="Q44" s="3476" t="s">
        <v>3715</v>
      </c>
      <c r="R44" s="3476" t="s">
        <v>3716</v>
      </c>
      <c r="S44" s="3476"/>
      <c r="T44" s="3476">
        <v>0</v>
      </c>
      <c r="U44" s="3476"/>
      <c r="V44" s="3478" t="e">
        <v>#DIV/0!</v>
      </c>
      <c r="W44" s="3476"/>
    </row>
    <row r="45" spans="1:23" ht="24" hidden="1">
      <c r="A45" s="3479">
        <v>42</v>
      </c>
      <c r="B45" s="3479" t="s">
        <v>3717</v>
      </c>
      <c r="C45" s="3479" t="s">
        <v>3718</v>
      </c>
      <c r="D45" s="3479" t="s">
        <v>3531</v>
      </c>
      <c r="E45" s="3479" t="s">
        <v>3719</v>
      </c>
      <c r="F45" s="3479" t="s">
        <v>3548</v>
      </c>
      <c r="G45" s="3479" t="s">
        <v>3720</v>
      </c>
      <c r="H45" s="3479"/>
      <c r="I45" s="3479">
        <v>4269.6899999999996</v>
      </c>
      <c r="J45" s="3479">
        <v>4269.6899999999996</v>
      </c>
      <c r="K45" s="3479"/>
      <c r="L45" s="3479">
        <v>10551.183199999999</v>
      </c>
      <c r="M45" s="3479">
        <v>24712</v>
      </c>
      <c r="N45" s="3479">
        <v>24712</v>
      </c>
      <c r="O45" s="3479" t="s">
        <v>3721</v>
      </c>
      <c r="P45" s="3480">
        <v>44419</v>
      </c>
      <c r="Q45" s="3479" t="s">
        <v>3722</v>
      </c>
      <c r="R45" s="3479" t="s">
        <v>3700</v>
      </c>
      <c r="S45" s="3479">
        <v>10166.183199999999</v>
      </c>
      <c r="T45" s="3479">
        <v>23810</v>
      </c>
      <c r="U45" s="3479"/>
      <c r="V45" s="3481">
        <v>1.04</v>
      </c>
      <c r="W45" s="3479" t="s">
        <v>3509</v>
      </c>
    </row>
    <row r="46" spans="1:23" ht="24" hidden="1">
      <c r="A46" s="3476">
        <v>43</v>
      </c>
      <c r="B46" s="3476" t="s">
        <v>3723</v>
      </c>
      <c r="C46" s="3476" t="s">
        <v>3723</v>
      </c>
      <c r="D46" s="3476" t="s">
        <v>3647</v>
      </c>
      <c r="E46" s="3476" t="s">
        <v>3724</v>
      </c>
      <c r="F46" s="3476" t="s">
        <v>43</v>
      </c>
      <c r="G46" s="3476" t="s">
        <v>673</v>
      </c>
      <c r="H46" s="3476"/>
      <c r="I46" s="3476">
        <v>640.29</v>
      </c>
      <c r="J46" s="3476"/>
      <c r="K46" s="3476"/>
      <c r="L46" s="3476">
        <v>1273.625</v>
      </c>
      <c r="M46" s="3476">
        <v>19891</v>
      </c>
      <c r="N46" s="3476" t="e">
        <v>#DIV/0!</v>
      </c>
      <c r="O46" s="3476" t="s">
        <v>3514</v>
      </c>
      <c r="P46" s="3477">
        <v>44334</v>
      </c>
      <c r="Q46" s="3476" t="s">
        <v>3725</v>
      </c>
      <c r="R46" s="3476" t="s">
        <v>3726</v>
      </c>
      <c r="S46" s="3476">
        <v>1373.75</v>
      </c>
      <c r="T46" s="3476" t="e">
        <v>#DIV/0!</v>
      </c>
      <c r="U46" s="3476"/>
      <c r="V46" s="3478">
        <v>0.93</v>
      </c>
      <c r="W46" s="3476" t="s">
        <v>3509</v>
      </c>
    </row>
    <row r="47" spans="1:23" ht="24">
      <c r="A47" s="3479">
        <v>44</v>
      </c>
      <c r="B47" s="3479" t="s">
        <v>3403</v>
      </c>
      <c r="C47" s="3479" t="s">
        <v>3727</v>
      </c>
      <c r="D47" s="3479" t="s">
        <v>3728</v>
      </c>
      <c r="E47" s="3479" t="s">
        <v>3729</v>
      </c>
      <c r="F47" s="3479" t="s">
        <v>3730</v>
      </c>
      <c r="G47" s="3479" t="s">
        <v>3731</v>
      </c>
      <c r="H47" s="3479"/>
      <c r="I47" s="3479">
        <v>38000</v>
      </c>
      <c r="J47" s="3479">
        <v>26467.47</v>
      </c>
      <c r="K47" s="3479">
        <v>11532.53</v>
      </c>
      <c r="L47" s="3479">
        <v>157500</v>
      </c>
      <c r="M47" s="3479">
        <v>41447</v>
      </c>
      <c r="N47" s="3479">
        <v>59507</v>
      </c>
      <c r="O47" s="3479" t="s">
        <v>43</v>
      </c>
      <c r="P47" s="3480" t="s">
        <v>3732</v>
      </c>
      <c r="Q47" s="3479" t="s">
        <v>3733</v>
      </c>
      <c r="R47" s="3479" t="s">
        <v>3734</v>
      </c>
      <c r="S47" s="3479"/>
      <c r="T47" s="3479">
        <v>0</v>
      </c>
      <c r="U47" s="3479"/>
      <c r="V47" s="3481" t="e">
        <v>#DIV/0!</v>
      </c>
      <c r="W47" s="3479"/>
    </row>
    <row r="48" spans="1:23">
      <c r="A48" s="3476">
        <v>45</v>
      </c>
      <c r="B48" s="3476" t="s">
        <v>3735</v>
      </c>
      <c r="C48" s="3476" t="s">
        <v>3736</v>
      </c>
      <c r="D48" s="3476" t="s">
        <v>3728</v>
      </c>
      <c r="E48" s="3476" t="s">
        <v>3730</v>
      </c>
      <c r="F48" s="3476" t="s">
        <v>3737</v>
      </c>
      <c r="G48" s="3476" t="s">
        <v>21</v>
      </c>
      <c r="H48" s="3476"/>
      <c r="I48" s="3476">
        <v>15941</v>
      </c>
      <c r="J48" s="3476">
        <v>15941</v>
      </c>
      <c r="K48" s="3476"/>
      <c r="L48" s="3476">
        <v>152300</v>
      </c>
      <c r="M48" s="3476">
        <v>95540</v>
      </c>
      <c r="N48" s="3476">
        <v>95540</v>
      </c>
      <c r="O48" s="3476" t="s">
        <v>3738</v>
      </c>
      <c r="P48" s="3477" t="s">
        <v>3739</v>
      </c>
      <c r="Q48" s="3476" t="s">
        <v>3740</v>
      </c>
      <c r="R48" s="3476"/>
      <c r="S48" s="3476"/>
      <c r="T48" s="3476">
        <v>0</v>
      </c>
      <c r="U48" s="3476"/>
      <c r="V48" s="3478" t="e">
        <v>#DIV/0!</v>
      </c>
      <c r="W48" s="3476"/>
    </row>
    <row r="49" spans="1:23" ht="60" hidden="1">
      <c r="A49" s="3479">
        <v>46</v>
      </c>
      <c r="B49" s="3479" t="s">
        <v>3741</v>
      </c>
      <c r="C49" s="3479" t="s">
        <v>3742</v>
      </c>
      <c r="D49" s="3479" t="s">
        <v>3503</v>
      </c>
      <c r="E49" s="3479" t="s">
        <v>3504</v>
      </c>
      <c r="F49" s="3479" t="s">
        <v>3743</v>
      </c>
      <c r="G49" s="3479" t="s">
        <v>3744</v>
      </c>
      <c r="H49" s="3479">
        <v>11620.73</v>
      </c>
      <c r="I49" s="3479">
        <v>82341.570000000007</v>
      </c>
      <c r="J49" s="3479">
        <v>41197.78</v>
      </c>
      <c r="K49" s="3479">
        <v>41143.79</v>
      </c>
      <c r="L49" s="3479">
        <v>164500.37359999999</v>
      </c>
      <c r="M49" s="3479">
        <v>19978</v>
      </c>
      <c r="N49" s="3479">
        <v>39929</v>
      </c>
      <c r="O49" s="3479" t="s">
        <v>3745</v>
      </c>
      <c r="P49" s="3480">
        <v>44406</v>
      </c>
      <c r="Q49" s="3479" t="s">
        <v>3746</v>
      </c>
      <c r="R49" s="3479">
        <v>40695</v>
      </c>
      <c r="S49" s="3479">
        <v>292857.81</v>
      </c>
      <c r="T49" s="3479">
        <v>71086</v>
      </c>
      <c r="U49" s="3479"/>
      <c r="V49" s="3481">
        <v>0.56000000000000005</v>
      </c>
      <c r="W49" s="3479" t="s">
        <v>3509</v>
      </c>
    </row>
    <row r="50" spans="1:23" ht="96" hidden="1">
      <c r="A50" s="3476"/>
      <c r="B50" s="3476"/>
      <c r="C50" s="3476"/>
      <c r="D50" s="3476"/>
      <c r="E50" s="3476"/>
      <c r="F50" s="3476"/>
      <c r="G50" s="3476"/>
      <c r="H50" s="3476"/>
      <c r="I50" s="3476"/>
      <c r="J50" s="3476"/>
      <c r="K50" s="3476"/>
      <c r="L50" s="3476"/>
      <c r="M50" s="3476"/>
      <c r="N50" s="3476"/>
      <c r="O50" s="3476"/>
      <c r="P50" s="3477"/>
      <c r="Q50" s="3476" t="s">
        <v>3747</v>
      </c>
      <c r="R50" s="3476"/>
      <c r="S50" s="3476"/>
      <c r="T50" s="3476"/>
      <c r="U50" s="3476"/>
      <c r="V50" s="3478"/>
      <c r="W50" s="3476"/>
    </row>
    <row r="51" spans="1:23" ht="72">
      <c r="A51" s="3479">
        <v>47</v>
      </c>
      <c r="B51" s="3479" t="s">
        <v>3748</v>
      </c>
      <c r="C51" s="3479" t="s">
        <v>3749</v>
      </c>
      <c r="D51" s="3479" t="s">
        <v>3503</v>
      </c>
      <c r="E51" s="3479" t="s">
        <v>3750</v>
      </c>
      <c r="F51" s="3479" t="s">
        <v>3751</v>
      </c>
      <c r="G51" s="3479" t="s">
        <v>3752</v>
      </c>
      <c r="H51" s="3479"/>
      <c r="I51" s="3479">
        <v>2649.47</v>
      </c>
      <c r="J51" s="3479">
        <v>2649.47</v>
      </c>
      <c r="K51" s="3479"/>
      <c r="L51" s="3479">
        <v>9000</v>
      </c>
      <c r="M51" s="3479">
        <v>33969</v>
      </c>
      <c r="N51" s="3479">
        <v>33969</v>
      </c>
      <c r="O51" s="3479" t="s">
        <v>3753</v>
      </c>
      <c r="P51" s="3480">
        <v>44488</v>
      </c>
      <c r="Q51" s="3479" t="s">
        <v>3754</v>
      </c>
      <c r="R51" s="3479" t="s">
        <v>3616</v>
      </c>
      <c r="S51" s="3479">
        <v>12857.14286</v>
      </c>
      <c r="T51" s="3479">
        <v>48527</v>
      </c>
      <c r="U51" s="3479"/>
      <c r="V51" s="3481">
        <v>0.7</v>
      </c>
      <c r="W51" s="3479" t="s">
        <v>3509</v>
      </c>
    </row>
    <row r="52" spans="1:23" ht="24" hidden="1">
      <c r="A52" s="3476">
        <v>48</v>
      </c>
      <c r="B52" s="3476" t="s">
        <v>3755</v>
      </c>
      <c r="C52" s="3476" t="s">
        <v>3756</v>
      </c>
      <c r="D52" s="3476" t="s">
        <v>3540</v>
      </c>
      <c r="E52" s="3476" t="s">
        <v>3541</v>
      </c>
      <c r="F52" s="3476" t="s">
        <v>3757</v>
      </c>
      <c r="G52" s="3476" t="s">
        <v>3370</v>
      </c>
      <c r="H52" s="3476"/>
      <c r="I52" s="3476">
        <v>48202.94</v>
      </c>
      <c r="J52" s="3476">
        <v>35675.879999999997</v>
      </c>
      <c r="K52" s="3476">
        <v>12527.06</v>
      </c>
      <c r="L52" s="3476">
        <v>130000</v>
      </c>
      <c r="M52" s="3476">
        <v>26969</v>
      </c>
      <c r="N52" s="3476">
        <v>36439</v>
      </c>
      <c r="O52" s="3476" t="s">
        <v>3758</v>
      </c>
      <c r="P52" s="3477" t="s">
        <v>3759</v>
      </c>
      <c r="Q52" s="3476" t="s">
        <v>3760</v>
      </c>
      <c r="R52" s="3476"/>
      <c r="S52" s="3476"/>
      <c r="T52" s="3476">
        <v>0</v>
      </c>
      <c r="U52" s="3476"/>
      <c r="V52" s="3478" t="e">
        <v>#DIV/0!</v>
      </c>
      <c r="W52" s="3476"/>
    </row>
    <row r="53" spans="1:23" hidden="1">
      <c r="A53" s="3479">
        <v>49</v>
      </c>
      <c r="B53" s="3479" t="s">
        <v>3761</v>
      </c>
      <c r="C53" s="3479" t="s">
        <v>3762</v>
      </c>
      <c r="D53" s="3479" t="s">
        <v>3540</v>
      </c>
      <c r="E53" s="3479" t="s">
        <v>3541</v>
      </c>
      <c r="F53" s="3479" t="s">
        <v>3757</v>
      </c>
      <c r="G53" s="3479" t="s">
        <v>673</v>
      </c>
      <c r="H53" s="3479"/>
      <c r="I53" s="3479">
        <v>97213.86</v>
      </c>
      <c r="J53" s="3479">
        <v>59407.53</v>
      </c>
      <c r="K53" s="3479">
        <v>37806.33</v>
      </c>
      <c r="L53" s="3479">
        <v>172735</v>
      </c>
      <c r="M53" s="3479">
        <v>17769</v>
      </c>
      <c r="N53" s="3479">
        <v>29076</v>
      </c>
      <c r="O53" s="3479" t="s">
        <v>3763</v>
      </c>
      <c r="P53" s="3480" t="s">
        <v>3764</v>
      </c>
      <c r="Q53" s="3479" t="s">
        <v>3765</v>
      </c>
      <c r="R53" s="3479"/>
      <c r="S53" s="3479"/>
      <c r="T53" s="3479">
        <v>0</v>
      </c>
      <c r="U53" s="3479"/>
      <c r="V53" s="3481" t="e">
        <v>#DIV/0!</v>
      </c>
      <c r="W53" s="3479"/>
    </row>
    <row r="54" spans="1:23" ht="24" hidden="1">
      <c r="A54" s="3476">
        <v>50</v>
      </c>
      <c r="B54" s="3476" t="s">
        <v>3766</v>
      </c>
      <c r="C54" s="3476" t="s">
        <v>3767</v>
      </c>
      <c r="D54" s="3476" t="s">
        <v>3503</v>
      </c>
      <c r="E54" s="3476" t="s">
        <v>3680</v>
      </c>
      <c r="F54" s="3476" t="s">
        <v>3768</v>
      </c>
      <c r="G54" s="3476" t="s">
        <v>3769</v>
      </c>
      <c r="H54" s="3476"/>
      <c r="I54" s="3476"/>
      <c r="J54" s="3476">
        <v>22716</v>
      </c>
      <c r="K54" s="3476"/>
      <c r="L54" s="3476">
        <v>105000</v>
      </c>
      <c r="M54" s="3476" t="e">
        <v>#DIV/0!</v>
      </c>
      <c r="N54" s="3476">
        <v>46223</v>
      </c>
      <c r="O54" s="3476" t="s">
        <v>3770</v>
      </c>
      <c r="P54" s="3477" t="s">
        <v>3771</v>
      </c>
      <c r="Q54" s="3476" t="s">
        <v>3772</v>
      </c>
      <c r="R54" s="3476"/>
      <c r="S54" s="3476"/>
      <c r="T54" s="3476">
        <v>0</v>
      </c>
      <c r="U54" s="3476"/>
      <c r="V54" s="3478" t="e">
        <v>#DIV/0!</v>
      </c>
      <c r="W54" s="3476"/>
    </row>
    <row r="55" spans="1:23" ht="24">
      <c r="A55" s="3479">
        <v>51</v>
      </c>
      <c r="B55" s="3479" t="s">
        <v>3773</v>
      </c>
      <c r="C55" s="3479" t="s">
        <v>3774</v>
      </c>
      <c r="D55" s="3479" t="s">
        <v>3531</v>
      </c>
      <c r="E55" s="3479" t="s">
        <v>3775</v>
      </c>
      <c r="F55" s="3479" t="s">
        <v>3776</v>
      </c>
      <c r="G55" s="3479" t="s">
        <v>3720</v>
      </c>
      <c r="H55" s="3479">
        <v>327.82</v>
      </c>
      <c r="I55" s="3479">
        <v>1702.62</v>
      </c>
      <c r="J55" s="3479">
        <v>1702.62</v>
      </c>
      <c r="K55" s="3479"/>
      <c r="L55" s="3479">
        <v>6441.5559999999996</v>
      </c>
      <c r="M55" s="3479">
        <v>37833</v>
      </c>
      <c r="N55" s="3479">
        <v>37833</v>
      </c>
      <c r="O55" s="3479" t="s">
        <v>3777</v>
      </c>
      <c r="P55" s="3480">
        <v>44502</v>
      </c>
      <c r="Q55" s="3479" t="s">
        <v>3778</v>
      </c>
      <c r="R55" s="3479" t="s">
        <v>3779</v>
      </c>
      <c r="S55" s="3479">
        <v>10056.35</v>
      </c>
      <c r="T55" s="3479">
        <v>59064</v>
      </c>
      <c r="U55" s="3479"/>
      <c r="V55" s="3481">
        <v>0.64</v>
      </c>
      <c r="W55" s="3479" t="s">
        <v>3509</v>
      </c>
    </row>
    <row r="56" spans="1:23" ht="60" hidden="1">
      <c r="A56" s="3476">
        <v>52</v>
      </c>
      <c r="B56" s="3476" t="s">
        <v>3780</v>
      </c>
      <c r="C56" s="3476" t="s">
        <v>3781</v>
      </c>
      <c r="D56" s="3476" t="s">
        <v>3694</v>
      </c>
      <c r="E56" s="3476" t="s">
        <v>3695</v>
      </c>
      <c r="F56" s="3476" t="s">
        <v>3782</v>
      </c>
      <c r="G56" s="3476" t="s">
        <v>3783</v>
      </c>
      <c r="H56" s="3476">
        <v>2187.62</v>
      </c>
      <c r="I56" s="3476">
        <v>3519.53</v>
      </c>
      <c r="J56" s="3476">
        <v>3519.53</v>
      </c>
      <c r="K56" s="3476"/>
      <c r="L56" s="3476">
        <v>3373</v>
      </c>
      <c r="M56" s="3476">
        <v>9584</v>
      </c>
      <c r="N56" s="3476">
        <v>9584</v>
      </c>
      <c r="O56" s="3476" t="s">
        <v>3784</v>
      </c>
      <c r="P56" s="3477">
        <v>44496</v>
      </c>
      <c r="Q56" s="3476" t="s">
        <v>3785</v>
      </c>
      <c r="R56" s="3476" t="s">
        <v>3786</v>
      </c>
      <c r="S56" s="3476">
        <v>4278.34</v>
      </c>
      <c r="T56" s="3476">
        <v>12156</v>
      </c>
      <c r="U56" s="3476"/>
      <c r="V56" s="3478">
        <v>0.79</v>
      </c>
      <c r="W56" s="3476" t="s">
        <v>3509</v>
      </c>
    </row>
    <row r="57" spans="1:23" ht="24" hidden="1">
      <c r="A57" s="3479">
        <v>53</v>
      </c>
      <c r="B57" s="3479" t="s">
        <v>3787</v>
      </c>
      <c r="C57" s="3479" t="s">
        <v>3788</v>
      </c>
      <c r="D57" s="3479" t="s">
        <v>3789</v>
      </c>
      <c r="E57" s="3479" t="s">
        <v>3790</v>
      </c>
      <c r="F57" s="3479" t="s">
        <v>3791</v>
      </c>
      <c r="G57" s="3479" t="s">
        <v>3</v>
      </c>
      <c r="H57" s="3479">
        <v>6777.98</v>
      </c>
      <c r="I57" s="3479">
        <v>13260.18</v>
      </c>
      <c r="J57" s="3479">
        <v>13260.18</v>
      </c>
      <c r="K57" s="3479"/>
      <c r="L57" s="3479">
        <v>5028</v>
      </c>
      <c r="M57" s="3479">
        <v>3792</v>
      </c>
      <c r="N57" s="3479">
        <v>3792</v>
      </c>
      <c r="O57" s="3479" t="s">
        <v>3792</v>
      </c>
      <c r="P57" s="3480">
        <v>44489</v>
      </c>
      <c r="Q57" s="3479" t="s">
        <v>3793</v>
      </c>
      <c r="R57" s="3479" t="s">
        <v>3524</v>
      </c>
      <c r="S57" s="3479">
        <v>5872.66</v>
      </c>
      <c r="T57" s="3479">
        <v>4429</v>
      </c>
      <c r="U57" s="3479"/>
      <c r="V57" s="3481">
        <v>0.86</v>
      </c>
      <c r="W57" s="3479" t="s">
        <v>3509</v>
      </c>
    </row>
    <row r="58" spans="1:23" ht="24" hidden="1">
      <c r="A58" s="3476">
        <v>54</v>
      </c>
      <c r="B58" s="3476" t="s">
        <v>3780</v>
      </c>
      <c r="C58" s="3476" t="s">
        <v>3794</v>
      </c>
      <c r="D58" s="3476" t="s">
        <v>3694</v>
      </c>
      <c r="E58" s="3476" t="s">
        <v>3695</v>
      </c>
      <c r="F58" s="3476" t="s">
        <v>3795</v>
      </c>
      <c r="G58" s="3476" t="s">
        <v>3783</v>
      </c>
      <c r="H58" s="3476">
        <v>4067.93</v>
      </c>
      <c r="I58" s="3476">
        <v>6544.66</v>
      </c>
      <c r="J58" s="3476">
        <v>6544.66</v>
      </c>
      <c r="K58" s="3476"/>
      <c r="L58" s="3476">
        <v>5422</v>
      </c>
      <c r="M58" s="3476">
        <v>8285</v>
      </c>
      <c r="N58" s="3476">
        <v>8285</v>
      </c>
      <c r="O58" s="3476" t="s">
        <v>3796</v>
      </c>
      <c r="P58" s="3477">
        <v>44503</v>
      </c>
      <c r="Q58" s="3476" t="s">
        <v>3797</v>
      </c>
      <c r="R58" s="3476" t="s">
        <v>3786</v>
      </c>
      <c r="S58" s="3476">
        <v>7874.53</v>
      </c>
      <c r="T58" s="3476">
        <v>12032</v>
      </c>
      <c r="U58" s="3476"/>
      <c r="V58" s="3478">
        <v>0.69</v>
      </c>
      <c r="W58" s="3476" t="s">
        <v>3509</v>
      </c>
    </row>
    <row r="59" spans="1:23" ht="24">
      <c r="A59" s="3479">
        <v>55</v>
      </c>
      <c r="B59" s="3479" t="s">
        <v>3798</v>
      </c>
      <c r="C59" s="3479" t="s">
        <v>3799</v>
      </c>
      <c r="D59" s="3479" t="s">
        <v>3503</v>
      </c>
      <c r="E59" s="3479" t="s">
        <v>3604</v>
      </c>
      <c r="F59" s="3479" t="s">
        <v>3800</v>
      </c>
      <c r="G59" s="3479" t="s">
        <v>673</v>
      </c>
      <c r="H59" s="3479"/>
      <c r="I59" s="3479">
        <v>377.72</v>
      </c>
      <c r="J59" s="3479">
        <v>377.72</v>
      </c>
      <c r="K59" s="3479"/>
      <c r="L59" s="3479">
        <v>1856.491</v>
      </c>
      <c r="M59" s="3479">
        <v>49150</v>
      </c>
      <c r="N59" s="3479">
        <v>49150</v>
      </c>
      <c r="O59" s="3479" t="s">
        <v>3801</v>
      </c>
      <c r="P59" s="3480">
        <v>44493</v>
      </c>
      <c r="Q59" s="3479" t="s">
        <v>3802</v>
      </c>
      <c r="R59" s="3479" t="s">
        <v>3632</v>
      </c>
      <c r="S59" s="3479">
        <v>1872.13</v>
      </c>
      <c r="T59" s="3479">
        <v>49564</v>
      </c>
      <c r="U59" s="3479"/>
      <c r="V59" s="3481">
        <v>0.99</v>
      </c>
      <c r="W59" s="3479" t="s">
        <v>3509</v>
      </c>
    </row>
    <row r="60" spans="1:23" hidden="1">
      <c r="A60" s="3476">
        <v>56</v>
      </c>
      <c r="B60" s="3476" t="s">
        <v>3798</v>
      </c>
      <c r="C60" s="3476" t="s">
        <v>3803</v>
      </c>
      <c r="D60" s="3476" t="s">
        <v>3503</v>
      </c>
      <c r="E60" s="3476" t="s">
        <v>3604</v>
      </c>
      <c r="F60" s="3476" t="s">
        <v>3804</v>
      </c>
      <c r="G60" s="3476" t="s">
        <v>673</v>
      </c>
      <c r="H60" s="3476"/>
      <c r="I60" s="3476">
        <v>488.2</v>
      </c>
      <c r="J60" s="3476">
        <v>488.2</v>
      </c>
      <c r="K60" s="3476"/>
      <c r="L60" s="3476">
        <v>1116.8584000000001</v>
      </c>
      <c r="M60" s="3476">
        <v>22877</v>
      </c>
      <c r="N60" s="3476">
        <v>22877</v>
      </c>
      <c r="O60" s="3476" t="s">
        <v>3805</v>
      </c>
      <c r="P60" s="3477">
        <v>44518</v>
      </c>
      <c r="Q60" s="3476"/>
      <c r="R60" s="3476" t="s">
        <v>3632</v>
      </c>
      <c r="S60" s="3476">
        <v>1994.39</v>
      </c>
      <c r="T60" s="3476">
        <v>40852</v>
      </c>
      <c r="U60" s="3476"/>
      <c r="V60" s="3478">
        <v>0.56000000000000005</v>
      </c>
      <c r="W60" s="3476" t="s">
        <v>3509</v>
      </c>
    </row>
    <row r="61" spans="1:23" ht="36">
      <c r="A61" s="3479">
        <v>57</v>
      </c>
      <c r="B61" s="3479" t="s">
        <v>3806</v>
      </c>
      <c r="C61" s="3479" t="s">
        <v>3807</v>
      </c>
      <c r="D61" s="3479" t="s">
        <v>3503</v>
      </c>
      <c r="E61" s="3479" t="s">
        <v>3604</v>
      </c>
      <c r="F61" s="3479" t="s">
        <v>3514</v>
      </c>
      <c r="G61" s="3479" t="s">
        <v>673</v>
      </c>
      <c r="H61" s="3479">
        <v>428.89</v>
      </c>
      <c r="I61" s="3479">
        <v>1798.66</v>
      </c>
      <c r="J61" s="3479">
        <v>1371.1</v>
      </c>
      <c r="K61" s="3479">
        <v>427.56</v>
      </c>
      <c r="L61" s="3479">
        <v>6671.2269999999999</v>
      </c>
      <c r="M61" s="3479">
        <v>37090</v>
      </c>
      <c r="N61" s="3479">
        <v>48656</v>
      </c>
      <c r="O61" s="3479" t="s">
        <v>3808</v>
      </c>
      <c r="P61" s="3480">
        <v>43709</v>
      </c>
      <c r="Q61" s="3479" t="s">
        <v>3809</v>
      </c>
      <c r="R61" s="3479" t="s">
        <v>3700</v>
      </c>
      <c r="S61" s="3479">
        <v>9530</v>
      </c>
      <c r="T61" s="3479">
        <v>69509</v>
      </c>
      <c r="U61" s="3479"/>
      <c r="V61" s="3481">
        <v>0.7</v>
      </c>
      <c r="W61" s="3479" t="s">
        <v>3509</v>
      </c>
    </row>
    <row r="62" spans="1:23" ht="72">
      <c r="A62" s="3476">
        <v>58</v>
      </c>
      <c r="B62" s="3476" t="s">
        <v>3810</v>
      </c>
      <c r="C62" s="3476" t="s">
        <v>3811</v>
      </c>
      <c r="D62" s="3476" t="s">
        <v>3503</v>
      </c>
      <c r="E62" s="3476" t="s">
        <v>3812</v>
      </c>
      <c r="F62" s="3476" t="s">
        <v>3514</v>
      </c>
      <c r="G62" s="3476" t="s">
        <v>3720</v>
      </c>
      <c r="H62" s="3476">
        <v>1438.41</v>
      </c>
      <c r="I62" s="3476">
        <v>9489.06</v>
      </c>
      <c r="J62" s="3476">
        <v>7690.29</v>
      </c>
      <c r="K62" s="3476">
        <v>1798.77</v>
      </c>
      <c r="L62" s="3476">
        <v>33855</v>
      </c>
      <c r="M62" s="3476">
        <v>35677</v>
      </c>
      <c r="N62" s="3476">
        <v>44023</v>
      </c>
      <c r="O62" s="3476" t="s">
        <v>3813</v>
      </c>
      <c r="P62" s="3477">
        <v>44509</v>
      </c>
      <c r="Q62" s="3476" t="s">
        <v>3814</v>
      </c>
      <c r="R62" s="3476" t="s">
        <v>3596</v>
      </c>
      <c r="S62" s="3476">
        <v>52585.279999999999</v>
      </c>
      <c r="T62" s="3476">
        <v>68379</v>
      </c>
      <c r="U62" s="3476"/>
      <c r="V62" s="3478">
        <v>0.64</v>
      </c>
      <c r="W62" s="3476" t="s">
        <v>3509</v>
      </c>
    </row>
    <row r="63" spans="1:23" ht="24" hidden="1">
      <c r="A63" s="3479">
        <v>59</v>
      </c>
      <c r="B63" s="3479" t="s">
        <v>3815</v>
      </c>
      <c r="C63" s="3479" t="s">
        <v>3816</v>
      </c>
      <c r="D63" s="3479" t="s">
        <v>3503</v>
      </c>
      <c r="E63" s="3479" t="s">
        <v>3817</v>
      </c>
      <c r="F63" s="3479" t="s">
        <v>3368</v>
      </c>
      <c r="G63" s="3479" t="s">
        <v>3720</v>
      </c>
      <c r="H63" s="3479"/>
      <c r="I63" s="3479">
        <v>2076.27</v>
      </c>
      <c r="J63" s="3479">
        <v>2076.27</v>
      </c>
      <c r="K63" s="3479"/>
      <c r="L63" s="3479">
        <v>4370</v>
      </c>
      <c r="M63" s="3479">
        <v>21047</v>
      </c>
      <c r="N63" s="3479">
        <v>21047</v>
      </c>
      <c r="O63" s="3479" t="s">
        <v>3818</v>
      </c>
      <c r="P63" s="3480">
        <v>44512</v>
      </c>
      <c r="Q63" s="3479" t="s">
        <v>3819</v>
      </c>
      <c r="R63" s="3479" t="s">
        <v>3820</v>
      </c>
      <c r="S63" s="3479">
        <v>7802.31</v>
      </c>
      <c r="T63" s="3479">
        <v>37578</v>
      </c>
      <c r="U63" s="3479"/>
      <c r="V63" s="3481">
        <v>0.56000000000000005</v>
      </c>
      <c r="W63" s="3479" t="s">
        <v>3509</v>
      </c>
    </row>
    <row r="64" spans="1:23" hidden="1">
      <c r="A64" s="3476">
        <v>60</v>
      </c>
      <c r="B64" s="3476" t="s">
        <v>3821</v>
      </c>
      <c r="C64" s="3476" t="s">
        <v>3822</v>
      </c>
      <c r="D64" s="3476" t="s">
        <v>3675</v>
      </c>
      <c r="E64" s="3476" t="s">
        <v>3823</v>
      </c>
      <c r="F64" s="3476" t="s">
        <v>3368</v>
      </c>
      <c r="G64" s="3476" t="s">
        <v>3824</v>
      </c>
      <c r="H64" s="3476"/>
      <c r="I64" s="3476">
        <v>35430.589999999997</v>
      </c>
      <c r="J64" s="3476">
        <v>35430.589999999997</v>
      </c>
      <c r="K64" s="3476"/>
      <c r="L64" s="3476">
        <v>115479</v>
      </c>
      <c r="M64" s="3476">
        <v>32593</v>
      </c>
      <c r="N64" s="3476">
        <v>32593</v>
      </c>
      <c r="O64" s="3476" t="s">
        <v>3661</v>
      </c>
      <c r="P64" s="3477">
        <v>44501</v>
      </c>
      <c r="Q64" s="3476" t="s">
        <v>3825</v>
      </c>
      <c r="R64" s="3476" t="s">
        <v>3826</v>
      </c>
      <c r="S64" s="3476"/>
      <c r="T64" s="3476">
        <v>0</v>
      </c>
      <c r="U64" s="3476"/>
      <c r="V64" s="3478" t="e">
        <v>#DIV/0!</v>
      </c>
      <c r="W64" s="3476"/>
    </row>
    <row r="65" spans="1:23" hidden="1">
      <c r="A65" s="3479">
        <v>61</v>
      </c>
      <c r="B65" s="3479" t="s">
        <v>3827</v>
      </c>
      <c r="C65" s="3479" t="s">
        <v>3828</v>
      </c>
      <c r="D65" s="3479" t="s">
        <v>3675</v>
      </c>
      <c r="E65" s="3479" t="s">
        <v>3823</v>
      </c>
      <c r="F65" s="3479" t="s">
        <v>3368</v>
      </c>
      <c r="G65" s="3479" t="s">
        <v>3824</v>
      </c>
      <c r="H65" s="3479"/>
      <c r="I65" s="3479">
        <v>38471.61</v>
      </c>
      <c r="J65" s="3479">
        <v>38471.61</v>
      </c>
      <c r="K65" s="3479"/>
      <c r="L65" s="3479">
        <v>86724</v>
      </c>
      <c r="M65" s="3479">
        <v>22542</v>
      </c>
      <c r="N65" s="3479">
        <v>22542</v>
      </c>
      <c r="O65" s="3479" t="s">
        <v>43</v>
      </c>
      <c r="P65" s="3480">
        <v>44378</v>
      </c>
      <c r="Q65" s="3479" t="s">
        <v>3829</v>
      </c>
      <c r="R65" s="3479" t="s">
        <v>3830</v>
      </c>
      <c r="S65" s="3479"/>
      <c r="T65" s="3479">
        <v>0</v>
      </c>
      <c r="U65" s="3479"/>
      <c r="V65" s="3481" t="e">
        <v>#DIV/0!</v>
      </c>
      <c r="W65" s="3479"/>
    </row>
    <row r="66" spans="1:23" ht="24" hidden="1">
      <c r="A66" s="3476">
        <v>62</v>
      </c>
      <c r="B66" s="3476" t="s">
        <v>3831</v>
      </c>
      <c r="C66" s="3476" t="s">
        <v>3832</v>
      </c>
      <c r="D66" s="3476" t="s">
        <v>3668</v>
      </c>
      <c r="E66" s="3476" t="s">
        <v>3669</v>
      </c>
      <c r="F66" s="3476" t="s">
        <v>3833</v>
      </c>
      <c r="G66" s="3476" t="s">
        <v>3720</v>
      </c>
      <c r="H66" s="3476"/>
      <c r="I66" s="3476">
        <v>76261.53</v>
      </c>
      <c r="J66" s="3476">
        <v>51766.63</v>
      </c>
      <c r="K66" s="3476">
        <v>24494.9</v>
      </c>
      <c r="L66" s="3476">
        <v>193577.51379999999</v>
      </c>
      <c r="M66" s="3476">
        <v>25383</v>
      </c>
      <c r="N66" s="3476">
        <v>37394</v>
      </c>
      <c r="O66" s="3476" t="s">
        <v>3661</v>
      </c>
      <c r="P66" s="3477" t="s">
        <v>3834</v>
      </c>
      <c r="Q66" s="3476" t="s">
        <v>3835</v>
      </c>
      <c r="R66" s="3476" t="s">
        <v>3836</v>
      </c>
      <c r="S66" s="3476"/>
      <c r="T66" s="3476">
        <v>0</v>
      </c>
      <c r="U66" s="3476"/>
      <c r="V66" s="3478" t="e">
        <v>#DIV/0!</v>
      </c>
      <c r="W66" s="3476"/>
    </row>
    <row r="67" spans="1:23" ht="24" hidden="1">
      <c r="A67" s="3479">
        <v>63</v>
      </c>
      <c r="B67" s="3479" t="s">
        <v>3837</v>
      </c>
      <c r="C67" s="3479" t="s">
        <v>3838</v>
      </c>
      <c r="D67" s="3479" t="s">
        <v>3503</v>
      </c>
      <c r="E67" s="3479" t="s">
        <v>3839</v>
      </c>
      <c r="F67" s="3479" t="s">
        <v>3840</v>
      </c>
      <c r="G67" s="3479" t="s">
        <v>3824</v>
      </c>
      <c r="H67" s="3479"/>
      <c r="I67" s="3479">
        <v>19620.759999999998</v>
      </c>
      <c r="J67" s="3479">
        <v>19620.759999999998</v>
      </c>
      <c r="K67" s="3479"/>
      <c r="L67" s="3479">
        <v>57284.58799</v>
      </c>
      <c r="M67" s="3479">
        <v>29196</v>
      </c>
      <c r="N67" s="3479">
        <v>29196</v>
      </c>
      <c r="O67" s="3479" t="s">
        <v>3841</v>
      </c>
      <c r="P67" s="3480">
        <v>44530</v>
      </c>
      <c r="Q67" s="3479" t="s">
        <v>3842</v>
      </c>
      <c r="R67" s="3479" t="s">
        <v>3517</v>
      </c>
      <c r="S67" s="3479">
        <v>81835.125700000004</v>
      </c>
      <c r="T67" s="3479">
        <v>41708</v>
      </c>
      <c r="U67" s="3479"/>
      <c r="V67" s="3481">
        <v>0.7</v>
      </c>
      <c r="W67" s="3479" t="s">
        <v>3509</v>
      </c>
    </row>
    <row r="68" spans="1:23" ht="24" hidden="1">
      <c r="A68" s="3476"/>
      <c r="B68" s="3476"/>
      <c r="C68" s="3476"/>
      <c r="D68" s="3476"/>
      <c r="E68" s="3476"/>
      <c r="F68" s="3476"/>
      <c r="G68" s="3476"/>
      <c r="H68" s="3476"/>
      <c r="I68" s="3476"/>
      <c r="J68" s="3476"/>
      <c r="K68" s="3476"/>
      <c r="L68" s="3476"/>
      <c r="M68" s="3476"/>
      <c r="N68" s="3476"/>
      <c r="O68" s="3476"/>
      <c r="P68" s="3477"/>
      <c r="Q68" s="3476" t="s">
        <v>3843</v>
      </c>
      <c r="R68" s="3476"/>
      <c r="S68" s="3476"/>
      <c r="T68" s="3476"/>
      <c r="U68" s="3476"/>
      <c r="V68" s="3478"/>
      <c r="W68" s="3476"/>
    </row>
    <row r="69" spans="1:23">
      <c r="A69" s="3479">
        <v>64</v>
      </c>
      <c r="B69" s="3479" t="s">
        <v>3844</v>
      </c>
      <c r="C69" s="3479" t="s">
        <v>3845</v>
      </c>
      <c r="D69" s="3479" t="s">
        <v>3531</v>
      </c>
      <c r="E69" s="3479" t="s">
        <v>3619</v>
      </c>
      <c r="F69" s="3479" t="s">
        <v>3368</v>
      </c>
      <c r="G69" s="3479" t="s">
        <v>3824</v>
      </c>
      <c r="H69" s="3479"/>
      <c r="I69" s="3479">
        <v>820.06</v>
      </c>
      <c r="J69" s="3479">
        <v>820.06</v>
      </c>
      <c r="K69" s="3479"/>
      <c r="L69" s="3479">
        <v>3005</v>
      </c>
      <c r="M69" s="3479">
        <v>36644</v>
      </c>
      <c r="N69" s="3479">
        <v>36644</v>
      </c>
      <c r="O69" s="3479" t="s">
        <v>3514</v>
      </c>
      <c r="P69" s="3480">
        <v>44526</v>
      </c>
      <c r="Q69" s="3479" t="s">
        <v>3846</v>
      </c>
      <c r="R69" s="3479" t="s">
        <v>3847</v>
      </c>
      <c r="S69" s="3479">
        <v>3270.47865</v>
      </c>
      <c r="T69" s="3479">
        <v>39881</v>
      </c>
      <c r="U69" s="3479"/>
      <c r="V69" s="3481">
        <v>0.92</v>
      </c>
      <c r="W69" s="3479" t="s">
        <v>3509</v>
      </c>
    </row>
    <row r="70" spans="1:23" s="3496" customFormat="1" ht="24">
      <c r="A70" s="3493">
        <v>65</v>
      </c>
      <c r="B70" s="3493" t="s">
        <v>3848</v>
      </c>
      <c r="C70" s="3493" t="s">
        <v>3849</v>
      </c>
      <c r="D70" s="3493" t="s">
        <v>3512</v>
      </c>
      <c r="E70" s="3493" t="s">
        <v>3850</v>
      </c>
      <c r="F70" s="3493" t="s">
        <v>3851</v>
      </c>
      <c r="G70" s="3493" t="s">
        <v>3852</v>
      </c>
      <c r="H70" s="3493"/>
      <c r="I70" s="3493">
        <v>27481.15</v>
      </c>
      <c r="J70" s="3493">
        <v>25176.93</v>
      </c>
      <c r="K70" s="3493">
        <v>2304.2199999999998</v>
      </c>
      <c r="L70" s="3493">
        <v>102812</v>
      </c>
      <c r="M70" s="3493">
        <v>37412</v>
      </c>
      <c r="N70" s="3493">
        <v>40836</v>
      </c>
      <c r="O70" s="3493" t="s">
        <v>43</v>
      </c>
      <c r="P70" s="3494">
        <v>44531</v>
      </c>
      <c r="Q70" s="3493" t="s">
        <v>3853</v>
      </c>
      <c r="R70" s="3493" t="s">
        <v>3550</v>
      </c>
      <c r="S70" s="3493"/>
      <c r="T70" s="3493"/>
      <c r="U70" s="3493"/>
      <c r="V70" s="3495"/>
      <c r="W70" s="3493"/>
    </row>
    <row r="71" spans="1:23" ht="24">
      <c r="A71" s="3479">
        <v>66</v>
      </c>
      <c r="B71" s="3479" t="s">
        <v>3854</v>
      </c>
      <c r="C71" s="3479" t="s">
        <v>3855</v>
      </c>
      <c r="D71" s="3479" t="s">
        <v>3503</v>
      </c>
      <c r="E71" s="3479" t="s">
        <v>3856</v>
      </c>
      <c r="F71" s="3479" t="s">
        <v>3514</v>
      </c>
      <c r="G71" s="3479" t="s">
        <v>673</v>
      </c>
      <c r="H71" s="3479"/>
      <c r="I71" s="3479">
        <v>110.2</v>
      </c>
      <c r="J71" s="3479">
        <v>110.2</v>
      </c>
      <c r="K71" s="3479"/>
      <c r="L71" s="3479">
        <v>819.49800000000005</v>
      </c>
      <c r="M71" s="3479">
        <v>74365</v>
      </c>
      <c r="N71" s="3479">
        <v>74365</v>
      </c>
      <c r="O71" s="3479"/>
      <c r="P71" s="3480">
        <v>44540</v>
      </c>
      <c r="Q71" s="3479" t="s">
        <v>3857</v>
      </c>
      <c r="R71" s="3479" t="s">
        <v>3632</v>
      </c>
      <c r="S71" s="3479">
        <v>694.14</v>
      </c>
      <c r="T71" s="3479">
        <v>62989</v>
      </c>
      <c r="U71" s="3479"/>
      <c r="V71" s="3481">
        <v>1.18</v>
      </c>
      <c r="W71" s="3479" t="s">
        <v>3509</v>
      </c>
    </row>
    <row r="72" spans="1:23" ht="48">
      <c r="A72" s="3476">
        <v>67</v>
      </c>
      <c r="B72" s="3476" t="s">
        <v>3858</v>
      </c>
      <c r="C72" s="3476" t="s">
        <v>3859</v>
      </c>
      <c r="D72" s="3476" t="s">
        <v>3531</v>
      </c>
      <c r="E72" s="3476" t="s">
        <v>3860</v>
      </c>
      <c r="F72" s="3476" t="s">
        <v>3861</v>
      </c>
      <c r="G72" s="3476" t="s">
        <v>3862</v>
      </c>
      <c r="H72" s="3476"/>
      <c r="I72" s="3476">
        <v>11235.4</v>
      </c>
      <c r="J72" s="3476">
        <v>11235.4</v>
      </c>
      <c r="K72" s="3476"/>
      <c r="L72" s="3476">
        <v>42694.52</v>
      </c>
      <c r="M72" s="3476">
        <v>38000</v>
      </c>
      <c r="N72" s="3476">
        <v>38000</v>
      </c>
      <c r="O72" s="3476" t="s">
        <v>3863</v>
      </c>
      <c r="P72" s="3477">
        <v>44531</v>
      </c>
      <c r="Q72" s="3476" t="s">
        <v>3864</v>
      </c>
      <c r="R72" s="3476" t="s">
        <v>3865</v>
      </c>
      <c r="S72" s="3476"/>
      <c r="T72" s="3476">
        <v>0</v>
      </c>
      <c r="U72" s="3476"/>
      <c r="V72" s="3478" t="e">
        <v>#DIV/0!</v>
      </c>
      <c r="W72" s="3476"/>
    </row>
    <row r="73" spans="1:23" ht="24">
      <c r="A73" s="3479">
        <v>68</v>
      </c>
      <c r="B73" s="3479" t="s">
        <v>3866</v>
      </c>
      <c r="C73" s="3479" t="s">
        <v>3867</v>
      </c>
      <c r="D73" s="3479" t="s">
        <v>3512</v>
      </c>
      <c r="E73" s="3479" t="s">
        <v>3520</v>
      </c>
      <c r="F73" s="3479" t="s">
        <v>3851</v>
      </c>
      <c r="G73" s="3479" t="s">
        <v>673</v>
      </c>
      <c r="H73" s="3479"/>
      <c r="I73" s="3479">
        <v>3593.38</v>
      </c>
      <c r="J73" s="3479">
        <v>2926.37</v>
      </c>
      <c r="K73" s="3479">
        <v>667.01</v>
      </c>
      <c r="L73" s="3479">
        <v>29859</v>
      </c>
      <c r="M73" s="3479">
        <v>83094</v>
      </c>
      <c r="N73" s="3479">
        <v>102034</v>
      </c>
      <c r="O73" s="3479" t="s">
        <v>3868</v>
      </c>
      <c r="P73" s="3480">
        <v>43983</v>
      </c>
      <c r="Q73" s="3479" t="s">
        <v>3869</v>
      </c>
      <c r="R73" s="3479" t="s">
        <v>3528</v>
      </c>
      <c r="S73" s="3479"/>
      <c r="T73" s="3479">
        <v>0</v>
      </c>
      <c r="U73" s="3479"/>
      <c r="V73" s="3481" t="e">
        <v>#DIV/0!</v>
      </c>
      <c r="W73" s="3479"/>
    </row>
    <row r="74" spans="1:23" ht="24">
      <c r="A74" s="3476">
        <v>69</v>
      </c>
      <c r="B74" s="3476" t="s">
        <v>3870</v>
      </c>
      <c r="C74" s="3476" t="s">
        <v>3867</v>
      </c>
      <c r="D74" s="3476" t="s">
        <v>3512</v>
      </c>
      <c r="E74" s="3476" t="s">
        <v>3520</v>
      </c>
      <c r="F74" s="3476" t="s">
        <v>3851</v>
      </c>
      <c r="G74" s="3476" t="s">
        <v>673</v>
      </c>
      <c r="H74" s="3476"/>
      <c r="I74" s="3476">
        <v>3507.36</v>
      </c>
      <c r="J74" s="3476">
        <v>2174.94</v>
      </c>
      <c r="K74" s="3476">
        <v>1332.42</v>
      </c>
      <c r="L74" s="3476">
        <v>29700</v>
      </c>
      <c r="M74" s="3476">
        <v>84679</v>
      </c>
      <c r="N74" s="3476">
        <v>136555</v>
      </c>
      <c r="O74" s="3476" t="s">
        <v>43</v>
      </c>
      <c r="P74" s="3477">
        <v>44378</v>
      </c>
      <c r="Q74" s="3476" t="s">
        <v>3869</v>
      </c>
      <c r="R74" s="3476" t="s">
        <v>3528</v>
      </c>
      <c r="S74" s="3476"/>
      <c r="T74" s="3476">
        <v>0</v>
      </c>
      <c r="U74" s="3476"/>
      <c r="V74" s="3478" t="e">
        <v>#DIV/0!</v>
      </c>
      <c r="W74" s="3476"/>
    </row>
    <row r="75" spans="1:23" ht="24">
      <c r="A75" s="3479">
        <v>70</v>
      </c>
      <c r="B75" s="3479" t="s">
        <v>3871</v>
      </c>
      <c r="C75" s="3479" t="s">
        <v>3867</v>
      </c>
      <c r="D75" s="3479" t="s">
        <v>3512</v>
      </c>
      <c r="E75" s="3479" t="s">
        <v>3520</v>
      </c>
      <c r="F75" s="3479" t="s">
        <v>3851</v>
      </c>
      <c r="G75" s="3479" t="s">
        <v>673</v>
      </c>
      <c r="H75" s="3479"/>
      <c r="I75" s="3479">
        <v>3514.04</v>
      </c>
      <c r="J75" s="3479">
        <v>2220.6</v>
      </c>
      <c r="K75" s="3479">
        <v>1293.44</v>
      </c>
      <c r="L75" s="3479">
        <v>31019</v>
      </c>
      <c r="M75" s="3479">
        <v>88272</v>
      </c>
      <c r="N75" s="3479">
        <v>139687</v>
      </c>
      <c r="O75" s="3479" t="s">
        <v>43</v>
      </c>
      <c r="P75" s="3480">
        <v>44440</v>
      </c>
      <c r="Q75" s="3479" t="s">
        <v>3869</v>
      </c>
      <c r="R75" s="3479" t="s">
        <v>3528</v>
      </c>
      <c r="S75" s="3479"/>
      <c r="T75" s="3479">
        <v>0</v>
      </c>
      <c r="U75" s="3479"/>
      <c r="V75" s="3481" t="e">
        <v>#DIV/0!</v>
      </c>
      <c r="W75" s="3479"/>
    </row>
    <row r="76" spans="1:23" ht="24">
      <c r="A76" s="3476">
        <v>71</v>
      </c>
      <c r="B76" s="3476" t="s">
        <v>3872</v>
      </c>
      <c r="C76" s="3476" t="s">
        <v>3873</v>
      </c>
      <c r="D76" s="3476" t="s">
        <v>3503</v>
      </c>
      <c r="E76" s="3476" t="s">
        <v>3874</v>
      </c>
      <c r="F76" s="3476" t="s">
        <v>3875</v>
      </c>
      <c r="G76" s="3476" t="s">
        <v>673</v>
      </c>
      <c r="H76" s="3476"/>
      <c r="I76" s="3476">
        <v>7405.99</v>
      </c>
      <c r="J76" s="3476">
        <v>5665.98</v>
      </c>
      <c r="K76" s="3476">
        <v>1740.01</v>
      </c>
      <c r="L76" s="3476">
        <v>36838</v>
      </c>
      <c r="M76" s="3476">
        <v>49741</v>
      </c>
      <c r="N76" s="3476">
        <v>65016</v>
      </c>
      <c r="O76" s="3476" t="s">
        <v>43</v>
      </c>
      <c r="P76" s="3477">
        <v>44559</v>
      </c>
      <c r="Q76" s="3476" t="s">
        <v>3876</v>
      </c>
      <c r="R76" s="3476" t="s">
        <v>3517</v>
      </c>
      <c r="S76" s="3476"/>
      <c r="T76" s="3476">
        <v>0</v>
      </c>
      <c r="U76" s="3476"/>
      <c r="V76" s="3478" t="e">
        <v>#DIV/0!</v>
      </c>
      <c r="W76" s="3476"/>
    </row>
    <row r="77" spans="1:23" hidden="1">
      <c r="A77" s="3479">
        <v>72</v>
      </c>
      <c r="B77" s="3479" t="s">
        <v>3877</v>
      </c>
      <c r="C77" s="3479" t="s">
        <v>3878</v>
      </c>
      <c r="D77" s="3479" t="s">
        <v>3675</v>
      </c>
      <c r="E77" s="3479" t="s">
        <v>3879</v>
      </c>
      <c r="F77" s="3479" t="s">
        <v>3880</v>
      </c>
      <c r="G77" s="3479" t="s">
        <v>673</v>
      </c>
      <c r="H77" s="3479"/>
      <c r="I77" s="3479">
        <v>2419.02</v>
      </c>
      <c r="J77" s="3479">
        <v>2419.02</v>
      </c>
      <c r="K77" s="3479"/>
      <c r="L77" s="3479">
        <v>12202</v>
      </c>
      <c r="M77" s="3479">
        <v>50441</v>
      </c>
      <c r="N77" s="3479">
        <v>50441</v>
      </c>
      <c r="O77" s="3479" t="s">
        <v>43</v>
      </c>
      <c r="P77" s="3480">
        <v>44558</v>
      </c>
      <c r="Q77" s="3479" t="s">
        <v>3881</v>
      </c>
      <c r="R77" s="3479" t="s">
        <v>3524</v>
      </c>
      <c r="S77" s="3479"/>
      <c r="T77" s="3479">
        <v>0</v>
      </c>
      <c r="U77" s="3479"/>
      <c r="V77" s="3481" t="e">
        <v>#DIV/0!</v>
      </c>
      <c r="W77" s="3479"/>
    </row>
    <row r="78" spans="1:23" hidden="1">
      <c r="A78" s="3476">
        <v>73</v>
      </c>
      <c r="B78" s="3476" t="s">
        <v>3882</v>
      </c>
      <c r="C78" s="3476" t="s">
        <v>3878</v>
      </c>
      <c r="D78" s="3476" t="s">
        <v>3675</v>
      </c>
      <c r="E78" s="3476" t="s">
        <v>3879</v>
      </c>
      <c r="F78" s="3476" t="s">
        <v>3880</v>
      </c>
      <c r="G78" s="3476" t="s">
        <v>3824</v>
      </c>
      <c r="H78" s="3476"/>
      <c r="I78" s="3476">
        <v>15496.31</v>
      </c>
      <c r="J78" s="3476">
        <v>15496.31</v>
      </c>
      <c r="K78" s="3476"/>
      <c r="L78" s="3476">
        <v>32385</v>
      </c>
      <c r="M78" s="3476">
        <v>20900</v>
      </c>
      <c r="N78" s="3476">
        <v>20900</v>
      </c>
      <c r="O78" s="3476" t="s">
        <v>43</v>
      </c>
      <c r="P78" s="3477">
        <v>44559</v>
      </c>
      <c r="Q78" s="3476" t="s">
        <v>3883</v>
      </c>
      <c r="R78" s="3476" t="s">
        <v>3524</v>
      </c>
      <c r="S78" s="3476"/>
      <c r="T78" s="3476">
        <v>0</v>
      </c>
      <c r="U78" s="3476"/>
      <c r="V78" s="3478" t="e">
        <v>#DIV/0!</v>
      </c>
      <c r="W78" s="3476"/>
    </row>
    <row r="79" spans="1:23" ht="24" hidden="1">
      <c r="A79" s="3479">
        <v>74</v>
      </c>
      <c r="B79" s="3479" t="s">
        <v>3884</v>
      </c>
      <c r="C79" s="3479" t="s">
        <v>3674</v>
      </c>
      <c r="D79" s="3479" t="s">
        <v>3675</v>
      </c>
      <c r="E79" s="3479" t="s">
        <v>3675</v>
      </c>
      <c r="F79" s="3479" t="s">
        <v>3676</v>
      </c>
      <c r="G79" s="3479" t="s">
        <v>21</v>
      </c>
      <c r="H79" s="3479"/>
      <c r="I79" s="3479">
        <v>3567.49</v>
      </c>
      <c r="J79" s="3479">
        <v>2733.55</v>
      </c>
      <c r="K79" s="3479">
        <v>833.94</v>
      </c>
      <c r="L79" s="3479">
        <v>13553</v>
      </c>
      <c r="M79" s="3479">
        <v>37990</v>
      </c>
      <c r="N79" s="3479">
        <v>49580</v>
      </c>
      <c r="O79" s="3479" t="s">
        <v>43</v>
      </c>
      <c r="P79" s="3480">
        <v>44560</v>
      </c>
      <c r="Q79" s="3479" t="s">
        <v>3885</v>
      </c>
      <c r="R79" s="3479" t="s">
        <v>3528</v>
      </c>
      <c r="S79" s="3479"/>
      <c r="T79" s="3479"/>
      <c r="U79" s="3479"/>
      <c r="V79" s="3481"/>
      <c r="W79" s="3479"/>
    </row>
    <row r="80" spans="1:23" ht="96" hidden="1">
      <c r="A80" s="3476">
        <v>75</v>
      </c>
      <c r="B80" s="3476" t="s">
        <v>3886</v>
      </c>
      <c r="C80" s="3476" t="s">
        <v>3887</v>
      </c>
      <c r="D80" s="3476" t="s">
        <v>3694</v>
      </c>
      <c r="E80" s="3476" t="s">
        <v>3694</v>
      </c>
      <c r="F80" s="3476" t="s">
        <v>3888</v>
      </c>
      <c r="G80" s="3476" t="s">
        <v>673</v>
      </c>
      <c r="H80" s="3476"/>
      <c r="I80" s="3476">
        <v>37002.480000000003</v>
      </c>
      <c r="J80" s="3476"/>
      <c r="K80" s="3476"/>
      <c r="L80" s="3476">
        <v>65500</v>
      </c>
      <c r="M80" s="3476">
        <v>17702</v>
      </c>
      <c r="N80" s="3476" t="e">
        <v>#DIV/0!</v>
      </c>
      <c r="O80" s="3476" t="s">
        <v>3889</v>
      </c>
      <c r="P80" s="3477" t="s">
        <v>3622</v>
      </c>
      <c r="Q80" s="3476" t="s">
        <v>3890</v>
      </c>
      <c r="R80" s="3476" t="s">
        <v>3820</v>
      </c>
      <c r="S80" s="3476"/>
      <c r="T80" s="3476" t="e">
        <v>#DIV/0!</v>
      </c>
      <c r="U80" s="3476" t="s">
        <v>3891</v>
      </c>
      <c r="V80" s="3478" t="e">
        <v>#DIV/0!</v>
      </c>
      <c r="W80" s="3476"/>
    </row>
    <row r="81" spans="1:23" ht="24" hidden="1">
      <c r="A81" s="3479">
        <v>76</v>
      </c>
      <c r="B81" s="3479" t="s">
        <v>3892</v>
      </c>
      <c r="C81" s="3479" t="s">
        <v>3893</v>
      </c>
      <c r="D81" s="3479" t="s">
        <v>3503</v>
      </c>
      <c r="E81" s="3479" t="s">
        <v>3503</v>
      </c>
      <c r="F81" s="3479" t="s">
        <v>3514</v>
      </c>
      <c r="G81" s="3479" t="s">
        <v>673</v>
      </c>
      <c r="H81" s="3479"/>
      <c r="I81" s="3479">
        <v>269.43</v>
      </c>
      <c r="J81" s="3479">
        <v>269.43</v>
      </c>
      <c r="K81" s="3479"/>
      <c r="L81" s="3479">
        <v>601.20000000000005</v>
      </c>
      <c r="M81" s="3479">
        <v>22314</v>
      </c>
      <c r="N81" s="3479">
        <v>22314</v>
      </c>
      <c r="O81" s="3479" t="s">
        <v>43</v>
      </c>
      <c r="P81" s="3480">
        <v>44567</v>
      </c>
      <c r="Q81" s="3479" t="s">
        <v>3894</v>
      </c>
      <c r="R81" s="3479" t="s">
        <v>3624</v>
      </c>
      <c r="S81" s="3479">
        <v>575.98</v>
      </c>
      <c r="T81" s="3479">
        <v>21378</v>
      </c>
      <c r="U81" s="3479"/>
      <c r="V81" s="3481">
        <v>1.04</v>
      </c>
      <c r="W81" s="3479" t="s">
        <v>3509</v>
      </c>
    </row>
    <row r="82" spans="1:23" ht="60" hidden="1">
      <c r="A82" s="3476">
        <v>77</v>
      </c>
      <c r="B82" s="3476" t="s">
        <v>3895</v>
      </c>
      <c r="C82" s="3476" t="s">
        <v>3896</v>
      </c>
      <c r="D82" s="3476" t="s">
        <v>3540</v>
      </c>
      <c r="E82" s="3476" t="s">
        <v>3541</v>
      </c>
      <c r="F82" s="3476" t="s">
        <v>3897</v>
      </c>
      <c r="G82" s="3476" t="s">
        <v>673</v>
      </c>
      <c r="H82" s="3476"/>
      <c r="I82" s="3476">
        <v>17264.64</v>
      </c>
      <c r="J82" s="3476">
        <v>5970.8</v>
      </c>
      <c r="K82" s="3476">
        <v>11293.84</v>
      </c>
      <c r="L82" s="3476">
        <v>16296</v>
      </c>
      <c r="M82" s="3476">
        <v>9439</v>
      </c>
      <c r="N82" s="3476">
        <v>27293</v>
      </c>
      <c r="O82" s="3476" t="s">
        <v>3898</v>
      </c>
      <c r="P82" s="3477">
        <v>44572</v>
      </c>
      <c r="Q82" s="3476" t="s">
        <v>3899</v>
      </c>
      <c r="R82" s="3476" t="s">
        <v>3786</v>
      </c>
      <c r="S82" s="3476">
        <v>29091.41</v>
      </c>
      <c r="T82" s="3476">
        <v>48723</v>
      </c>
      <c r="U82" s="3476"/>
      <c r="V82" s="3478">
        <v>0.56000000000000005</v>
      </c>
      <c r="W82" s="3476" t="s">
        <v>3509</v>
      </c>
    </row>
    <row r="83" spans="1:23" s="3485" customFormat="1" ht="72">
      <c r="A83" s="3490">
        <v>78</v>
      </c>
      <c r="B83" s="3490" t="s">
        <v>3900</v>
      </c>
      <c r="C83" s="3490" t="s">
        <v>3901</v>
      </c>
      <c r="D83" s="3490" t="s">
        <v>3503</v>
      </c>
      <c r="E83" s="3490" t="s">
        <v>3611</v>
      </c>
      <c r="F83" s="3490" t="s">
        <v>3902</v>
      </c>
      <c r="G83" s="3490" t="s">
        <v>3824</v>
      </c>
      <c r="H83" s="3490">
        <v>10142.94</v>
      </c>
      <c r="I83" s="3490">
        <v>39145.39</v>
      </c>
      <c r="J83" s="3490">
        <v>33000</v>
      </c>
      <c r="K83" s="3490"/>
      <c r="L83" s="3490">
        <v>250000</v>
      </c>
      <c r="M83" s="3490">
        <v>63864</v>
      </c>
      <c r="N83" s="3490">
        <v>75758</v>
      </c>
      <c r="O83" s="3490" t="s">
        <v>3903</v>
      </c>
      <c r="P83" s="3491" t="s">
        <v>3904</v>
      </c>
      <c r="Q83" s="3490" t="s">
        <v>3905</v>
      </c>
      <c r="R83" s="3490" t="s">
        <v>3906</v>
      </c>
      <c r="S83" s="3490"/>
      <c r="T83" s="3490"/>
      <c r="U83" s="3490" t="s">
        <v>3907</v>
      </c>
      <c r="V83" s="3492"/>
      <c r="W83" s="3490"/>
    </row>
    <row r="84" spans="1:23" ht="72" hidden="1">
      <c r="A84" s="3476">
        <v>79</v>
      </c>
      <c r="B84" s="3476" t="s">
        <v>3908</v>
      </c>
      <c r="C84" s="3476" t="s">
        <v>3909</v>
      </c>
      <c r="D84" s="3476" t="s">
        <v>3512</v>
      </c>
      <c r="E84" s="3476" t="s">
        <v>3910</v>
      </c>
      <c r="F84" s="3476" t="s">
        <v>3911</v>
      </c>
      <c r="G84" s="3476" t="s">
        <v>3912</v>
      </c>
      <c r="H84" s="3476">
        <v>7078.77</v>
      </c>
      <c r="I84" s="3476">
        <v>48597.599999999999</v>
      </c>
      <c r="J84" s="3476">
        <v>41927.449999999997</v>
      </c>
      <c r="K84" s="3476">
        <v>6670.15</v>
      </c>
      <c r="L84" s="3476">
        <v>76978.570000000007</v>
      </c>
      <c r="M84" s="3476">
        <v>15840</v>
      </c>
      <c r="N84" s="3476">
        <v>18360</v>
      </c>
      <c r="O84" s="3476" t="s">
        <v>43</v>
      </c>
      <c r="P84" s="3477">
        <v>44286</v>
      </c>
      <c r="Q84" s="3476" t="s">
        <v>3913</v>
      </c>
      <c r="R84" s="3476" t="s">
        <v>43</v>
      </c>
      <c r="S84" s="3476">
        <v>91230.68</v>
      </c>
      <c r="T84" s="3476">
        <v>21759</v>
      </c>
      <c r="U84" s="3476"/>
      <c r="V84" s="3478">
        <v>0.84</v>
      </c>
      <c r="W84" s="3476" t="s">
        <v>3509</v>
      </c>
    </row>
    <row r="85" spans="1:23" ht="48">
      <c r="A85" s="3479">
        <v>80</v>
      </c>
      <c r="B85" s="3479" t="s">
        <v>3914</v>
      </c>
      <c r="C85" s="3479" t="s">
        <v>3915</v>
      </c>
      <c r="D85" s="3479" t="s">
        <v>3916</v>
      </c>
      <c r="E85" s="3479" t="s">
        <v>3917</v>
      </c>
      <c r="F85" s="3479" t="s">
        <v>3918</v>
      </c>
      <c r="G85" s="3479" t="s">
        <v>673</v>
      </c>
      <c r="H85" s="3479"/>
      <c r="I85" s="3479">
        <v>365.83</v>
      </c>
      <c r="J85" s="3479">
        <v>365.83</v>
      </c>
      <c r="K85" s="3479"/>
      <c r="L85" s="3479">
        <v>2603.1</v>
      </c>
      <c r="M85" s="3479">
        <v>71156</v>
      </c>
      <c r="N85" s="3479">
        <v>71156</v>
      </c>
      <c r="O85" s="3479" t="s">
        <v>43</v>
      </c>
      <c r="P85" s="3480">
        <v>43980</v>
      </c>
      <c r="Q85" s="3479" t="s">
        <v>3919</v>
      </c>
      <c r="R85" s="3479" t="s">
        <v>3920</v>
      </c>
      <c r="S85" s="3479"/>
      <c r="T85" s="3479">
        <v>0</v>
      </c>
      <c r="U85" s="3479"/>
      <c r="V85" s="3481" t="e">
        <v>#DIV/0!</v>
      </c>
      <c r="W85" s="3479"/>
    </row>
    <row r="86" spans="1:23" ht="48" hidden="1">
      <c r="A86" s="3476"/>
      <c r="B86" s="3476"/>
      <c r="C86" s="3476"/>
      <c r="D86" s="3476"/>
      <c r="E86" s="3476"/>
      <c r="F86" s="3476"/>
      <c r="G86" s="3476"/>
      <c r="H86" s="3476"/>
      <c r="I86" s="3476"/>
      <c r="J86" s="3476"/>
      <c r="K86" s="3476"/>
      <c r="L86" s="3476"/>
      <c r="M86" s="3476"/>
      <c r="N86" s="3476"/>
      <c r="O86" s="3476"/>
      <c r="P86" s="3477"/>
      <c r="Q86" s="3476" t="s">
        <v>3921</v>
      </c>
      <c r="R86" s="3476"/>
      <c r="S86" s="3476"/>
      <c r="T86" s="3476"/>
      <c r="U86" s="3476"/>
      <c r="V86" s="3478"/>
      <c r="W86" s="3476"/>
    </row>
    <row r="87" spans="1:23" ht="36" hidden="1">
      <c r="A87" s="3479">
        <v>81</v>
      </c>
      <c r="B87" s="3479" t="s">
        <v>3922</v>
      </c>
      <c r="C87" s="3479" t="s">
        <v>3923</v>
      </c>
      <c r="D87" s="3479" t="s">
        <v>3924</v>
      </c>
      <c r="E87" s="3479" t="s">
        <v>3925</v>
      </c>
      <c r="F87" s="3479" t="s">
        <v>3926</v>
      </c>
      <c r="G87" s="3479" t="s">
        <v>3</v>
      </c>
      <c r="H87" s="3479">
        <v>12403.2</v>
      </c>
      <c r="I87" s="3479">
        <v>8602.56</v>
      </c>
      <c r="J87" s="3479">
        <v>8602.56</v>
      </c>
      <c r="K87" s="3479"/>
      <c r="L87" s="3479">
        <v>3409.424</v>
      </c>
      <c r="M87" s="3479">
        <v>3963</v>
      </c>
      <c r="N87" s="3479">
        <v>3963</v>
      </c>
      <c r="O87" s="3479" t="s">
        <v>3927</v>
      </c>
      <c r="P87" s="3480">
        <v>43837</v>
      </c>
      <c r="Q87" s="3479" t="s">
        <v>3928</v>
      </c>
      <c r="R87" s="3479" t="s">
        <v>3517</v>
      </c>
      <c r="S87" s="3479">
        <v>4261.78</v>
      </c>
      <c r="T87" s="3479">
        <v>4954</v>
      </c>
      <c r="U87" s="3479"/>
      <c r="V87" s="3481">
        <v>0.8</v>
      </c>
      <c r="W87" s="3479" t="s">
        <v>3509</v>
      </c>
    </row>
    <row r="88" spans="1:23" ht="36" hidden="1">
      <c r="A88" s="3476">
        <v>82</v>
      </c>
      <c r="B88" s="3476" t="s">
        <v>3929</v>
      </c>
      <c r="C88" s="3476" t="s">
        <v>3930</v>
      </c>
      <c r="D88" s="3476" t="s">
        <v>3647</v>
      </c>
      <c r="E88" s="3476" t="s">
        <v>3931</v>
      </c>
      <c r="F88" s="3476" t="s">
        <v>3932</v>
      </c>
      <c r="G88" s="3476" t="s">
        <v>3</v>
      </c>
      <c r="H88" s="3476">
        <v>6621.48</v>
      </c>
      <c r="I88" s="3476">
        <v>5935.8</v>
      </c>
      <c r="J88" s="3476">
        <v>5935.8</v>
      </c>
      <c r="K88" s="3476"/>
      <c r="L88" s="3476">
        <v>3411</v>
      </c>
      <c r="M88" s="3476">
        <v>5746</v>
      </c>
      <c r="N88" s="3476">
        <v>5746</v>
      </c>
      <c r="O88" s="3476" t="s">
        <v>3933</v>
      </c>
      <c r="P88" s="3477">
        <v>43977</v>
      </c>
      <c r="Q88" s="3476" t="s">
        <v>3934</v>
      </c>
      <c r="R88" s="3476" t="s">
        <v>3779</v>
      </c>
      <c r="S88" s="3476">
        <v>4263</v>
      </c>
      <c r="T88" s="3476">
        <v>7182</v>
      </c>
      <c r="U88" s="3476"/>
      <c r="V88" s="3478">
        <v>0.8</v>
      </c>
      <c r="W88" s="3476" t="s">
        <v>3509</v>
      </c>
    </row>
    <row r="89" spans="1:23" ht="36" hidden="1">
      <c r="A89" s="3479">
        <v>83</v>
      </c>
      <c r="B89" s="3479" t="s">
        <v>3935</v>
      </c>
      <c r="C89" s="3479" t="s">
        <v>3935</v>
      </c>
      <c r="D89" s="3479" t="s">
        <v>3675</v>
      </c>
      <c r="E89" s="3479" t="s">
        <v>3823</v>
      </c>
      <c r="F89" s="3479" t="s">
        <v>3936</v>
      </c>
      <c r="G89" s="3479" t="s">
        <v>3</v>
      </c>
      <c r="H89" s="3479">
        <v>10214.31</v>
      </c>
      <c r="I89" s="3479">
        <v>1892.11</v>
      </c>
      <c r="J89" s="3479">
        <v>1892.11</v>
      </c>
      <c r="K89" s="3479"/>
      <c r="L89" s="3479">
        <v>4002.4589999999998</v>
      </c>
      <c r="M89" s="3479">
        <v>3918</v>
      </c>
      <c r="N89" s="3479">
        <v>21153</v>
      </c>
      <c r="O89" s="3479" t="s">
        <v>3937</v>
      </c>
      <c r="P89" s="3480">
        <v>44147</v>
      </c>
      <c r="Q89" s="3479" t="s">
        <v>3938</v>
      </c>
      <c r="R89" s="3479" t="s">
        <v>3847</v>
      </c>
      <c r="S89" s="3479">
        <v>2426.37</v>
      </c>
      <c r="T89" s="3479">
        <v>12824</v>
      </c>
      <c r="U89" s="3479"/>
      <c r="V89" s="3481">
        <v>1.65</v>
      </c>
      <c r="W89" s="3479" t="s">
        <v>3509</v>
      </c>
    </row>
    <row r="90" spans="1:23" hidden="1">
      <c r="A90" s="3476"/>
      <c r="B90" s="3476"/>
      <c r="C90" s="3476"/>
      <c r="D90" s="3476"/>
      <c r="E90" s="3476"/>
      <c r="F90" s="3476" t="s">
        <v>3939</v>
      </c>
      <c r="G90" s="3476"/>
      <c r="H90" s="3476"/>
      <c r="I90" s="3476"/>
      <c r="J90" s="3476"/>
      <c r="K90" s="3476"/>
      <c r="L90" s="3476"/>
      <c r="M90" s="3476"/>
      <c r="N90" s="3476"/>
      <c r="O90" s="3476"/>
      <c r="P90" s="3477"/>
      <c r="Q90" s="3476"/>
      <c r="R90" s="3476"/>
      <c r="S90" s="3476"/>
      <c r="T90" s="3476"/>
      <c r="U90" s="3476"/>
      <c r="V90" s="3478"/>
      <c r="W90" s="3476"/>
    </row>
    <row r="91" spans="1:23" ht="48" hidden="1">
      <c r="A91" s="3479">
        <v>84</v>
      </c>
      <c r="B91" s="3479" t="s">
        <v>3940</v>
      </c>
      <c r="C91" s="3479" t="s">
        <v>3941</v>
      </c>
      <c r="D91" s="3479" t="s">
        <v>3675</v>
      </c>
      <c r="E91" s="3479" t="s">
        <v>3823</v>
      </c>
      <c r="F91" s="3479" t="s">
        <v>3942</v>
      </c>
      <c r="G91" s="3479" t="s">
        <v>3</v>
      </c>
      <c r="H91" s="3479">
        <v>14034</v>
      </c>
      <c r="I91" s="3479">
        <v>6998.6</v>
      </c>
      <c r="J91" s="3479">
        <v>6998.6</v>
      </c>
      <c r="K91" s="3479"/>
      <c r="L91" s="3479">
        <v>4204</v>
      </c>
      <c r="M91" s="3479">
        <v>2996</v>
      </c>
      <c r="N91" s="3479">
        <v>6007</v>
      </c>
      <c r="O91" s="3479" t="s">
        <v>3943</v>
      </c>
      <c r="P91" s="3480">
        <v>44171</v>
      </c>
      <c r="Q91" s="3479" t="s">
        <v>3944</v>
      </c>
      <c r="R91" s="3479" t="s">
        <v>3561</v>
      </c>
      <c r="S91" s="3479">
        <v>3034</v>
      </c>
      <c r="T91" s="3479">
        <v>4335</v>
      </c>
      <c r="U91" s="3479"/>
      <c r="V91" s="3481">
        <v>1.39</v>
      </c>
      <c r="W91" s="3479" t="s">
        <v>3509</v>
      </c>
    </row>
    <row r="92" spans="1:23" ht="36" hidden="1">
      <c r="A92" s="3476">
        <v>85</v>
      </c>
      <c r="B92" s="3476" t="s">
        <v>3945</v>
      </c>
      <c r="C92" s="3476" t="s">
        <v>3946</v>
      </c>
      <c r="D92" s="3476" t="s">
        <v>3947</v>
      </c>
      <c r="E92" s="3476" t="s">
        <v>3948</v>
      </c>
      <c r="F92" s="3476" t="s">
        <v>3949</v>
      </c>
      <c r="G92" s="3476" t="s">
        <v>3</v>
      </c>
      <c r="H92" s="3476">
        <v>9999.3700000000008</v>
      </c>
      <c r="I92" s="3476">
        <v>1957.15</v>
      </c>
      <c r="J92" s="3476">
        <v>1957.15</v>
      </c>
      <c r="K92" s="3476"/>
      <c r="L92" s="3476">
        <v>1049</v>
      </c>
      <c r="M92" s="3476">
        <v>1049</v>
      </c>
      <c r="N92" s="3476">
        <v>5360</v>
      </c>
      <c r="O92" s="3476" t="s">
        <v>3950</v>
      </c>
      <c r="P92" s="3477">
        <v>44211</v>
      </c>
      <c r="Q92" s="3476" t="s">
        <v>3951</v>
      </c>
      <c r="R92" s="3476" t="s">
        <v>3779</v>
      </c>
      <c r="S92" s="3476">
        <v>814.17439999999999</v>
      </c>
      <c r="T92" s="3476">
        <v>4160</v>
      </c>
      <c r="U92" s="3476"/>
      <c r="V92" s="3478">
        <v>1.29</v>
      </c>
      <c r="W92" s="3476" t="s">
        <v>3509</v>
      </c>
    </row>
    <row r="93" spans="1:23" ht="60" hidden="1">
      <c r="A93" s="3479">
        <v>86</v>
      </c>
      <c r="B93" s="3479" t="s">
        <v>3952</v>
      </c>
      <c r="C93" s="3479" t="s">
        <v>3953</v>
      </c>
      <c r="D93" s="3479" t="s">
        <v>3540</v>
      </c>
      <c r="E93" s="3479" t="s">
        <v>3541</v>
      </c>
      <c r="F93" s="3479" t="s">
        <v>3954</v>
      </c>
      <c r="G93" s="3479" t="s">
        <v>3</v>
      </c>
      <c r="H93" s="3479">
        <v>13333.3</v>
      </c>
      <c r="I93" s="3479">
        <v>22954.2</v>
      </c>
      <c r="J93" s="3479">
        <v>22954.2</v>
      </c>
      <c r="K93" s="3479"/>
      <c r="L93" s="3479">
        <v>6010.4170000000004</v>
      </c>
      <c r="M93" s="3479">
        <v>4508</v>
      </c>
      <c r="N93" s="3479">
        <v>2618</v>
      </c>
      <c r="O93" s="3479" t="s">
        <v>3955</v>
      </c>
      <c r="P93" s="3480">
        <v>44551</v>
      </c>
      <c r="Q93" s="3479" t="s">
        <v>3956</v>
      </c>
      <c r="R93" s="3479"/>
      <c r="S93" s="3479">
        <v>4466.3100000000004</v>
      </c>
      <c r="T93" s="3479">
        <v>1946</v>
      </c>
      <c r="U93" s="3479"/>
      <c r="V93" s="3481">
        <v>1.35</v>
      </c>
      <c r="W93" s="3479" t="s">
        <v>3509</v>
      </c>
    </row>
    <row r="94" spans="1:23" ht="60" hidden="1">
      <c r="A94" s="3476">
        <v>87</v>
      </c>
      <c r="B94" s="3476" t="s">
        <v>3957</v>
      </c>
      <c r="C94" s="3476" t="s">
        <v>3958</v>
      </c>
      <c r="D94" s="3476" t="s">
        <v>3959</v>
      </c>
      <c r="E94" s="3476" t="s">
        <v>3960</v>
      </c>
      <c r="F94" s="3476" t="s">
        <v>3961</v>
      </c>
      <c r="G94" s="3476" t="s">
        <v>3</v>
      </c>
      <c r="H94" s="3476">
        <v>8627.5</v>
      </c>
      <c r="I94" s="3476">
        <v>3661.48</v>
      </c>
      <c r="J94" s="3476">
        <v>3661.48</v>
      </c>
      <c r="K94" s="3476"/>
      <c r="L94" s="3476">
        <v>900.90139999999997</v>
      </c>
      <c r="M94" s="3476">
        <v>1044</v>
      </c>
      <c r="N94" s="3476">
        <v>2460</v>
      </c>
      <c r="O94" s="3476" t="s">
        <v>3962</v>
      </c>
      <c r="P94" s="3477">
        <v>44520</v>
      </c>
      <c r="Q94" s="3476" t="s">
        <v>3963</v>
      </c>
      <c r="R94" s="3476" t="s">
        <v>3847</v>
      </c>
      <c r="S94" s="3476">
        <v>1174.28</v>
      </c>
      <c r="T94" s="3476">
        <v>3207</v>
      </c>
      <c r="U94" s="3476"/>
      <c r="V94" s="3478">
        <v>0.77</v>
      </c>
      <c r="W94" s="3476" t="s">
        <v>3509</v>
      </c>
    </row>
    <row r="95" spans="1:23" ht="60" hidden="1">
      <c r="A95" s="3479">
        <v>88</v>
      </c>
      <c r="B95" s="3479" t="s">
        <v>3964</v>
      </c>
      <c r="C95" s="3479" t="s">
        <v>3965</v>
      </c>
      <c r="D95" s="3479" t="s">
        <v>3789</v>
      </c>
      <c r="E95" s="3479" t="s">
        <v>3790</v>
      </c>
      <c r="F95" s="3479" t="s">
        <v>3966</v>
      </c>
      <c r="G95" s="3479" t="s">
        <v>3318</v>
      </c>
      <c r="H95" s="3479">
        <v>16803.8</v>
      </c>
      <c r="I95" s="3479">
        <v>23578.400000000001</v>
      </c>
      <c r="J95" s="3479">
        <v>23578.400000000001</v>
      </c>
      <c r="K95" s="3479"/>
      <c r="L95" s="3479">
        <v>4422.3630000000003</v>
      </c>
      <c r="M95" s="3479">
        <v>2632</v>
      </c>
      <c r="N95" s="3479">
        <v>1876</v>
      </c>
      <c r="O95" s="3479" t="s">
        <v>3967</v>
      </c>
      <c r="P95" s="3480">
        <v>44425</v>
      </c>
      <c r="Q95" s="3479" t="s">
        <v>3968</v>
      </c>
      <c r="R95" s="3479"/>
      <c r="S95" s="3479">
        <v>4269.09</v>
      </c>
      <c r="T95" s="3479">
        <v>1811</v>
      </c>
      <c r="U95" s="3479"/>
      <c r="V95" s="3481">
        <v>1.04</v>
      </c>
      <c r="W95" s="3479" t="s">
        <v>3509</v>
      </c>
    </row>
    <row r="96" spans="1:23" ht="36" hidden="1">
      <c r="A96" s="3476">
        <v>89</v>
      </c>
      <c r="B96" s="3476" t="s">
        <v>3969</v>
      </c>
      <c r="C96" s="3476" t="s">
        <v>3970</v>
      </c>
      <c r="D96" s="3476" t="s">
        <v>3540</v>
      </c>
      <c r="E96" s="3476" t="s">
        <v>3541</v>
      </c>
      <c r="F96" s="3476" t="s">
        <v>43</v>
      </c>
      <c r="G96" s="3476" t="s">
        <v>3</v>
      </c>
      <c r="H96" s="3476">
        <v>13333.2</v>
      </c>
      <c r="I96" s="3476">
        <v>6185.81</v>
      </c>
      <c r="J96" s="3476">
        <v>6185.81</v>
      </c>
      <c r="K96" s="3476"/>
      <c r="L96" s="3476">
        <v>3950</v>
      </c>
      <c r="M96" s="3476">
        <v>6386</v>
      </c>
      <c r="N96" s="3476">
        <v>6386</v>
      </c>
      <c r="O96" s="3476" t="s">
        <v>3514</v>
      </c>
      <c r="P96" s="3477">
        <v>44222</v>
      </c>
      <c r="Q96" s="3476" t="s">
        <v>3971</v>
      </c>
      <c r="R96" s="3476"/>
      <c r="S96" s="3476">
        <v>6000</v>
      </c>
      <c r="T96" s="3476">
        <v>9700</v>
      </c>
      <c r="U96" s="3476"/>
      <c r="V96" s="3478">
        <v>0.66</v>
      </c>
      <c r="W96" s="3476" t="s">
        <v>3509</v>
      </c>
    </row>
    <row r="97" spans="1:23" ht="24" hidden="1">
      <c r="A97" s="3479">
        <v>90</v>
      </c>
      <c r="B97" s="3479" t="s">
        <v>3972</v>
      </c>
      <c r="C97" s="3479" t="s">
        <v>3972</v>
      </c>
      <c r="D97" s="3479" t="s">
        <v>3675</v>
      </c>
      <c r="E97" s="3479" t="s">
        <v>3823</v>
      </c>
      <c r="F97" s="3479"/>
      <c r="G97" s="3479" t="s">
        <v>3</v>
      </c>
      <c r="H97" s="3479">
        <v>13126.62</v>
      </c>
      <c r="I97" s="3479">
        <v>13126.62</v>
      </c>
      <c r="J97" s="3479">
        <v>13126.62</v>
      </c>
      <c r="K97" s="3479"/>
      <c r="L97" s="3479">
        <v>1159.1510000000001</v>
      </c>
      <c r="M97" s="3479">
        <v>883</v>
      </c>
      <c r="N97" s="3479">
        <v>883</v>
      </c>
      <c r="O97" s="3479" t="s">
        <v>3973</v>
      </c>
      <c r="P97" s="3480">
        <v>44119</v>
      </c>
      <c r="Q97" s="3479" t="s">
        <v>3974</v>
      </c>
      <c r="R97" s="3479"/>
      <c r="S97" s="3479">
        <v>1655.93</v>
      </c>
      <c r="T97" s="3479">
        <v>1262</v>
      </c>
      <c r="U97" s="3479"/>
      <c r="V97" s="3481">
        <v>0.7</v>
      </c>
      <c r="W97" s="3479" t="s">
        <v>3509</v>
      </c>
    </row>
    <row r="98" spans="1:23" ht="60" hidden="1">
      <c r="A98" s="3476">
        <v>91</v>
      </c>
      <c r="B98" s="3476" t="s">
        <v>3975</v>
      </c>
      <c r="C98" s="3476" t="s">
        <v>3976</v>
      </c>
      <c r="D98" s="3476" t="s">
        <v>3977</v>
      </c>
      <c r="E98" s="3476" t="s">
        <v>3978</v>
      </c>
      <c r="F98" s="3476" t="s">
        <v>3979</v>
      </c>
      <c r="G98" s="3476" t="s">
        <v>3</v>
      </c>
      <c r="H98" s="3476">
        <v>23887.03</v>
      </c>
      <c r="I98" s="3476">
        <v>31472</v>
      </c>
      <c r="J98" s="3476">
        <v>31472</v>
      </c>
      <c r="K98" s="3476"/>
      <c r="L98" s="3476">
        <v>12054.255999999999</v>
      </c>
      <c r="M98" s="3476">
        <v>3830</v>
      </c>
      <c r="N98" s="3476">
        <v>3830</v>
      </c>
      <c r="O98" s="3476" t="s">
        <v>3980</v>
      </c>
      <c r="P98" s="3477">
        <v>43984</v>
      </c>
      <c r="Q98" s="3476" t="s">
        <v>3981</v>
      </c>
      <c r="R98" s="3476"/>
      <c r="S98" s="3476">
        <v>16525.45</v>
      </c>
      <c r="T98" s="3476">
        <v>5251</v>
      </c>
      <c r="U98" s="3476"/>
      <c r="V98" s="3478">
        <v>0.73</v>
      </c>
      <c r="W98" s="3476" t="s">
        <v>3509</v>
      </c>
    </row>
    <row r="99" spans="1:23" hidden="1">
      <c r="A99" s="3479"/>
      <c r="B99" s="3479"/>
      <c r="C99" s="3479" t="s">
        <v>3982</v>
      </c>
      <c r="D99" s="3479"/>
      <c r="E99" s="3479"/>
      <c r="F99" s="3479"/>
      <c r="G99" s="3479"/>
      <c r="H99" s="3479"/>
      <c r="I99" s="3479"/>
      <c r="J99" s="3479"/>
      <c r="K99" s="3479"/>
      <c r="L99" s="3479"/>
      <c r="M99" s="3479"/>
      <c r="N99" s="3479"/>
      <c r="O99" s="3479"/>
      <c r="P99" s="3480"/>
      <c r="Q99" s="3479"/>
      <c r="R99" s="3479"/>
      <c r="S99" s="3479"/>
      <c r="T99" s="3479"/>
      <c r="U99" s="3479"/>
      <c r="V99" s="3481"/>
      <c r="W99" s="3479"/>
    </row>
    <row r="100" spans="1:23" ht="36" hidden="1">
      <c r="A100" s="3476">
        <v>92</v>
      </c>
      <c r="B100" s="3476" t="s">
        <v>3983</v>
      </c>
      <c r="C100" s="3476" t="s">
        <v>3984</v>
      </c>
      <c r="D100" s="3476" t="s">
        <v>3540</v>
      </c>
      <c r="E100" s="3476" t="s">
        <v>3541</v>
      </c>
      <c r="F100" s="3476" t="s">
        <v>3985</v>
      </c>
      <c r="G100" s="3476" t="s">
        <v>3</v>
      </c>
      <c r="H100" s="3476">
        <v>11107.2</v>
      </c>
      <c r="I100" s="3476">
        <v>5628.86</v>
      </c>
      <c r="J100" s="3476">
        <v>5628.86</v>
      </c>
      <c r="K100" s="3476"/>
      <c r="L100" s="3476">
        <v>2206.6</v>
      </c>
      <c r="M100" s="3476">
        <v>3920</v>
      </c>
      <c r="N100" s="3476">
        <v>3920</v>
      </c>
      <c r="O100" s="3476" t="s">
        <v>3986</v>
      </c>
      <c r="P100" s="3477">
        <v>43865</v>
      </c>
      <c r="Q100" s="3476" t="s">
        <v>3987</v>
      </c>
      <c r="R100" s="3476"/>
      <c r="S100" s="3476">
        <v>2752</v>
      </c>
      <c r="T100" s="3476">
        <v>4889</v>
      </c>
      <c r="U100" s="3476"/>
      <c r="V100" s="3478">
        <v>0.8</v>
      </c>
      <c r="W100" s="3476" t="s">
        <v>3509</v>
      </c>
    </row>
    <row r="101" spans="1:23" hidden="1">
      <c r="A101" s="3479"/>
      <c r="B101" s="3479"/>
      <c r="C101" s="3479"/>
      <c r="D101" s="3479"/>
      <c r="E101" s="3479"/>
      <c r="F101" s="3479" t="s">
        <v>3988</v>
      </c>
      <c r="G101" s="3479"/>
      <c r="H101" s="3479"/>
      <c r="I101" s="3479"/>
      <c r="J101" s="3479"/>
      <c r="K101" s="3479"/>
      <c r="L101" s="3479"/>
      <c r="M101" s="3479"/>
      <c r="N101" s="3479"/>
      <c r="O101" s="3479"/>
      <c r="P101" s="3480"/>
      <c r="Q101" s="3479"/>
      <c r="R101" s="3479"/>
      <c r="S101" s="3479"/>
      <c r="T101" s="3479"/>
      <c r="U101" s="3479"/>
      <c r="V101" s="3481"/>
      <c r="W101" s="3479"/>
    </row>
    <row r="102" spans="1:23" ht="48">
      <c r="A102" s="3476">
        <v>93</v>
      </c>
      <c r="B102" s="3476" t="s">
        <v>3989</v>
      </c>
      <c r="C102" s="3476" t="s">
        <v>3859</v>
      </c>
      <c r="D102" s="3476" t="s">
        <v>3531</v>
      </c>
      <c r="E102" s="3476" t="s">
        <v>3860</v>
      </c>
      <c r="F102" s="3476" t="s">
        <v>3861</v>
      </c>
      <c r="G102" s="3476" t="s">
        <v>3862</v>
      </c>
      <c r="H102" s="3476"/>
      <c r="I102" s="3476">
        <v>11235.4</v>
      </c>
      <c r="J102" s="3476">
        <v>11235.4</v>
      </c>
      <c r="K102" s="3476"/>
      <c r="L102" s="3476">
        <v>43033</v>
      </c>
      <c r="M102" s="3476">
        <v>38301</v>
      </c>
      <c r="N102" s="3476">
        <v>38301</v>
      </c>
      <c r="O102" s="3476" t="s">
        <v>3990</v>
      </c>
      <c r="P102" s="3477">
        <v>44531</v>
      </c>
      <c r="Q102" s="3476" t="s">
        <v>3864</v>
      </c>
      <c r="R102" s="3476" t="s">
        <v>3865</v>
      </c>
      <c r="S102" s="3476"/>
      <c r="T102" s="3476">
        <v>0</v>
      </c>
      <c r="U102" s="3476"/>
      <c r="V102" s="3478" t="e">
        <v>#DIV/0!</v>
      </c>
      <c r="W102" s="3476"/>
    </row>
    <row r="103" spans="1:23" ht="36" hidden="1">
      <c r="A103" s="3479">
        <v>94</v>
      </c>
      <c r="B103" s="3479" t="s">
        <v>3991</v>
      </c>
      <c r="C103" s="3479" t="s">
        <v>3992</v>
      </c>
      <c r="D103" s="3479" t="s">
        <v>3668</v>
      </c>
      <c r="E103" s="3479" t="s">
        <v>3669</v>
      </c>
      <c r="F103" s="3479" t="s">
        <v>3993</v>
      </c>
      <c r="G103" s="3479" t="s">
        <v>3697</v>
      </c>
      <c r="H103" s="3479">
        <v>11500</v>
      </c>
      <c r="I103" s="3479">
        <v>10735.26</v>
      </c>
      <c r="J103" s="3479">
        <v>10735.26</v>
      </c>
      <c r="K103" s="3479"/>
      <c r="L103" s="3479">
        <v>17001.41</v>
      </c>
      <c r="M103" s="3479">
        <v>15837</v>
      </c>
      <c r="N103" s="3479">
        <v>15837</v>
      </c>
      <c r="O103" s="3479" t="s">
        <v>3994</v>
      </c>
      <c r="P103" s="3480">
        <v>44436</v>
      </c>
      <c r="Q103" s="3479" t="s">
        <v>3995</v>
      </c>
      <c r="R103" s="3479" t="s">
        <v>3596</v>
      </c>
      <c r="S103" s="3479">
        <v>10671.41</v>
      </c>
      <c r="T103" s="3479">
        <v>9941</v>
      </c>
      <c r="U103" s="3479"/>
      <c r="V103" s="3481">
        <v>1.59</v>
      </c>
      <c r="W103" s="3479" t="s">
        <v>3509</v>
      </c>
    </row>
    <row r="104" spans="1:23" ht="36" hidden="1">
      <c r="A104" s="3476">
        <v>95</v>
      </c>
      <c r="B104" s="3476" t="s">
        <v>3996</v>
      </c>
      <c r="C104" s="3476" t="s">
        <v>3997</v>
      </c>
      <c r="D104" s="3476" t="s">
        <v>3540</v>
      </c>
      <c r="E104" s="3476" t="s">
        <v>3541</v>
      </c>
      <c r="F104" s="3476" t="s">
        <v>3998</v>
      </c>
      <c r="G104" s="3476" t="s">
        <v>3999</v>
      </c>
      <c r="H104" s="3476"/>
      <c r="I104" s="3476">
        <v>55410</v>
      </c>
      <c r="J104" s="3476">
        <v>55410</v>
      </c>
      <c r="K104" s="3476"/>
      <c r="L104" s="3476">
        <v>50000</v>
      </c>
      <c r="M104" s="3476">
        <v>9024</v>
      </c>
      <c r="N104" s="3476">
        <v>9024</v>
      </c>
      <c r="O104" s="3476" t="s">
        <v>4000</v>
      </c>
      <c r="P104" s="3477">
        <v>44440</v>
      </c>
      <c r="Q104" s="3476" t="s">
        <v>4001</v>
      </c>
      <c r="R104" s="3476" t="s">
        <v>3716</v>
      </c>
      <c r="S104" s="3476"/>
      <c r="T104" s="3476">
        <v>0</v>
      </c>
      <c r="U104" s="3476"/>
      <c r="V104" s="3478" t="e">
        <v>#DIV/0!</v>
      </c>
      <c r="W104" s="3476"/>
    </row>
    <row r="105" spans="1:23" ht="24" hidden="1">
      <c r="A105" s="3479">
        <v>96</v>
      </c>
      <c r="B105" s="3479" t="s">
        <v>4002</v>
      </c>
      <c r="C105" s="3479" t="s">
        <v>4003</v>
      </c>
      <c r="D105" s="3479" t="s">
        <v>3789</v>
      </c>
      <c r="E105" s="3479" t="s">
        <v>3789</v>
      </c>
      <c r="F105" s="3479" t="s">
        <v>4000</v>
      </c>
      <c r="G105" s="3479" t="s">
        <v>4004</v>
      </c>
      <c r="H105" s="3479">
        <v>38515</v>
      </c>
      <c r="I105" s="3479">
        <v>29000</v>
      </c>
      <c r="J105" s="3479">
        <v>29000</v>
      </c>
      <c r="K105" s="3479"/>
      <c r="L105" s="3479">
        <v>15000</v>
      </c>
      <c r="M105" s="3479">
        <v>5172</v>
      </c>
      <c r="N105" s="3479">
        <v>5172</v>
      </c>
      <c r="O105" s="3479" t="s">
        <v>4005</v>
      </c>
      <c r="P105" s="3480">
        <v>44409</v>
      </c>
      <c r="Q105" s="3479" t="s">
        <v>4006</v>
      </c>
      <c r="R105" s="3479"/>
      <c r="S105" s="3479"/>
      <c r="T105" s="3479">
        <v>0</v>
      </c>
      <c r="U105" s="3479"/>
      <c r="V105" s="3481" t="e">
        <v>#DIV/0!</v>
      </c>
      <c r="W105" s="3479"/>
    </row>
    <row r="106" spans="1:23" ht="24" hidden="1">
      <c r="A106" s="3476">
        <v>97</v>
      </c>
      <c r="B106" s="3476" t="s">
        <v>4007</v>
      </c>
      <c r="C106" s="3476" t="s">
        <v>4008</v>
      </c>
      <c r="D106" s="3476" t="s">
        <v>3668</v>
      </c>
      <c r="E106" s="3476" t="s">
        <v>3669</v>
      </c>
      <c r="F106" s="3476" t="s">
        <v>4009</v>
      </c>
      <c r="G106" s="3476" t="s">
        <v>21</v>
      </c>
      <c r="H106" s="3476"/>
      <c r="I106" s="3476">
        <v>73041.88</v>
      </c>
      <c r="J106" s="3476">
        <v>48546.98</v>
      </c>
      <c r="K106" s="3476">
        <v>24494.9</v>
      </c>
      <c r="L106" s="3476">
        <v>183370</v>
      </c>
      <c r="M106" s="3476">
        <v>25105</v>
      </c>
      <c r="N106" s="3476">
        <v>37772</v>
      </c>
      <c r="O106" s="3476" t="s">
        <v>4010</v>
      </c>
      <c r="P106" s="3477">
        <v>44501</v>
      </c>
      <c r="Q106" s="3476" t="s">
        <v>4011</v>
      </c>
      <c r="R106" s="3476"/>
      <c r="S106" s="3476"/>
      <c r="T106" s="3476">
        <v>0</v>
      </c>
      <c r="U106" s="3476"/>
      <c r="V106" s="3478" t="e">
        <v>#DIV/0!</v>
      </c>
      <c r="W106" s="3476"/>
    </row>
    <row r="107" spans="1:23" ht="72">
      <c r="A107" s="3479">
        <v>98</v>
      </c>
      <c r="B107" s="3479" t="s">
        <v>4012</v>
      </c>
      <c r="C107" s="3479" t="s">
        <v>4013</v>
      </c>
      <c r="D107" s="3479" t="s">
        <v>3916</v>
      </c>
      <c r="E107" s="3479" t="s">
        <v>3874</v>
      </c>
      <c r="F107" s="3479" t="s">
        <v>4014</v>
      </c>
      <c r="G107" s="3479" t="s">
        <v>3731</v>
      </c>
      <c r="H107" s="3479"/>
      <c r="I107" s="3479">
        <v>138490</v>
      </c>
      <c r="J107" s="3479">
        <v>104336.17</v>
      </c>
      <c r="K107" s="3479">
        <v>34153.83</v>
      </c>
      <c r="L107" s="3479">
        <v>618571.42859999998</v>
      </c>
      <c r="M107" s="3479">
        <v>44665</v>
      </c>
      <c r="N107" s="3479">
        <v>59286</v>
      </c>
      <c r="O107" s="3479" t="s">
        <v>4015</v>
      </c>
      <c r="P107" s="3480">
        <v>44348</v>
      </c>
      <c r="Q107" s="3479" t="s">
        <v>4016</v>
      </c>
      <c r="R107" s="3479" t="s">
        <v>3596</v>
      </c>
      <c r="S107" s="3479"/>
      <c r="T107" s="3479">
        <v>0</v>
      </c>
      <c r="U107" s="3479" t="s">
        <v>3907</v>
      </c>
      <c r="V107" s="3481" t="e">
        <v>#DIV/0!</v>
      </c>
      <c r="W107" s="3479"/>
    </row>
    <row r="108" spans="1:23" ht="24">
      <c r="A108" s="3476">
        <v>99</v>
      </c>
      <c r="B108" s="3476" t="s">
        <v>4017</v>
      </c>
      <c r="C108" s="3476" t="s">
        <v>4018</v>
      </c>
      <c r="D108" s="3476" t="s">
        <v>3531</v>
      </c>
      <c r="E108" s="3476" t="s">
        <v>3619</v>
      </c>
      <c r="F108" s="3476" t="s">
        <v>43</v>
      </c>
      <c r="G108" s="3476" t="s">
        <v>3370</v>
      </c>
      <c r="H108" s="3476">
        <v>2085.4899999999998</v>
      </c>
      <c r="I108" s="3476">
        <v>15121.75</v>
      </c>
      <c r="J108" s="3476">
        <v>12195.47</v>
      </c>
      <c r="K108" s="3476">
        <v>2926.28</v>
      </c>
      <c r="L108" s="3476">
        <v>60000</v>
      </c>
      <c r="M108" s="3476">
        <v>39678</v>
      </c>
      <c r="N108" s="3476">
        <v>49199</v>
      </c>
      <c r="O108" s="3476" t="s">
        <v>4019</v>
      </c>
      <c r="P108" s="3477">
        <v>44287</v>
      </c>
      <c r="Q108" s="3476" t="s">
        <v>4020</v>
      </c>
      <c r="R108" s="3476"/>
      <c r="S108" s="3476"/>
      <c r="T108" s="3476">
        <v>0</v>
      </c>
      <c r="U108" s="3476"/>
      <c r="V108" s="3478" t="e">
        <v>#DIV/0!</v>
      </c>
      <c r="W108" s="3476"/>
    </row>
    <row r="109" spans="1:23" ht="24">
      <c r="A109" s="3479">
        <v>100</v>
      </c>
      <c r="B109" s="3479" t="s">
        <v>4021</v>
      </c>
      <c r="C109" s="3479" t="s">
        <v>4022</v>
      </c>
      <c r="D109" s="3479" t="s">
        <v>3503</v>
      </c>
      <c r="E109" s="3479" t="s">
        <v>3611</v>
      </c>
      <c r="F109" s="3479" t="s">
        <v>4023</v>
      </c>
      <c r="G109" s="3479" t="s">
        <v>21</v>
      </c>
      <c r="H109" s="3479">
        <v>2699.92</v>
      </c>
      <c r="I109" s="3479">
        <v>11428.07</v>
      </c>
      <c r="J109" s="3479">
        <v>6959.3</v>
      </c>
      <c r="K109" s="3479">
        <v>4468.7700000000004</v>
      </c>
      <c r="L109" s="3479">
        <v>36600</v>
      </c>
      <c r="M109" s="3479">
        <v>32026</v>
      </c>
      <c r="N109" s="3479">
        <v>52591</v>
      </c>
      <c r="O109" s="3479" t="s">
        <v>43</v>
      </c>
      <c r="P109" s="3480">
        <v>44256</v>
      </c>
      <c r="Q109" s="3479" t="s">
        <v>4024</v>
      </c>
      <c r="R109" s="3479"/>
      <c r="S109" s="3479"/>
      <c r="T109" s="3479">
        <v>0</v>
      </c>
      <c r="U109" s="3479"/>
      <c r="V109" s="3481" t="e">
        <v>#DIV/0!</v>
      </c>
      <c r="W109" s="3479"/>
    </row>
    <row r="110" spans="1:23" ht="24">
      <c r="A110" s="3476">
        <v>101</v>
      </c>
      <c r="B110" s="3476" t="s">
        <v>4025</v>
      </c>
      <c r="C110" s="3476" t="s">
        <v>4026</v>
      </c>
      <c r="D110" s="3476" t="s">
        <v>3916</v>
      </c>
      <c r="E110" s="3476" t="s">
        <v>4027</v>
      </c>
      <c r="F110" s="3476" t="s">
        <v>4028</v>
      </c>
      <c r="G110" s="3476" t="s">
        <v>673</v>
      </c>
      <c r="H110" s="3476"/>
      <c r="I110" s="3476">
        <v>32414.42</v>
      </c>
      <c r="J110" s="3476">
        <v>24206.3</v>
      </c>
      <c r="K110" s="3476">
        <v>8208.1200000000008</v>
      </c>
      <c r="L110" s="3476">
        <v>105000</v>
      </c>
      <c r="M110" s="3476">
        <v>32393</v>
      </c>
      <c r="N110" s="3476">
        <v>43377</v>
      </c>
      <c r="O110" s="3476" t="s">
        <v>4029</v>
      </c>
      <c r="P110" s="3477">
        <v>44256</v>
      </c>
      <c r="Q110" s="3476" t="s">
        <v>4030</v>
      </c>
      <c r="R110" s="3476" t="s">
        <v>3786</v>
      </c>
      <c r="S110" s="3476"/>
      <c r="T110" s="3476">
        <v>0</v>
      </c>
      <c r="U110" s="3476"/>
      <c r="V110" s="3478" t="e">
        <v>#DIV/0!</v>
      </c>
      <c r="W110" s="3476"/>
    </row>
    <row r="111" spans="1:23" ht="24">
      <c r="A111" s="3479">
        <v>102</v>
      </c>
      <c r="B111" s="3479" t="s">
        <v>4031</v>
      </c>
      <c r="C111" s="3479" t="s">
        <v>4032</v>
      </c>
      <c r="D111" s="3479" t="s">
        <v>3503</v>
      </c>
      <c r="E111" s="3479" t="s">
        <v>3874</v>
      </c>
      <c r="F111" s="3479" t="s">
        <v>4033</v>
      </c>
      <c r="G111" s="3479" t="s">
        <v>21</v>
      </c>
      <c r="H111" s="3479"/>
      <c r="I111" s="3479">
        <v>52838</v>
      </c>
      <c r="J111" s="3479">
        <v>52838</v>
      </c>
      <c r="K111" s="3479"/>
      <c r="L111" s="3479">
        <v>300000</v>
      </c>
      <c r="M111" s="3479">
        <v>56777</v>
      </c>
      <c r="N111" s="3479">
        <v>56777</v>
      </c>
      <c r="O111" s="3479" t="s">
        <v>4034</v>
      </c>
      <c r="P111" s="3480">
        <v>44228</v>
      </c>
      <c r="Q111" s="3479" t="s">
        <v>4035</v>
      </c>
      <c r="R111" s="3479" t="s">
        <v>3528</v>
      </c>
      <c r="S111" s="3479"/>
      <c r="T111" s="3479">
        <v>0</v>
      </c>
      <c r="U111" s="3479" t="s">
        <v>3907</v>
      </c>
      <c r="V111" s="3481" t="e">
        <v>#DIV/0!</v>
      </c>
      <c r="W111" s="3479"/>
    </row>
    <row r="112" spans="1:23" ht="36" hidden="1">
      <c r="A112" s="3476">
        <v>103</v>
      </c>
      <c r="B112" s="3476" t="s">
        <v>4036</v>
      </c>
      <c r="C112" s="3476" t="s">
        <v>4037</v>
      </c>
      <c r="D112" s="3476" t="s">
        <v>3531</v>
      </c>
      <c r="E112" s="3476" t="s">
        <v>3654</v>
      </c>
      <c r="F112" s="3476" t="s">
        <v>4038</v>
      </c>
      <c r="G112" s="3476" t="s">
        <v>3697</v>
      </c>
      <c r="H112" s="3476"/>
      <c r="I112" s="3476">
        <v>114200</v>
      </c>
      <c r="J112" s="3476"/>
      <c r="K112" s="3476"/>
      <c r="L112" s="3476">
        <v>280000</v>
      </c>
      <c r="M112" s="3476">
        <v>24518</v>
      </c>
      <c r="N112" s="3476" t="e">
        <v>#DIV/0!</v>
      </c>
      <c r="O112" s="3476" t="s">
        <v>4039</v>
      </c>
      <c r="P112" s="3477">
        <v>44197</v>
      </c>
      <c r="Q112" s="3476" t="s">
        <v>4040</v>
      </c>
      <c r="R112" s="3476" t="s">
        <v>3524</v>
      </c>
      <c r="S112" s="3476"/>
      <c r="T112" s="3476" t="e">
        <v>#DIV/0!</v>
      </c>
      <c r="U112" s="3476"/>
      <c r="V112" s="3478" t="e">
        <v>#DIV/0!</v>
      </c>
      <c r="W112" s="3476"/>
    </row>
    <row r="113" spans="1:23" ht="24" hidden="1">
      <c r="A113" s="3479">
        <v>104</v>
      </c>
      <c r="B113" s="3479" t="s">
        <v>4041</v>
      </c>
      <c r="C113" s="3479" t="s">
        <v>4042</v>
      </c>
      <c r="D113" s="3479" t="s">
        <v>3647</v>
      </c>
      <c r="E113" s="3479" t="s">
        <v>4043</v>
      </c>
      <c r="F113" s="3479" t="s">
        <v>4044</v>
      </c>
      <c r="G113" s="3479" t="s">
        <v>3852</v>
      </c>
      <c r="H113" s="3479"/>
      <c r="I113" s="3479">
        <v>24251.599999999999</v>
      </c>
      <c r="J113" s="3479">
        <v>24251.599999999999</v>
      </c>
      <c r="K113" s="3479"/>
      <c r="L113" s="3479">
        <v>108437</v>
      </c>
      <c r="M113" s="3479">
        <v>44713</v>
      </c>
      <c r="N113" s="3479">
        <v>44713</v>
      </c>
      <c r="O113" s="3479" t="s">
        <v>4045</v>
      </c>
      <c r="P113" s="3480">
        <v>44197</v>
      </c>
      <c r="Q113" s="3479" t="s">
        <v>4046</v>
      </c>
      <c r="R113" s="3479"/>
      <c r="S113" s="3479"/>
      <c r="T113" s="3479">
        <v>0</v>
      </c>
      <c r="U113" s="3479"/>
      <c r="V113" s="3481" t="e">
        <v>#DIV/0!</v>
      </c>
      <c r="W113" s="3479"/>
    </row>
    <row r="114" spans="1:23" ht="36" hidden="1">
      <c r="A114" s="3476">
        <v>105</v>
      </c>
      <c r="B114" s="3476" t="s">
        <v>4047</v>
      </c>
      <c r="C114" s="3476" t="s">
        <v>4048</v>
      </c>
      <c r="D114" s="3476" t="s">
        <v>3789</v>
      </c>
      <c r="E114" s="3476" t="s">
        <v>3790</v>
      </c>
      <c r="F114" s="3476" t="s">
        <v>4049</v>
      </c>
      <c r="G114" s="3476" t="s">
        <v>3</v>
      </c>
      <c r="H114" s="3476">
        <v>54502.1</v>
      </c>
      <c r="I114" s="3476">
        <v>2472.46</v>
      </c>
      <c r="J114" s="3476">
        <v>2472.46</v>
      </c>
      <c r="K114" s="3476"/>
      <c r="L114" s="3476">
        <v>6763.7079999999996</v>
      </c>
      <c r="M114" s="3476">
        <v>1241</v>
      </c>
      <c r="N114" s="3476">
        <v>27356</v>
      </c>
      <c r="O114" s="3476" t="s">
        <v>4050</v>
      </c>
      <c r="P114" s="3477">
        <v>44152</v>
      </c>
      <c r="Q114" s="3476" t="s">
        <v>4051</v>
      </c>
      <c r="R114" s="3476" t="s">
        <v>3734</v>
      </c>
      <c r="S114" s="3476">
        <v>9662.44</v>
      </c>
      <c r="T114" s="3476">
        <v>39080</v>
      </c>
      <c r="U114" s="3476"/>
      <c r="V114" s="3478">
        <v>0.7</v>
      </c>
      <c r="W114" s="3476" t="s">
        <v>3509</v>
      </c>
    </row>
    <row r="115" spans="1:23" ht="60" hidden="1">
      <c r="A115" s="3479">
        <v>106</v>
      </c>
      <c r="B115" s="3479" t="s">
        <v>4052</v>
      </c>
      <c r="C115" s="3479" t="s">
        <v>4053</v>
      </c>
      <c r="D115" s="3479" t="s">
        <v>3675</v>
      </c>
      <c r="E115" s="3479" t="s">
        <v>4054</v>
      </c>
      <c r="F115" s="3479" t="s">
        <v>4055</v>
      </c>
      <c r="G115" s="3479" t="s">
        <v>3</v>
      </c>
      <c r="H115" s="3479">
        <v>24120.12</v>
      </c>
      <c r="I115" s="3479">
        <v>25929.51</v>
      </c>
      <c r="J115" s="3479">
        <v>23846.59</v>
      </c>
      <c r="K115" s="3479">
        <v>2082.92</v>
      </c>
      <c r="L115" s="3479">
        <v>6830.53</v>
      </c>
      <c r="M115" s="3479">
        <v>2634</v>
      </c>
      <c r="N115" s="3479">
        <v>2864</v>
      </c>
      <c r="O115" s="3479" t="s">
        <v>4056</v>
      </c>
      <c r="P115" s="3480">
        <v>44419</v>
      </c>
      <c r="Q115" s="3479" t="s">
        <v>4057</v>
      </c>
      <c r="R115" s="3479" t="s">
        <v>3537</v>
      </c>
      <c r="S115" s="3479">
        <v>9715.0400000000009</v>
      </c>
      <c r="T115" s="3479">
        <v>4074</v>
      </c>
      <c r="U115" s="3479"/>
      <c r="V115" s="3481">
        <v>0.7</v>
      </c>
      <c r="W115" s="3479" t="s">
        <v>3509</v>
      </c>
    </row>
    <row r="116" spans="1:23" ht="36" hidden="1">
      <c r="A116" s="3476">
        <v>107</v>
      </c>
      <c r="B116" s="3476" t="s">
        <v>4058</v>
      </c>
      <c r="C116" s="3476" t="s">
        <v>4058</v>
      </c>
      <c r="D116" s="3476" t="s">
        <v>3924</v>
      </c>
      <c r="E116" s="3476" t="s">
        <v>3925</v>
      </c>
      <c r="F116" s="3476" t="s">
        <v>43</v>
      </c>
      <c r="G116" s="3476" t="s">
        <v>3</v>
      </c>
      <c r="H116" s="3476">
        <v>9552.59</v>
      </c>
      <c r="I116" s="3476">
        <v>5262.22</v>
      </c>
      <c r="J116" s="3476">
        <v>5262.22</v>
      </c>
      <c r="K116" s="3476"/>
      <c r="L116" s="3476">
        <v>1609.6063999999999</v>
      </c>
      <c r="M116" s="3476">
        <v>1685</v>
      </c>
      <c r="N116" s="3476">
        <v>3059</v>
      </c>
      <c r="O116" s="3476" t="s">
        <v>4059</v>
      </c>
      <c r="P116" s="3477">
        <v>44145</v>
      </c>
      <c r="Q116" s="3476" t="s">
        <v>4060</v>
      </c>
      <c r="R116" s="3476" t="s">
        <v>3820</v>
      </c>
      <c r="S116" s="3476">
        <v>2483.7600000000002</v>
      </c>
      <c r="T116" s="3476">
        <v>4720</v>
      </c>
      <c r="U116" s="3476"/>
      <c r="V116" s="3478">
        <v>0.65</v>
      </c>
      <c r="W116" s="3476" t="s">
        <v>3509</v>
      </c>
    </row>
    <row r="117" spans="1:23" ht="24" hidden="1">
      <c r="A117" s="3479">
        <v>108</v>
      </c>
      <c r="B117" s="3479" t="s">
        <v>4061</v>
      </c>
      <c r="C117" s="3479" t="s">
        <v>4062</v>
      </c>
      <c r="D117" s="3479" t="s">
        <v>3675</v>
      </c>
      <c r="E117" s="3479" t="s">
        <v>3823</v>
      </c>
      <c r="F117" s="3479" t="s">
        <v>4063</v>
      </c>
      <c r="G117" s="3479" t="s">
        <v>21</v>
      </c>
      <c r="H117" s="3479"/>
      <c r="I117" s="3479">
        <v>11084.7</v>
      </c>
      <c r="J117" s="3479">
        <v>11084.7</v>
      </c>
      <c r="K117" s="3479"/>
      <c r="L117" s="3479">
        <v>26714</v>
      </c>
      <c r="M117" s="3479">
        <v>24100</v>
      </c>
      <c r="N117" s="3479">
        <v>24100</v>
      </c>
      <c r="O117" s="3479" t="s">
        <v>43</v>
      </c>
      <c r="P117" s="3480">
        <v>44348</v>
      </c>
      <c r="Q117" s="3479" t="s">
        <v>4064</v>
      </c>
      <c r="R117" s="3479" t="s">
        <v>3565</v>
      </c>
      <c r="S117" s="3479"/>
      <c r="T117" s="3479">
        <v>0</v>
      </c>
      <c r="U117" s="3479"/>
      <c r="V117" s="3481" t="e">
        <v>#DIV/0!</v>
      </c>
      <c r="W117" s="3479"/>
    </row>
    <row r="118" spans="1:23" ht="24" hidden="1">
      <c r="A118" s="3476">
        <v>109</v>
      </c>
      <c r="B118" s="3476" t="s">
        <v>4065</v>
      </c>
      <c r="C118" s="3476" t="s">
        <v>4062</v>
      </c>
      <c r="D118" s="3476" t="s">
        <v>3675</v>
      </c>
      <c r="E118" s="3476" t="s">
        <v>3823</v>
      </c>
      <c r="F118" s="3476" t="s">
        <v>4063</v>
      </c>
      <c r="G118" s="3476" t="s">
        <v>21</v>
      </c>
      <c r="H118" s="3476"/>
      <c r="I118" s="3476">
        <v>11586.64</v>
      </c>
      <c r="J118" s="3476">
        <v>11586.64</v>
      </c>
      <c r="K118" s="3476"/>
      <c r="L118" s="3476">
        <v>27924</v>
      </c>
      <c r="M118" s="3476">
        <v>24100</v>
      </c>
      <c r="N118" s="3476">
        <v>24100</v>
      </c>
      <c r="O118" s="3476" t="s">
        <v>43</v>
      </c>
      <c r="P118" s="3477">
        <v>44287</v>
      </c>
      <c r="Q118" s="3476" t="s">
        <v>4066</v>
      </c>
      <c r="R118" s="3476" t="s">
        <v>3565</v>
      </c>
      <c r="S118" s="3476"/>
      <c r="T118" s="3476">
        <v>0</v>
      </c>
      <c r="U118" s="3476"/>
      <c r="V118" s="3478" t="e">
        <v>#DIV/0!</v>
      </c>
      <c r="W118" s="3476"/>
    </row>
    <row r="119" spans="1:23" hidden="1">
      <c r="A119" s="3479">
        <v>110</v>
      </c>
      <c r="B119" s="3479"/>
      <c r="C119" s="3479"/>
      <c r="D119" s="3479"/>
      <c r="E119" s="3479"/>
      <c r="F119" s="3479"/>
      <c r="G119" s="3479"/>
      <c r="H119" s="3479"/>
      <c r="I119" s="3479"/>
      <c r="J119" s="3479"/>
      <c r="K119" s="3479"/>
      <c r="L119" s="3479"/>
      <c r="M119" s="3479" t="e">
        <v>#DIV/0!</v>
      </c>
      <c r="N119" s="3479" t="e">
        <v>#DIV/0!</v>
      </c>
      <c r="O119" s="3479"/>
      <c r="P119" s="3480"/>
      <c r="Q119" s="3479"/>
      <c r="R119" s="3479"/>
      <c r="S119" s="3479"/>
      <c r="T119" s="3479" t="e">
        <v>#DIV/0!</v>
      </c>
      <c r="U119" s="3479"/>
      <c r="V119" s="3481" t="e">
        <v>#DIV/0!</v>
      </c>
      <c r="W119" s="3479"/>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70"/>
      <c r="C1" s="198"/>
      <c r="D1" s="198"/>
      <c r="E1" s="198"/>
      <c r="F1" s="198"/>
      <c r="G1" s="1126">
        <f>MATCH(B1,'数据-取费表'!A6:A16,0)+5</f>
        <v>7</v>
      </c>
    </row>
    <row r="2" spans="1:10" s="200" customFormat="1" ht="18" customHeight="1">
      <c r="A2" s="201" t="s">
        <v>1446</v>
      </c>
      <c r="B2" s="202">
        <f ca="1">IF(D2="——",C52,C52-E2)</f>
        <v>40547</v>
      </c>
      <c r="C2" s="199" t="s">
        <v>1447</v>
      </c>
      <c r="D2" s="1853" t="s">
        <v>43</v>
      </c>
      <c r="E2" s="1169" t="e">
        <f ca="1">SUMIF(INDIRECT("'"&amp;G2&amp;"'"&amp;"!A:A"),"承租人权益价值",INDIRECT("'"&amp;G2&amp;"'"&amp;"!c:c"))</f>
        <v>#REF!</v>
      </c>
      <c r="F2" s="1854" t="s">
        <v>1447</v>
      </c>
      <c r="G2" s="1855"/>
    </row>
    <row r="3" spans="1:10" s="200" customFormat="1" ht="18" customHeight="1" thickBot="1">
      <c r="A3" s="203" t="s">
        <v>1448</v>
      </c>
      <c r="B3" s="204">
        <f ca="1">ROUND(B2*10000/(IF(B1="",'数据-汇总表'!E3,INDIRECT("'数据-取费表'!k"&amp;$G$1))),0)</f>
        <v>30885</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23984</v>
      </c>
      <c r="D5" s="211" t="s">
        <v>1453</v>
      </c>
      <c r="E5" s="212" t="s">
        <v>1454</v>
      </c>
      <c r="F5" s="212" t="s">
        <v>1455</v>
      </c>
      <c r="G5" s="213"/>
      <c r="J5" s="3473" t="s">
        <v>3478</v>
      </c>
    </row>
    <row r="6" spans="1:10" s="214" customFormat="1" ht="13.5" customHeight="1">
      <c r="A6" s="778" t="s">
        <v>1456</v>
      </c>
      <c r="B6" s="215" t="s">
        <v>1457</v>
      </c>
      <c r="C6" s="216">
        <f>'土地比较法-住宅、综合'!B2</f>
        <v>23019</v>
      </c>
      <c r="D6" s="217"/>
      <c r="E6" s="218"/>
      <c r="F6" s="218"/>
      <c r="G6" s="219"/>
      <c r="J6" s="214">
        <f>基准地价修正!B2</f>
        <v>20395</v>
      </c>
    </row>
    <row r="7" spans="1:10" s="214" customFormat="1" ht="13.5" customHeight="1">
      <c r="A7" s="778" t="s">
        <v>1458</v>
      </c>
      <c r="B7" s="215" t="s">
        <v>1459</v>
      </c>
      <c r="C7" s="220">
        <f>ROUND(C6*F7,0)</f>
        <v>702</v>
      </c>
      <c r="D7" s="220"/>
      <c r="E7" s="218"/>
      <c r="F7" s="221">
        <f>IF(项目基本情况!B8="出让",0,'数据-取费表'!B48+'数据-取费表'!B49)</f>
        <v>3.0499999999999999E-2</v>
      </c>
      <c r="G7" s="219"/>
      <c r="J7" s="214">
        <f ca="1">J6*10000/D10</f>
        <v>15534.964142758676</v>
      </c>
    </row>
    <row r="8" spans="1:10" s="223" customFormat="1">
      <c r="A8" s="778" t="s">
        <v>1460</v>
      </c>
      <c r="B8" s="215" t="s">
        <v>1461</v>
      </c>
      <c r="C8" s="220">
        <f ca="1">IF(G8="已包含在土地购买价格中","0",IF(B1="",'数据-取费表'!B29,IF(G9="全部缴纳",C9+C10,H9)))</f>
        <v>263</v>
      </c>
      <c r="D8" s="222"/>
      <c r="E8" s="220"/>
      <c r="F8" s="221"/>
      <c r="G8" s="1856" t="s">
        <v>3384</v>
      </c>
    </row>
    <row r="9" spans="1:10"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10" s="214" customFormat="1" ht="13.5" customHeight="1">
      <c r="A10" s="779" t="s">
        <v>356</v>
      </c>
      <c r="B10" s="224" t="s">
        <v>1464</v>
      </c>
      <c r="C10" s="225">
        <f ca="1">ROUND(D10*E10/10000,0)</f>
        <v>263</v>
      </c>
      <c r="D10" s="845">
        <f ca="1">IF(B1="",'数据-汇总表'!E6,IF(INDIRECT("'数据-取费表'!c"&amp;$G$1)="住宅",INDIRECT("'数据-取费表'!s"&amp;$G$1),INDIRECT("'数据-取费表'!k"&amp;$G$1)+INDIRECT("'数据-取费表'!s"&amp;$G$1)))</f>
        <v>13128.449999999992</v>
      </c>
      <c r="E10" s="225">
        <f>'数据-取费表'!B28</f>
        <v>200</v>
      </c>
      <c r="F10" s="221"/>
      <c r="G10" s="226"/>
    </row>
    <row r="11" spans="1:10" s="214" customFormat="1" ht="13.5" hidden="1" customHeight="1">
      <c r="A11" s="227" t="s">
        <v>4</v>
      </c>
      <c r="B11" s="215" t="s">
        <v>1465</v>
      </c>
      <c r="C11" s="211"/>
      <c r="D11" s="847"/>
      <c r="E11" s="218"/>
      <c r="F11" s="218"/>
      <c r="G11" s="219"/>
    </row>
    <row r="12" spans="1:10" s="214" customFormat="1" ht="13.5" hidden="1" customHeight="1">
      <c r="A12" s="227" t="s">
        <v>5</v>
      </c>
      <c r="B12" s="215" t="s">
        <v>1466</v>
      </c>
      <c r="C12" s="211">
        <v>0</v>
      </c>
      <c r="D12" s="847"/>
      <c r="E12" s="228"/>
      <c r="F12" s="221">
        <v>3.0499999999999999E-2</v>
      </c>
      <c r="G12" s="219"/>
    </row>
    <row r="13" spans="1:10" s="214" customFormat="1" ht="13.5" hidden="1" customHeight="1">
      <c r="A13" s="227" t="s">
        <v>6</v>
      </c>
      <c r="B13" s="215" t="s">
        <v>1467</v>
      </c>
      <c r="C13" s="211"/>
      <c r="D13" s="847"/>
      <c r="E13" s="218"/>
      <c r="F13" s="218"/>
      <c r="G13" s="219"/>
    </row>
    <row r="14" spans="1:10" s="214" customFormat="1" ht="13.5" hidden="1" customHeight="1">
      <c r="A14" s="227" t="s">
        <v>7</v>
      </c>
      <c r="B14" s="215" t="s">
        <v>1468</v>
      </c>
      <c r="C14" s="211"/>
      <c r="D14" s="847"/>
      <c r="E14" s="218"/>
      <c r="F14" s="218"/>
      <c r="G14" s="219" t="s">
        <v>1469</v>
      </c>
    </row>
    <row r="15" spans="1:10" s="214" customFormat="1" ht="13.5" hidden="1" customHeight="1">
      <c r="A15" s="227" t="s">
        <v>8</v>
      </c>
      <c r="B15" s="215" t="s">
        <v>1470</v>
      </c>
      <c r="C15" s="220"/>
      <c r="D15" s="847"/>
      <c r="E15" s="218"/>
      <c r="F15" s="218"/>
      <c r="G15" s="219" t="s">
        <v>1471</v>
      </c>
    </row>
    <row r="16" spans="1:10"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13128.449999999992</v>
      </c>
      <c r="E19" s="211">
        <f>'数据-取费表'!B31</f>
        <v>200</v>
      </c>
      <c r="F19" s="231"/>
      <c r="G19" s="1856" t="s">
        <v>3385</v>
      </c>
    </row>
    <row r="20" spans="1:7" s="214" customFormat="1" ht="13.5" customHeight="1">
      <c r="A20" s="255" t="s">
        <v>1477</v>
      </c>
      <c r="B20" s="210" t="s">
        <v>1478</v>
      </c>
      <c r="C20" s="232">
        <f ca="1">ROUND((C5+C19)*F20,0)</f>
        <v>480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1700</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1683</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17</v>
      </c>
      <c r="D25" s="238"/>
      <c r="E25" s="241"/>
      <c r="F25" s="239"/>
      <c r="G25" s="242" t="s">
        <v>1494</v>
      </c>
    </row>
    <row r="26" spans="1:7" s="214" customFormat="1">
      <c r="A26" s="780"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3670</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ROUND((C5+C19+C20)*F27*'数据-取费表'!B21/'数据-取费表'!B20,0)</f>
        <v>3670</v>
      </c>
      <c r="D28" s="235"/>
      <c r="E28" s="236"/>
      <c r="F28" s="246"/>
      <c r="G28" s="247"/>
    </row>
    <row r="29" spans="1:7" s="214" customFormat="1" ht="13.5" customHeight="1">
      <c r="A29" s="780"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32323</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7953</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7221</v>
      </c>
      <c r="D34" s="217"/>
      <c r="E34" s="220"/>
      <c r="F34" s="257">
        <f ca="1">IF('数据-取费表'!B24=0,1,IF(B1="",'数据-取费表'!N16,INDIRECT("'数据-取费表'!n"&amp;$G$1)))</f>
        <v>1</v>
      </c>
      <c r="G34" s="219" t="s">
        <v>1510</v>
      </c>
    </row>
    <row r="35" spans="1:7" ht="13.5" customHeight="1">
      <c r="A35" s="780" t="s">
        <v>351</v>
      </c>
      <c r="B35" s="215" t="s">
        <v>1511</v>
      </c>
      <c r="C35" s="220">
        <f ca="1">ROUND(C34*F35,0)</f>
        <v>361</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263</v>
      </c>
      <c r="D37" s="217">
        <f ca="1">D19</f>
        <v>13128.449999999992</v>
      </c>
      <c r="E37" s="249">
        <f>'数据-取费表'!B35</f>
        <v>200</v>
      </c>
      <c r="F37" s="259"/>
      <c r="G37" s="261" t="s">
        <v>1516</v>
      </c>
    </row>
    <row r="38" spans="1:7" ht="13.5" customHeight="1">
      <c r="A38" s="780" t="s">
        <v>354</v>
      </c>
      <c r="B38" s="215" t="s">
        <v>1517</v>
      </c>
      <c r="C38" s="220">
        <f ca="1">ROUND(C34*F38,0)</f>
        <v>108</v>
      </c>
      <c r="D38" s="220"/>
      <c r="E38" s="220"/>
      <c r="F38" s="259">
        <f>'数据-取费表'!B36</f>
        <v>1.4999999999999999E-2</v>
      </c>
      <c r="G38" s="219" t="s">
        <v>1512</v>
      </c>
    </row>
    <row r="39" spans="1:7" s="214" customFormat="1" ht="13.5" customHeight="1">
      <c r="A39" s="255" t="s">
        <v>1518</v>
      </c>
      <c r="B39" s="210" t="s">
        <v>1519</v>
      </c>
      <c r="C39" s="232">
        <f ca="1">ROUND(C33*F20,0)</f>
        <v>159</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279</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274</v>
      </c>
      <c r="D42" s="238"/>
      <c r="E42" s="238"/>
      <c r="F42" s="239"/>
      <c r="G42" s="3681" t="s">
        <v>1528</v>
      </c>
    </row>
    <row r="43" spans="1:7" ht="13.5" customHeight="1">
      <c r="A43" s="780" t="s">
        <v>347</v>
      </c>
      <c r="B43" s="215" t="s">
        <v>1529</v>
      </c>
      <c r="C43" s="238">
        <f ca="1">ROUND(IF('数据-取费表'!B22&lt;=1,C39*F22*'数据-取费表'!B21/2,C39*(POWER((1+F22),'数据-取费表'!B21/2)-1)),0)</f>
        <v>5</v>
      </c>
      <c r="D43" s="238"/>
      <c r="E43" s="238"/>
      <c r="F43" s="239"/>
      <c r="G43" s="3682"/>
    </row>
    <row r="44" spans="1:7" ht="13.5" customHeight="1">
      <c r="A44" s="780" t="s">
        <v>348</v>
      </c>
      <c r="B44" s="215" t="s">
        <v>1530</v>
      </c>
      <c r="C44" s="238">
        <f ca="1">ROUND(IF('数据-取费表'!B22&lt;=1,C40*F22*'数据-取费表'!B21/2,C40*(POWER((1+F22),'数据-取费表'!B21/2)-1)),4)</f>
        <v>6.9999999999999999E-4</v>
      </c>
      <c r="D44" s="238"/>
      <c r="E44" s="238"/>
      <c r="F44" s="239"/>
      <c r="G44" s="3683"/>
    </row>
    <row r="45" spans="1:7" s="214" customFormat="1" ht="13.5" customHeight="1">
      <c r="A45" s="255" t="s">
        <v>1531</v>
      </c>
      <c r="B45" s="244" t="s">
        <v>1497</v>
      </c>
      <c r="C45" s="245">
        <f ca="1">C46</f>
        <v>1217</v>
      </c>
      <c r="D45" s="235">
        <f ca="1">C47</f>
        <v>3.0000000000000001E-3</v>
      </c>
      <c r="E45" s="236" t="s">
        <v>1523</v>
      </c>
      <c r="F45" s="246">
        <f ca="1">F27</f>
        <v>0.15</v>
      </c>
      <c r="G45" s="247" t="s">
        <v>1532</v>
      </c>
    </row>
    <row r="46" spans="1:7" s="214" customFormat="1" ht="13.5" customHeight="1">
      <c r="A46" s="780" t="s">
        <v>346</v>
      </c>
      <c r="B46" s="248" t="s">
        <v>1533</v>
      </c>
      <c r="C46" s="249">
        <f ca="1">ROUND((C33+C39)*F27,0)</f>
        <v>1217</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10410</v>
      </c>
      <c r="D49" s="232"/>
      <c r="E49" s="232"/>
      <c r="F49" s="264"/>
      <c r="G49" s="234" t="s">
        <v>1538</v>
      </c>
    </row>
    <row r="50" spans="1:7" s="258" customFormat="1" ht="24">
      <c r="A50" s="255" t="s">
        <v>1539</v>
      </c>
      <c r="B50" s="210" t="s">
        <v>1540</v>
      </c>
      <c r="C50" s="232"/>
      <c r="D50" s="232"/>
      <c r="E50" s="232"/>
      <c r="F50" s="264">
        <f>IF('数据-取费表'!B24=0,'数据-取费表'!N16,1)</f>
        <v>0.79</v>
      </c>
      <c r="G50" s="247" t="s">
        <v>1541</v>
      </c>
    </row>
    <row r="51" spans="1:7" ht="16.5" customHeight="1">
      <c r="A51" s="255" t="s">
        <v>1542</v>
      </c>
      <c r="B51" s="210" t="s">
        <v>1543</v>
      </c>
      <c r="C51" s="232">
        <f ca="1">ROUND(C49*F50,0)</f>
        <v>8224</v>
      </c>
      <c r="D51" s="232"/>
      <c r="E51" s="232"/>
      <c r="F51" s="264"/>
      <c r="G51" s="234" t="s">
        <v>1544</v>
      </c>
    </row>
    <row r="52" spans="1:7" s="208" customFormat="1" ht="16.5" thickBot="1">
      <c r="A52" s="265" t="s">
        <v>1545</v>
      </c>
      <c r="B52" s="266"/>
      <c r="C52" s="267">
        <f ca="1">C31+C51</f>
        <v>40547</v>
      </c>
      <c r="D52" s="266"/>
      <c r="E52" s="266"/>
      <c r="F52" s="266"/>
      <c r="G52" s="268"/>
    </row>
    <row r="55" spans="1:7" ht="15">
      <c r="B55" s="270" t="s">
        <v>1546</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L27" sqref="L27"/>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23019</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17534</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726" t="s">
        <v>1754</v>
      </c>
      <c r="D4" s="3727"/>
      <c r="E4" s="3728" t="s">
        <v>1755</v>
      </c>
      <c r="F4" s="3729"/>
      <c r="G4" s="3726" t="s">
        <v>1756</v>
      </c>
      <c r="H4" s="3727"/>
      <c r="I4" s="3726" t="s">
        <v>1757</v>
      </c>
      <c r="J4" s="3727"/>
      <c r="K4" s="559" t="s">
        <v>1758</v>
      </c>
      <c r="L4" s="2691"/>
      <c r="M4" s="2692"/>
      <c r="N4" s="2692"/>
      <c r="O4" s="2692"/>
      <c r="P4" s="3766" t="s">
        <v>1759</v>
      </c>
      <c r="Q4" s="3767"/>
      <c r="R4" s="3770" t="s">
        <v>1755</v>
      </c>
      <c r="S4" s="3771"/>
      <c r="T4" s="3770" t="s">
        <v>1756</v>
      </c>
      <c r="U4" s="3771"/>
      <c r="V4" s="3743" t="s">
        <v>1757</v>
      </c>
      <c r="W4" s="3743"/>
      <c r="X4" s="1355"/>
      <c r="Y4" s="3770" t="s">
        <v>1759</v>
      </c>
      <c r="Z4" s="3771"/>
      <c r="AA4" s="3765" t="s">
        <v>1755</v>
      </c>
      <c r="AB4" s="3756" t="s">
        <v>1756</v>
      </c>
      <c r="AC4" s="3765" t="s">
        <v>1757</v>
      </c>
    </row>
    <row r="5" spans="1:30" ht="75" customHeight="1">
      <c r="A5" s="358"/>
      <c r="B5" s="359"/>
      <c r="C5" s="3752" t="s">
        <v>1657</v>
      </c>
      <c r="D5" s="3747"/>
      <c r="E5" s="3758" t="str">
        <f>土地案例!A2</f>
        <v>北京市朝阳区太阳宫乡0301-613地块B4综合性商业金融服务业用地</v>
      </c>
      <c r="F5" s="3759"/>
      <c r="G5" s="3752" t="s">
        <v>3471</v>
      </c>
      <c r="H5" s="3747"/>
      <c r="I5" s="3752" t="s">
        <v>3472</v>
      </c>
      <c r="J5" s="3747"/>
      <c r="K5" s="559"/>
      <c r="L5" s="2691"/>
      <c r="M5" s="2692"/>
      <c r="N5" s="2692"/>
      <c r="O5" s="2692"/>
      <c r="P5" s="3768"/>
      <c r="Q5" s="3733"/>
      <c r="R5" s="3738"/>
      <c r="S5" s="3739"/>
      <c r="T5" s="3738"/>
      <c r="U5" s="3739"/>
      <c r="V5" s="3743"/>
      <c r="W5" s="3743"/>
      <c r="X5" s="1355"/>
      <c r="Y5" s="3738"/>
      <c r="Z5" s="3739"/>
      <c r="AA5" s="3756"/>
      <c r="AB5" s="3756"/>
      <c r="AC5" s="3756"/>
    </row>
    <row r="6" spans="1:30" ht="15.75" thickBot="1">
      <c r="A6" s="360"/>
      <c r="B6" s="361"/>
      <c r="C6" s="3744" t="s">
        <v>1661</v>
      </c>
      <c r="D6" s="3745"/>
      <c r="E6" s="3753" t="s">
        <v>1661</v>
      </c>
      <c r="F6" s="3754"/>
      <c r="G6" s="3744" t="s">
        <v>1661</v>
      </c>
      <c r="H6" s="3745"/>
      <c r="I6" s="3744" t="s">
        <v>1661</v>
      </c>
      <c r="J6" s="3745"/>
      <c r="K6" s="559" t="s">
        <v>1662</v>
      </c>
      <c r="L6" s="2691"/>
      <c r="M6" s="2692"/>
      <c r="N6" s="2692"/>
      <c r="O6" s="2692"/>
      <c r="P6" s="3769"/>
      <c r="Q6" s="3735"/>
      <c r="R6" s="3738"/>
      <c r="S6" s="3739"/>
      <c r="T6" s="3740"/>
      <c r="U6" s="3741"/>
      <c r="V6" s="3743"/>
      <c r="W6" s="3743"/>
      <c r="X6" s="1355"/>
      <c r="Y6" s="3740"/>
      <c r="Z6" s="3741"/>
      <c r="AA6" s="3757"/>
      <c r="AB6" s="3757"/>
      <c r="AC6" s="3757"/>
    </row>
    <row r="7" spans="1:30" s="108" customFormat="1" ht="15.75" thickBot="1">
      <c r="A7" s="362" t="s">
        <v>1663</v>
      </c>
      <c r="B7" s="363"/>
      <c r="C7" s="364">
        <f>'数据-取费表'!B2</f>
        <v>45279</v>
      </c>
      <c r="D7" s="365">
        <v>100</v>
      </c>
      <c r="E7" s="366">
        <f>土地案例!AC2</f>
        <v>45114.000497685185</v>
      </c>
      <c r="F7" s="367">
        <f>SUMIF(69:69,YEAR(E7)&amp;"-"&amp;INT((MONTH(E7)+2)/3),70:70)</f>
        <v>100</v>
      </c>
      <c r="G7" s="1974">
        <v>45090.000497685185</v>
      </c>
      <c r="H7" s="365">
        <f>SUMIF(69:69,YEAR(G7)&amp;"-"&amp;INT((MONTH(G7)+2)/3),70:70)</f>
        <v>100</v>
      </c>
      <c r="I7" s="1974">
        <v>44980.000497685185</v>
      </c>
      <c r="J7" s="365">
        <f>SUMIF(69:69,YEAR(I7)&amp;"-"&amp;INT((MONTH(I7)+2)/3),70:70)</f>
        <v>100</v>
      </c>
      <c r="K7" s="560"/>
      <c r="L7" s="2693"/>
      <c r="M7" s="2694"/>
      <c r="N7" s="2694"/>
      <c r="O7" s="2694"/>
      <c r="P7" s="3750" t="s">
        <v>1664</v>
      </c>
      <c r="Q7" s="3751"/>
      <c r="R7" s="701" t="s">
        <v>14</v>
      </c>
      <c r="S7" s="702">
        <f t="shared" ref="S7:S15" si="0">F7</f>
        <v>100</v>
      </c>
      <c r="T7" s="701" t="s">
        <v>14</v>
      </c>
      <c r="U7" s="702">
        <f t="shared" ref="U7:U15" si="1">H7</f>
        <v>100</v>
      </c>
      <c r="V7" s="701" t="s">
        <v>14</v>
      </c>
      <c r="W7" s="702">
        <f t="shared" ref="W7:W15" si="2">J7</f>
        <v>100</v>
      </c>
      <c r="X7" s="703"/>
      <c r="Y7" s="3750" t="s">
        <v>1664</v>
      </c>
      <c r="Z7" s="3749"/>
      <c r="AA7" s="704">
        <f>D7/F7</f>
        <v>1</v>
      </c>
      <c r="AB7" s="704">
        <f>D7/H7</f>
        <v>1</v>
      </c>
      <c r="AC7" s="704">
        <f>D7/J7</f>
        <v>1</v>
      </c>
    </row>
    <row r="8" spans="1:30" s="108" customFormat="1" ht="15.75" thickBot="1">
      <c r="A8" s="362" t="s">
        <v>1665</v>
      </c>
      <c r="B8" s="363"/>
      <c r="C8" s="368" t="s">
        <v>1666</v>
      </c>
      <c r="D8" s="365">
        <v>100</v>
      </c>
      <c r="E8" s="368" t="s">
        <v>3399</v>
      </c>
      <c r="F8" s="367">
        <f>SUMIF(72:72,E8,73:73)-SUMIF(72:72,C8,73:73)+100</f>
        <v>100</v>
      </c>
      <c r="G8" s="368" t="s">
        <v>3399</v>
      </c>
      <c r="H8" s="365">
        <f>SUMIF(72:72,G8,73:73)-SUMIF(72:72,C8,73:73)+100</f>
        <v>100</v>
      </c>
      <c r="I8" s="368" t="s">
        <v>3399</v>
      </c>
      <c r="J8" s="365">
        <f>SUMIF(72:72,I8,73:73)-SUMIF(72:72,C8,73:73)+100</f>
        <v>100</v>
      </c>
      <c r="K8" s="560"/>
      <c r="L8" s="2693"/>
      <c r="M8" s="2694"/>
      <c r="N8" s="2694"/>
      <c r="O8" s="2694"/>
      <c r="P8" s="3750" t="s">
        <v>1667</v>
      </c>
      <c r="Q8" s="3749"/>
      <c r="R8" s="701" t="s">
        <v>14</v>
      </c>
      <c r="S8" s="702">
        <f t="shared" si="0"/>
        <v>100</v>
      </c>
      <c r="T8" s="701" t="s">
        <v>14</v>
      </c>
      <c r="U8" s="702">
        <f t="shared" si="1"/>
        <v>100</v>
      </c>
      <c r="V8" s="701" t="s">
        <v>14</v>
      </c>
      <c r="W8" s="702">
        <f t="shared" si="2"/>
        <v>100</v>
      </c>
      <c r="X8" s="703"/>
      <c r="Y8" s="3750" t="s">
        <v>1667</v>
      </c>
      <c r="Z8" s="3749"/>
      <c r="AA8" s="704">
        <f t="shared" ref="AA8:AA45" si="3">D8/F8</f>
        <v>1</v>
      </c>
      <c r="AB8" s="704">
        <f t="shared" ref="AB8:AB45" si="4">D8/H8</f>
        <v>1</v>
      </c>
      <c r="AC8" s="704">
        <f t="shared" ref="AC8:AC45" si="5">D8/J8</f>
        <v>1</v>
      </c>
    </row>
    <row r="9" spans="1:30" s="108" customFormat="1">
      <c r="A9" s="369" t="s">
        <v>1668</v>
      </c>
      <c r="B9" s="63" t="s">
        <v>1669</v>
      </c>
      <c r="C9" s="1977" t="s">
        <v>673</v>
      </c>
      <c r="D9" s="126">
        <v>100</v>
      </c>
      <c r="E9" s="1977" t="s">
        <v>673</v>
      </c>
      <c r="F9" s="126">
        <f>SUMIF(74:74,E9,75:75)-SUMIF(74:74,C9,75:75)+100</f>
        <v>100</v>
      </c>
      <c r="G9" s="1977" t="s">
        <v>673</v>
      </c>
      <c r="H9" s="126">
        <f>SUMIF(74:74,G9,75:75)-SUMIF(74:74,C9,75:75)+100</f>
        <v>100</v>
      </c>
      <c r="I9" s="1977" t="s">
        <v>673</v>
      </c>
      <c r="J9" s="126">
        <f>SUMIF(74:74,I9,75:75)-SUMIF(74:74,C9,75:75)+100</f>
        <v>100</v>
      </c>
      <c r="K9" s="560"/>
      <c r="L9" s="2693"/>
      <c r="M9" s="2694"/>
      <c r="N9" s="2694"/>
      <c r="O9" s="2748"/>
      <c r="P9" s="3709" t="s">
        <v>1670</v>
      </c>
      <c r="Q9" s="1343" t="str">
        <f t="shared" ref="Q9:Q15" si="6">B9</f>
        <v>用途</v>
      </c>
      <c r="R9" s="701" t="s">
        <v>14</v>
      </c>
      <c r="S9" s="702">
        <f t="shared" si="0"/>
        <v>100</v>
      </c>
      <c r="T9" s="701" t="s">
        <v>14</v>
      </c>
      <c r="U9" s="702">
        <f t="shared" si="1"/>
        <v>100</v>
      </c>
      <c r="V9" s="701" t="s">
        <v>14</v>
      </c>
      <c r="W9" s="702">
        <f t="shared" si="2"/>
        <v>100</v>
      </c>
      <c r="X9" s="703"/>
      <c r="Y9" s="3587" t="s">
        <v>1671</v>
      </c>
      <c r="Z9" s="52" t="str">
        <f t="shared" ref="Z9:Z15" si="7">Q9</f>
        <v>用途</v>
      </c>
      <c r="AA9" s="704">
        <f t="shared" si="3"/>
        <v>1</v>
      </c>
      <c r="AB9" s="704">
        <f t="shared" si="4"/>
        <v>1</v>
      </c>
      <c r="AC9" s="704">
        <f t="shared" si="5"/>
        <v>1</v>
      </c>
    </row>
    <row r="10" spans="1:30" s="378" customFormat="1" ht="27">
      <c r="A10" s="374"/>
      <c r="B10" s="375" t="s">
        <v>1672</v>
      </c>
      <c r="C10" s="383">
        <f>'数据-取费表'!F6</f>
        <v>18.739999999999998</v>
      </c>
      <c r="D10" s="127">
        <v>100</v>
      </c>
      <c r="E10" s="416" t="s">
        <v>3465</v>
      </c>
      <c r="F10" s="127">
        <f>ROUND(100/'数据-取费表'!G16,0)</f>
        <v>143</v>
      </c>
      <c r="G10" s="414" t="s">
        <v>3465</v>
      </c>
      <c r="H10" s="127">
        <f>ROUND(100/'数据-取费表'!G16,0)</f>
        <v>143</v>
      </c>
      <c r="I10" s="414" t="s">
        <v>3465</v>
      </c>
      <c r="J10" s="127">
        <f>ROUND(100/'数据-取费表'!G16,0)</f>
        <v>143</v>
      </c>
      <c r="K10" s="620"/>
      <c r="L10" s="2695"/>
      <c r="M10" s="2696"/>
      <c r="N10" s="2696"/>
      <c r="O10" s="2749"/>
      <c r="P10" s="3709"/>
      <c r="Q10" s="1343" t="str">
        <f t="shared" si="6"/>
        <v>土地使用年限（年）</v>
      </c>
      <c r="R10" s="701" t="s">
        <v>14</v>
      </c>
      <c r="S10" s="702">
        <f t="shared" si="0"/>
        <v>143</v>
      </c>
      <c r="T10" s="701" t="s">
        <v>14</v>
      </c>
      <c r="U10" s="702">
        <f t="shared" si="1"/>
        <v>143</v>
      </c>
      <c r="V10" s="701" t="s">
        <v>14</v>
      </c>
      <c r="W10" s="702">
        <f t="shared" si="2"/>
        <v>143</v>
      </c>
      <c r="X10" s="703"/>
      <c r="Y10" s="3587"/>
      <c r="Z10" s="52" t="str">
        <f t="shared" si="7"/>
        <v>土地使用年限（年）</v>
      </c>
      <c r="AA10" s="704">
        <f t="shared" si="3"/>
        <v>0.69930069930069927</v>
      </c>
      <c r="AB10" s="704">
        <f t="shared" si="4"/>
        <v>0.69930069930069927</v>
      </c>
      <c r="AC10" s="704">
        <f t="shared" si="5"/>
        <v>0.69930069930069927</v>
      </c>
    </row>
    <row r="11" spans="1:30" ht="15">
      <c r="A11" s="379"/>
      <c r="B11" s="375" t="s">
        <v>1673</v>
      </c>
      <c r="C11" s="380"/>
      <c r="D11" s="127">
        <v>100</v>
      </c>
      <c r="E11" s="380"/>
      <c r="F11" s="127">
        <f>LOOKUP(E11,79:79,80:80)-LOOKUP(C11,79:79,80:80)+100</f>
        <v>100</v>
      </c>
      <c r="G11" s="381"/>
      <c r="H11" s="127">
        <f>LOOKUP(G11,79:79,80:80)-LOOKUP(C11,79:79,80:80)+100</f>
        <v>100</v>
      </c>
      <c r="I11" s="380"/>
      <c r="J11" s="127">
        <f>LOOKUP(I11,79:79,80:80)-LOOKUP(C11,79:79,80:80)+100</f>
        <v>100</v>
      </c>
      <c r="K11" s="621"/>
      <c r="L11" s="2697"/>
      <c r="M11" s="2692"/>
      <c r="N11" s="2692"/>
      <c r="O11" s="2750"/>
      <c r="P11" s="3709"/>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09"/>
      <c r="Q12" s="1343" t="str">
        <f t="shared" si="6"/>
        <v>配建</v>
      </c>
      <c r="R12" s="701" t="s">
        <v>14</v>
      </c>
      <c r="S12" s="702">
        <f t="shared" si="0"/>
        <v>100</v>
      </c>
      <c r="T12" s="701" t="s">
        <v>14</v>
      </c>
      <c r="U12" s="702">
        <f t="shared" si="1"/>
        <v>100</v>
      </c>
      <c r="V12" s="701" t="s">
        <v>14</v>
      </c>
      <c r="W12" s="702">
        <f t="shared" si="2"/>
        <v>100</v>
      </c>
      <c r="X12" s="703"/>
      <c r="Y12" s="3587"/>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09"/>
      <c r="Q13" s="1343">
        <f t="shared" si="6"/>
        <v>111</v>
      </c>
      <c r="R13" s="701" t="s">
        <v>14</v>
      </c>
      <c r="S13" s="702">
        <f t="shared" si="0"/>
        <v>100</v>
      </c>
      <c r="T13" s="701" t="s">
        <v>14</v>
      </c>
      <c r="U13" s="702">
        <f t="shared" si="1"/>
        <v>100</v>
      </c>
      <c r="V13" s="701" t="s">
        <v>14</v>
      </c>
      <c r="W13" s="702">
        <f t="shared" si="2"/>
        <v>100</v>
      </c>
      <c r="X13" s="703"/>
      <c r="Y13" s="3587"/>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09"/>
      <c r="Q14" s="1343">
        <f t="shared" si="6"/>
        <v>111</v>
      </c>
      <c r="R14" s="701" t="s">
        <v>14</v>
      </c>
      <c r="S14" s="702">
        <f t="shared" si="0"/>
        <v>100</v>
      </c>
      <c r="T14" s="701" t="s">
        <v>14</v>
      </c>
      <c r="U14" s="702">
        <f t="shared" si="1"/>
        <v>100</v>
      </c>
      <c r="V14" s="701" t="s">
        <v>14</v>
      </c>
      <c r="W14" s="702">
        <f t="shared" si="2"/>
        <v>100</v>
      </c>
      <c r="X14" s="703"/>
      <c r="Y14" s="3587"/>
      <c r="Z14" s="52">
        <f t="shared" si="7"/>
        <v>111</v>
      </c>
      <c r="AA14" s="704">
        <f>D14/F14</f>
        <v>1</v>
      </c>
      <c r="AB14" s="704">
        <f>D14/H14</f>
        <v>1</v>
      </c>
      <c r="AC14" s="704">
        <f>D14/J14</f>
        <v>1</v>
      </c>
    </row>
    <row r="15" spans="1:30" ht="15" hidden="1">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16" t="s">
        <v>1675</v>
      </c>
      <c r="Q15" s="1352" t="str">
        <f t="shared" si="6"/>
        <v>居住社区成熟度</v>
      </c>
      <c r="R15" s="705" t="s">
        <v>14</v>
      </c>
      <c r="S15" s="706">
        <f t="shared" si="0"/>
        <v>100</v>
      </c>
      <c r="T15" s="705" t="s">
        <v>14</v>
      </c>
      <c r="U15" s="706">
        <f t="shared" si="1"/>
        <v>100</v>
      </c>
      <c r="V15" s="705" t="s">
        <v>14</v>
      </c>
      <c r="W15" s="706">
        <f t="shared" si="2"/>
        <v>100</v>
      </c>
      <c r="X15" s="1355"/>
      <c r="Y15" s="3716" t="s">
        <v>1675</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698"/>
      <c r="M16" s="2692"/>
      <c r="N16" s="2692"/>
      <c r="O16" s="2750"/>
      <c r="P16" s="3717"/>
      <c r="Q16" s="1352"/>
      <c r="R16" s="705"/>
      <c r="S16" s="706"/>
      <c r="T16" s="705"/>
      <c r="U16" s="706"/>
      <c r="V16" s="705"/>
      <c r="W16" s="706"/>
      <c r="X16" s="1355"/>
      <c r="Y16" s="3717"/>
      <c r="Z16" s="1356"/>
      <c r="AA16" s="1353">
        <v>1</v>
      </c>
      <c r="AB16" s="1353">
        <v>1</v>
      </c>
      <c r="AC16" s="1353">
        <v>1</v>
      </c>
    </row>
    <row r="17" spans="1:29" ht="15">
      <c r="A17" s="379"/>
      <c r="B17" s="402" t="s">
        <v>1761</v>
      </c>
      <c r="C17" s="1955" t="str">
        <f>估价对象房地状况!C16</f>
        <v>一般</v>
      </c>
      <c r="D17" s="401">
        <v>100</v>
      </c>
      <c r="E17" s="3471" t="s">
        <v>3473</v>
      </c>
      <c r="F17" s="401">
        <f>SUMIF(89:89,E18,90:90)-SUMIF(89:89,C18,90:90)+100</f>
        <v>105</v>
      </c>
      <c r="G17" s="3471" t="s">
        <v>3473</v>
      </c>
      <c r="H17" s="406">
        <f>SUMIF(89:89,G18,90:90)-SUMIF(89:89,C18,90:90)+100</f>
        <v>105</v>
      </c>
      <c r="I17" s="3471" t="s">
        <v>3473</v>
      </c>
      <c r="J17" s="406">
        <f>SUMIF(89:89,I18,90:90)-SUMIF(89:89,C18,90:90)+100</f>
        <v>105</v>
      </c>
      <c r="K17" s="621">
        <f>'比较法-办公'!K15</f>
        <v>5</v>
      </c>
      <c r="L17" s="2698"/>
      <c r="M17" s="2692"/>
      <c r="N17" s="2692"/>
      <c r="O17" s="2750"/>
      <c r="P17" s="3717"/>
      <c r="Q17" s="1352" t="str">
        <f>B17</f>
        <v>商业繁华度</v>
      </c>
      <c r="R17" s="705" t="s">
        <v>14</v>
      </c>
      <c r="S17" s="706">
        <f>F17</f>
        <v>105</v>
      </c>
      <c r="T17" s="705" t="s">
        <v>14</v>
      </c>
      <c r="U17" s="706">
        <f>H17</f>
        <v>105</v>
      </c>
      <c r="V17" s="705" t="s">
        <v>14</v>
      </c>
      <c r="W17" s="706">
        <f>J17</f>
        <v>105</v>
      </c>
      <c r="X17" s="1355"/>
      <c r="Y17" s="3717"/>
      <c r="Z17" s="1356" t="str">
        <f>Q17</f>
        <v>商业繁华度</v>
      </c>
      <c r="AA17" s="1353">
        <f t="shared" si="3"/>
        <v>0.95238095238095233</v>
      </c>
      <c r="AB17" s="1353">
        <f t="shared" si="4"/>
        <v>0.95238095238095233</v>
      </c>
      <c r="AC17" s="1353">
        <f t="shared" si="5"/>
        <v>0.95238095238095233</v>
      </c>
    </row>
    <row r="18" spans="1:29" ht="15">
      <c r="A18" s="379"/>
      <c r="B18" s="407"/>
      <c r="C18" s="1901" t="s">
        <v>3407</v>
      </c>
      <c r="D18" s="401"/>
      <c r="E18" s="1903" t="s">
        <v>3394</v>
      </c>
      <c r="F18" s="401"/>
      <c r="G18" s="1903" t="s">
        <v>3394</v>
      </c>
      <c r="H18" s="399"/>
      <c r="I18" s="1902" t="s">
        <v>3394</v>
      </c>
      <c r="J18" s="399"/>
      <c r="K18" s="620"/>
      <c r="L18" s="2698"/>
      <c r="M18" s="2692"/>
      <c r="N18" s="2692"/>
      <c r="O18" s="2750"/>
      <c r="P18" s="3717"/>
      <c r="Q18" s="1352"/>
      <c r="R18" s="705"/>
      <c r="S18" s="706"/>
      <c r="T18" s="705"/>
      <c r="U18" s="706"/>
      <c r="V18" s="705"/>
      <c r="W18" s="706"/>
      <c r="X18" s="1355"/>
      <c r="Y18" s="3717"/>
      <c r="Z18" s="1356"/>
      <c r="AA18" s="1353">
        <v>1</v>
      </c>
      <c r="AB18" s="1353">
        <v>1</v>
      </c>
      <c r="AC18" s="1353">
        <v>1</v>
      </c>
    </row>
    <row r="19" spans="1:29" ht="15">
      <c r="A19" s="379"/>
      <c r="B19" s="402" t="s">
        <v>1795</v>
      </c>
      <c r="C19" s="1955" t="str">
        <f>估价对象房地状况!C17</f>
        <v>较好</v>
      </c>
      <c r="D19" s="406">
        <v>100</v>
      </c>
      <c r="E19" s="408" t="s">
        <v>3394</v>
      </c>
      <c r="F19" s="406">
        <f>SUMIF(91:91,E20,92:92)-SUMIF(91:91,C20,92:92)+100</f>
        <v>100</v>
      </c>
      <c r="G19" s="3471" t="s">
        <v>3473</v>
      </c>
      <c r="H19" s="401">
        <f>SUMIF(91:91,G20,92:92)-SUMIF(91:91,C20,92:92)+100</f>
        <v>100</v>
      </c>
      <c r="I19" s="410" t="s">
        <v>3407</v>
      </c>
      <c r="J19" s="401">
        <f>SUMIF(91:91,I20,92:92)-SUMIF(91:91,C20,92:92)+100</f>
        <v>95</v>
      </c>
      <c r="K19" s="621">
        <f>K17</f>
        <v>5</v>
      </c>
      <c r="L19" s="2698"/>
      <c r="M19" s="2692"/>
      <c r="N19" s="2692"/>
      <c r="O19" s="2750"/>
      <c r="P19" s="3717"/>
      <c r="Q19" s="1352" t="str">
        <f>B19</f>
        <v>办公集聚程度</v>
      </c>
      <c r="R19" s="705" t="s">
        <v>14</v>
      </c>
      <c r="S19" s="706">
        <f>F19</f>
        <v>100</v>
      </c>
      <c r="T19" s="705" t="s">
        <v>14</v>
      </c>
      <c r="U19" s="706">
        <f>H19</f>
        <v>100</v>
      </c>
      <c r="V19" s="705" t="s">
        <v>14</v>
      </c>
      <c r="W19" s="706">
        <f>J19</f>
        <v>95</v>
      </c>
      <c r="X19" s="1355"/>
      <c r="Y19" s="3717"/>
      <c r="Z19" s="1356" t="str">
        <f>Q19</f>
        <v>办公集聚程度</v>
      </c>
      <c r="AA19" s="1353">
        <f t="shared" si="3"/>
        <v>1</v>
      </c>
      <c r="AB19" s="1353">
        <f t="shared" si="4"/>
        <v>1</v>
      </c>
      <c r="AC19" s="1353">
        <f t="shared" si="5"/>
        <v>1.0526315789473684</v>
      </c>
    </row>
    <row r="20" spans="1:29" ht="15">
      <c r="A20" s="379"/>
      <c r="B20" s="407"/>
      <c r="C20" s="1901" t="s">
        <v>3394</v>
      </c>
      <c r="D20" s="399"/>
      <c r="E20" s="1898" t="s">
        <v>3394</v>
      </c>
      <c r="F20" s="399"/>
      <c r="G20" s="1903" t="s">
        <v>3394</v>
      </c>
      <c r="H20" s="399"/>
      <c r="I20" s="1897" t="s">
        <v>3407</v>
      </c>
      <c r="J20" s="399"/>
      <c r="K20" s="620"/>
      <c r="L20" s="2698"/>
      <c r="M20" s="2692"/>
      <c r="N20" s="2692"/>
      <c r="O20" s="2750"/>
      <c r="P20" s="3717"/>
      <c r="Q20" s="1352"/>
      <c r="R20" s="705"/>
      <c r="S20" s="706"/>
      <c r="T20" s="705"/>
      <c r="U20" s="706"/>
      <c r="V20" s="705"/>
      <c r="W20" s="706"/>
      <c r="X20" s="1355"/>
      <c r="Y20" s="3717"/>
      <c r="Z20" s="1356"/>
      <c r="AA20" s="1353">
        <v>1</v>
      </c>
      <c r="AB20" s="1353">
        <v>1</v>
      </c>
      <c r="AC20" s="1353">
        <v>1</v>
      </c>
    </row>
    <row r="21" spans="1:29" ht="15">
      <c r="A21" s="379"/>
      <c r="B21" s="402" t="s">
        <v>1817</v>
      </c>
      <c r="C21" s="1900" t="str">
        <f>估价对象房地状况!C18</f>
        <v>较好</v>
      </c>
      <c r="D21" s="401">
        <v>100</v>
      </c>
      <c r="E21" s="403" t="s">
        <v>3394</v>
      </c>
      <c r="F21" s="406">
        <f>SUMIF(93:93,E22,94:94)-SUMIF(93:93,C22,94:94)+100</f>
        <v>100</v>
      </c>
      <c r="G21" s="403" t="s">
        <v>3394</v>
      </c>
      <c r="H21" s="401">
        <f>SUMIF(93:93,G22,94:94)-SUMIF(93:93,C22,94:94)+100</f>
        <v>100</v>
      </c>
      <c r="I21" s="3472" t="s">
        <v>3474</v>
      </c>
      <c r="J21" s="401">
        <f>SUMIF(93:93,I22,94:94)-SUMIF(93:93,C22,94:94)+100</f>
        <v>100</v>
      </c>
      <c r="K21" s="621">
        <v>2</v>
      </c>
      <c r="L21" s="2698"/>
      <c r="M21" s="2692"/>
      <c r="N21" s="2692"/>
      <c r="O21" s="2750"/>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t="s">
        <v>3394</v>
      </c>
      <c r="D22" s="401"/>
      <c r="E22" s="1898" t="s">
        <v>3394</v>
      </c>
      <c r="F22" s="399"/>
      <c r="G22" s="1898" t="s">
        <v>3394</v>
      </c>
      <c r="H22" s="399"/>
      <c r="I22" s="1897" t="s">
        <v>3394</v>
      </c>
      <c r="J22" s="399"/>
      <c r="K22" s="620"/>
      <c r="L22" s="2698"/>
      <c r="M22" s="2692"/>
      <c r="N22" s="2692"/>
      <c r="O22" s="2750"/>
      <c r="P22" s="3717"/>
      <c r="Q22" s="1352"/>
      <c r="R22" s="705"/>
      <c r="S22" s="706"/>
      <c r="T22" s="705"/>
      <c r="U22" s="706"/>
      <c r="V22" s="705"/>
      <c r="W22" s="706"/>
      <c r="X22" s="1355"/>
      <c r="Y22" s="3717"/>
      <c r="Z22" s="1356"/>
      <c r="AA22" s="1353">
        <v>1</v>
      </c>
      <c r="AB22" s="1353">
        <v>1</v>
      </c>
      <c r="AC22" s="1353">
        <v>1</v>
      </c>
    </row>
    <row r="23" spans="1:29" ht="15">
      <c r="A23" s="358"/>
      <c r="B23" s="402" t="s">
        <v>1855</v>
      </c>
      <c r="C23" s="1136">
        <f>估价对象房地状况!C19</f>
        <v>0</v>
      </c>
      <c r="D23" s="406">
        <v>100</v>
      </c>
      <c r="E23" s="403" t="s">
        <v>3394</v>
      </c>
      <c r="F23" s="406">
        <f>SUMIF(95:95,E24,96:96)-SUMIF(95:95,C24,96:96)+100</f>
        <v>100</v>
      </c>
      <c r="G23" s="405" t="s">
        <v>3394</v>
      </c>
      <c r="H23" s="406">
        <f>SUMIF(95:95,G24,96:96)-SUMIF(95:95,C24,96:96)+100</f>
        <v>100</v>
      </c>
      <c r="I23" s="405" t="s">
        <v>3394</v>
      </c>
      <c r="J23" s="406">
        <f>SUMIF(95:95,I24,96:96)-SUMIF(95:95,C24,96:96)+100</f>
        <v>100</v>
      </c>
      <c r="K23" s="621">
        <v>2</v>
      </c>
      <c r="L23" s="2698"/>
      <c r="M23" s="2692"/>
      <c r="N23" s="2692"/>
      <c r="O23" s="2750"/>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398" t="s">
        <v>3394</v>
      </c>
      <c r="D24" s="399"/>
      <c r="E24" s="1898" t="s">
        <v>3394</v>
      </c>
      <c r="F24" s="399"/>
      <c r="G24" s="1897" t="s">
        <v>3394</v>
      </c>
      <c r="H24" s="399"/>
      <c r="I24" s="1897" t="s">
        <v>3394</v>
      </c>
      <c r="J24" s="399"/>
      <c r="K24" s="740"/>
      <c r="L24" s="2698"/>
      <c r="M24" s="2692"/>
      <c r="N24" s="2692"/>
      <c r="O24" s="2750"/>
      <c r="P24" s="3717"/>
      <c r="Q24" s="1352"/>
      <c r="R24" s="705"/>
      <c r="S24" s="706"/>
      <c r="T24" s="705"/>
      <c r="U24" s="706"/>
      <c r="V24" s="705"/>
      <c r="W24" s="706"/>
      <c r="X24" s="1355"/>
      <c r="Y24" s="3717"/>
      <c r="Z24" s="1356"/>
      <c r="AA24" s="1353"/>
      <c r="AB24" s="1353"/>
      <c r="AC24" s="1353"/>
    </row>
    <row r="25" spans="1:29" ht="27">
      <c r="A25" s="358"/>
      <c r="B25" s="1131" t="s">
        <v>1856</v>
      </c>
      <c r="C25" s="1955" t="str">
        <f>估价对象房地状况!C20</f>
        <v>较好</v>
      </c>
      <c r="D25" s="401">
        <v>100</v>
      </c>
      <c r="E25" s="405" t="s">
        <v>3394</v>
      </c>
      <c r="F25" s="401">
        <f>SUMIF(97:97,E26,98:98)-SUMIF(97:97,C26,98:98)+100</f>
        <v>100</v>
      </c>
      <c r="G25" s="405" t="s">
        <v>3394</v>
      </c>
      <c r="H25" s="401">
        <f>SUMIF(97:97,G26,98:98)-SUMIF(97:97,C26,98:98)+100</f>
        <v>100</v>
      </c>
      <c r="I25" s="405" t="s">
        <v>3394</v>
      </c>
      <c r="J25" s="401">
        <f>SUMIF(97:97,I26,98:98)-SUMIF(97:97,C26,98:98)+100</f>
        <v>100</v>
      </c>
      <c r="K25" s="621">
        <v>2</v>
      </c>
      <c r="L25" s="2698"/>
      <c r="M25" s="2692"/>
      <c r="N25" s="2692"/>
      <c r="O25" s="2750"/>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t="s">
        <v>3394</v>
      </c>
      <c r="D26" s="399"/>
      <c r="E26" s="1904" t="s">
        <v>3394</v>
      </c>
      <c r="F26" s="399"/>
      <c r="G26" s="1904" t="s">
        <v>3394</v>
      </c>
      <c r="H26" s="399"/>
      <c r="I26" s="398" t="s">
        <v>3394</v>
      </c>
      <c r="J26" s="399"/>
      <c r="K26" s="620"/>
      <c r="L26" s="2698"/>
      <c r="M26" s="2692"/>
      <c r="N26" s="2692"/>
      <c r="O26" s="2750"/>
      <c r="P26" s="3717"/>
      <c r="Q26" s="1352"/>
      <c r="R26" s="705"/>
      <c r="S26" s="706"/>
      <c r="T26" s="705"/>
      <c r="U26" s="706"/>
      <c r="V26" s="705"/>
      <c r="W26" s="706"/>
      <c r="X26" s="1355"/>
      <c r="Y26" s="3717"/>
      <c r="Z26" s="1356"/>
      <c r="AA26" s="1353">
        <v>1</v>
      </c>
      <c r="AB26" s="1353">
        <v>1</v>
      </c>
      <c r="AC26" s="1353">
        <v>1</v>
      </c>
    </row>
    <row r="27" spans="1:29" s="108" customFormat="1" ht="15">
      <c r="A27" s="597"/>
      <c r="B27" s="1131" t="s">
        <v>1762</v>
      </c>
      <c r="C27" s="1900" t="str">
        <f>估价对象房地状况!C21</f>
        <v>较好</v>
      </c>
      <c r="D27" s="401">
        <v>100</v>
      </c>
      <c r="E27" s="405" t="s">
        <v>3394</v>
      </c>
      <c r="F27" s="401">
        <f>SUMIF(99:99,E28,100:100)-SUMIF(99:99,C28,100:100)+100</f>
        <v>100</v>
      </c>
      <c r="G27" s="405" t="s">
        <v>3394</v>
      </c>
      <c r="H27" s="401">
        <f>SUMIF(99:99,G28,100:100)-SUMIF(99:99,C28,100:100)+100</f>
        <v>100</v>
      </c>
      <c r="I27" s="405" t="s">
        <v>3394</v>
      </c>
      <c r="J27" s="401">
        <f>SUMIF(99:99,I28,100:100)-SUMIF(99:99,C28,100:100)+100</f>
        <v>100</v>
      </c>
      <c r="K27" s="621">
        <v>2</v>
      </c>
      <c r="L27" s="2693"/>
      <c r="M27" s="2694"/>
      <c r="N27" s="2694"/>
      <c r="O27" s="2748"/>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398" t="s">
        <v>3394</v>
      </c>
      <c r="D28" s="399"/>
      <c r="E28" s="1904" t="s">
        <v>3394</v>
      </c>
      <c r="F28" s="399"/>
      <c r="G28" s="1904" t="s">
        <v>3394</v>
      </c>
      <c r="H28" s="399"/>
      <c r="I28" s="398" t="s">
        <v>3394</v>
      </c>
      <c r="J28" s="399"/>
      <c r="K28" s="620"/>
      <c r="L28" s="2693"/>
      <c r="M28" s="2694"/>
      <c r="N28" s="2694"/>
      <c r="O28" s="2748"/>
      <c r="P28" s="3717"/>
      <c r="Q28" s="1343"/>
      <c r="R28" s="701"/>
      <c r="S28" s="702"/>
      <c r="T28" s="701"/>
      <c r="U28" s="702"/>
      <c r="V28" s="701"/>
      <c r="W28" s="702"/>
      <c r="X28" s="703"/>
      <c r="Y28" s="3717"/>
      <c r="Z28" s="52"/>
      <c r="AA28" s="1353">
        <v>1</v>
      </c>
      <c r="AB28" s="1353">
        <v>1</v>
      </c>
      <c r="AC28" s="1353">
        <v>1</v>
      </c>
    </row>
    <row r="29" spans="1:29" s="108" customFormat="1" ht="15">
      <c r="A29" s="597"/>
      <c r="B29" s="1131" t="s">
        <v>1763</v>
      </c>
      <c r="C29" s="1900" t="str">
        <f>估价对象房地状况!C22</f>
        <v>七通</v>
      </c>
      <c r="D29" s="401">
        <v>100</v>
      </c>
      <c r="E29" s="403" t="s">
        <v>3401</v>
      </c>
      <c r="F29" s="401">
        <f>SUMIF(101:101,E30,102:102)-SUMIF(101:101,C30,102:102)+100</f>
        <v>100</v>
      </c>
      <c r="G29" s="403" t="s">
        <v>3401</v>
      </c>
      <c r="H29" s="401">
        <f>SUMIF(101:101,G30,102:102)-SUMIF(101:101,C30,102:102)+100</f>
        <v>100</v>
      </c>
      <c r="I29" s="405" t="s">
        <v>3401</v>
      </c>
      <c r="J29" s="401">
        <f>SUMIF(101:101,I30,102:102)-SUMIF(101:101,C30,102:102)+100</f>
        <v>100</v>
      </c>
      <c r="K29" s="621">
        <v>2</v>
      </c>
      <c r="L29" s="2693"/>
      <c r="M29" s="2694"/>
      <c r="N29" s="2694"/>
      <c r="O29" s="2748"/>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75" thickBot="1">
      <c r="A30" s="597"/>
      <c r="B30" s="407"/>
      <c r="C30" s="1978" t="s">
        <v>3401</v>
      </c>
      <c r="D30" s="399"/>
      <c r="E30" s="1979" t="s">
        <v>3401</v>
      </c>
      <c r="F30" s="399"/>
      <c r="G30" s="1979" t="s">
        <v>3401</v>
      </c>
      <c r="H30" s="399"/>
      <c r="I30" s="1979" t="s">
        <v>3401</v>
      </c>
      <c r="J30" s="399"/>
      <c r="K30" s="620"/>
      <c r="L30" s="2693"/>
      <c r="M30" s="2694"/>
      <c r="N30" s="2694"/>
      <c r="O30" s="2748"/>
      <c r="P30" s="3717"/>
      <c r="Q30" s="1343"/>
      <c r="R30" s="701"/>
      <c r="S30" s="702"/>
      <c r="T30" s="701"/>
      <c r="U30" s="702"/>
      <c r="V30" s="701"/>
      <c r="W30" s="702"/>
      <c r="X30" s="703"/>
      <c r="Y30" s="3717"/>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698"/>
      <c r="M33" s="2692"/>
      <c r="N33" s="2692"/>
      <c r="O33" s="2750"/>
      <c r="P33" s="3717"/>
      <c r="Q33" s="1352"/>
      <c r="R33" s="705"/>
      <c r="S33" s="706"/>
      <c r="T33" s="705"/>
      <c r="U33" s="706"/>
      <c r="V33" s="705"/>
      <c r="W33" s="706"/>
      <c r="X33" s="1355"/>
      <c r="Y33" s="3717"/>
      <c r="Z33" s="1356"/>
      <c r="AA33" s="1353">
        <v>1</v>
      </c>
      <c r="AB33" s="1353">
        <v>1</v>
      </c>
      <c r="AC33" s="1353">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72" t="s">
        <v>1680</v>
      </c>
      <c r="Q36" s="1352">
        <f t="shared" si="8"/>
        <v>111</v>
      </c>
      <c r="R36" s="705" t="s">
        <v>14</v>
      </c>
      <c r="S36" s="706">
        <f t="shared" si="10"/>
        <v>100</v>
      </c>
      <c r="T36" s="705" t="s">
        <v>14</v>
      </c>
      <c r="U36" s="706">
        <f t="shared" si="11"/>
        <v>100</v>
      </c>
      <c r="V36" s="705" t="s">
        <v>14</v>
      </c>
      <c r="W36" s="706">
        <f t="shared" si="12"/>
        <v>100</v>
      </c>
      <c r="X36" s="1355"/>
      <c r="Y36" s="3721"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1678</v>
      </c>
      <c r="B38" s="407" t="s">
        <v>1858</v>
      </c>
      <c r="C38" s="627">
        <v>11628.21</v>
      </c>
      <c r="D38" s="418">
        <v>100</v>
      </c>
      <c r="E38" s="627">
        <f>土地案例!I2</f>
        <v>10610.35</v>
      </c>
      <c r="F38" s="418">
        <f>LOOKUP(E38,116:116,117:117)-LOOKUP(C38,116:116,117:117)+100</f>
        <v>100</v>
      </c>
      <c r="G38" s="627">
        <v>67829.210000000006</v>
      </c>
      <c r="H38" s="418">
        <f>LOOKUP(G38,116:116,117:117)-LOOKUP(C38,116:116,117:117)+100</f>
        <v>102</v>
      </c>
      <c r="I38" s="479">
        <v>62796.800000000003</v>
      </c>
      <c r="J38" s="418">
        <f>LOOKUP(I38,116:116,117:117)-LOOKUP(C38,116:116,117:117)+100</f>
        <v>102</v>
      </c>
      <c r="K38" s="562"/>
      <c r="L38" s="2698"/>
      <c r="M38" s="2692"/>
      <c r="N38" s="2692"/>
      <c r="O38" s="2750"/>
      <c r="P38" s="3721"/>
      <c r="Q38" s="1352" t="str">
        <f>B38</f>
        <v>宗地面积</v>
      </c>
      <c r="R38" s="705" t="s">
        <v>14</v>
      </c>
      <c r="S38" s="706">
        <f t="shared" si="10"/>
        <v>100</v>
      </c>
      <c r="T38" s="705" t="s">
        <v>14</v>
      </c>
      <c r="U38" s="706">
        <f t="shared" si="11"/>
        <v>102</v>
      </c>
      <c r="V38" s="705" t="s">
        <v>14</v>
      </c>
      <c r="W38" s="706">
        <f t="shared" si="12"/>
        <v>102</v>
      </c>
      <c r="X38" s="1355"/>
      <c r="Y38" s="3721"/>
      <c r="Z38" s="1356" t="str">
        <f t="shared" si="13"/>
        <v>宗地面积</v>
      </c>
      <c r="AA38" s="1353">
        <f t="shared" si="3"/>
        <v>1</v>
      </c>
      <c r="AB38" s="1353">
        <f t="shared" si="4"/>
        <v>0.98039215686274506</v>
      </c>
      <c r="AC38" s="1353">
        <f t="shared" si="5"/>
        <v>0.98039215686274506</v>
      </c>
    </row>
    <row r="39" spans="1:29" ht="15">
      <c r="A39" s="423"/>
      <c r="B39" s="375" t="s">
        <v>1859</v>
      </c>
      <c r="C39" s="1906" t="s">
        <v>3466</v>
      </c>
      <c r="D39" s="386">
        <v>100</v>
      </c>
      <c r="E39" s="1906" t="s">
        <v>3466</v>
      </c>
      <c r="F39" s="386">
        <f>SUMIF(118:118,E39,119:119)-SUMIF(118:118,C39,119:119)+100</f>
        <v>100</v>
      </c>
      <c r="G39" s="1906" t="s">
        <v>3466</v>
      </c>
      <c r="H39" s="386">
        <f>SUMIF(118:118,G39,119:119)-SUMIF(118:118,C39,119:119)+100</f>
        <v>100</v>
      </c>
      <c r="I39" s="1906" t="s">
        <v>3466</v>
      </c>
      <c r="J39" s="386">
        <f>SUMIF(118:118,I39,119:119)-SUMIF(118:118,C39,119:119)+100</f>
        <v>100</v>
      </c>
      <c r="K39" s="561">
        <v>2</v>
      </c>
      <c r="L39" s="2698"/>
      <c r="M39" s="2692"/>
      <c r="N39" s="2692"/>
      <c r="O39" s="2750"/>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1860</v>
      </c>
      <c r="C40" s="1906" t="s">
        <v>3467</v>
      </c>
      <c r="D40" s="386">
        <v>100</v>
      </c>
      <c r="E40" s="1906" t="s">
        <v>3467</v>
      </c>
      <c r="F40" s="386">
        <f>SUMIF(120:120,E40,121:121)-SUMIF(120:120,C40,121:121)+100</f>
        <v>100</v>
      </c>
      <c r="G40" s="1906" t="s">
        <v>3467</v>
      </c>
      <c r="H40" s="386">
        <f>SUMIF(120:120,G40,121:121)-SUMIF(120:120,C40,121:121)+100</f>
        <v>100</v>
      </c>
      <c r="I40" s="1906" t="s">
        <v>3467</v>
      </c>
      <c r="J40" s="386">
        <f>SUMIF(120:120,I40,121:121)-SUMIF(120:120,C40,121:121)+100</f>
        <v>100</v>
      </c>
      <c r="K40" s="561">
        <v>2</v>
      </c>
      <c r="L40" s="2698"/>
      <c r="M40" s="2692"/>
      <c r="N40" s="2692"/>
      <c r="O40" s="2750"/>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1861</v>
      </c>
      <c r="C41" s="1980" t="s">
        <v>3475</v>
      </c>
      <c r="D41" s="127">
        <v>100</v>
      </c>
      <c r="E41" s="1980" t="s">
        <v>3469</v>
      </c>
      <c r="F41" s="386">
        <f>SUMIF(122:122,E41,123:123)-SUMIF(122:122,C41,123:123)+100</f>
        <v>94</v>
      </c>
      <c r="G41" s="1980" t="s">
        <v>3469</v>
      </c>
      <c r="H41" s="386">
        <f>SUMIF(122:122,G41,123:123)-SUMIF(122:122,C41,123:123)+100</f>
        <v>94</v>
      </c>
      <c r="I41" s="1980" t="s">
        <v>3469</v>
      </c>
      <c r="J41" s="386">
        <f>SUMIF(122:122,I41,123:123)-SUMIF(122:122,C41,123:123)+100</f>
        <v>94</v>
      </c>
      <c r="K41" s="561">
        <v>2</v>
      </c>
      <c r="L41" s="2693"/>
      <c r="M41" s="2694"/>
      <c r="N41" s="2694"/>
      <c r="O41" s="2748"/>
      <c r="P41" s="3721"/>
      <c r="Q41" s="1352" t="str">
        <f t="shared" si="14"/>
        <v>宗地开发程度</v>
      </c>
      <c r="R41" s="701" t="s">
        <v>14</v>
      </c>
      <c r="S41" s="702">
        <f t="shared" si="10"/>
        <v>94</v>
      </c>
      <c r="T41" s="701" t="s">
        <v>14</v>
      </c>
      <c r="U41" s="702">
        <f t="shared" si="11"/>
        <v>94</v>
      </c>
      <c r="V41" s="701" t="s">
        <v>14</v>
      </c>
      <c r="W41" s="702">
        <f t="shared" si="12"/>
        <v>94</v>
      </c>
      <c r="X41" s="703"/>
      <c r="Y41" s="3721"/>
      <c r="Z41" s="52" t="str">
        <f t="shared" si="13"/>
        <v>宗地开发程度</v>
      </c>
      <c r="AA41" s="704">
        <f t="shared" si="3"/>
        <v>1.0638297872340425</v>
      </c>
      <c r="AB41" s="704">
        <f t="shared" si="4"/>
        <v>1.0638297872340425</v>
      </c>
      <c r="AC41" s="704">
        <f t="shared" si="5"/>
        <v>1.0638297872340425</v>
      </c>
    </row>
    <row r="42" spans="1:29" ht="15.75" thickBot="1">
      <c r="A42" s="423"/>
      <c r="B42" s="375" t="s">
        <v>1862</v>
      </c>
      <c r="C42" s="1906" t="s">
        <v>3394</v>
      </c>
      <c r="D42" s="386">
        <v>100</v>
      </c>
      <c r="E42" s="1906" t="s">
        <v>3394</v>
      </c>
      <c r="F42" s="386">
        <f>SUMIF(124:124,E42,125:125)-SUMIF(124:124,C42,125:125)+100</f>
        <v>100</v>
      </c>
      <c r="G42" s="1906" t="s">
        <v>3394</v>
      </c>
      <c r="H42" s="386">
        <f>SUMIF(124:124,G42,125:125)-SUMIF(124:124,C42,125:125)+100</f>
        <v>100</v>
      </c>
      <c r="I42" s="1906" t="s">
        <v>3394</v>
      </c>
      <c r="J42" s="386">
        <f>SUMIF(124:124,I42,125:125)-SUMIF(124:124,C42,125:125)+100</f>
        <v>100</v>
      </c>
      <c r="K42" s="561">
        <v>2</v>
      </c>
      <c r="L42" s="2698"/>
      <c r="M42" s="2692"/>
      <c r="N42" s="2692"/>
      <c r="O42" s="2750"/>
      <c r="P42" s="3721" t="s">
        <v>1680</v>
      </c>
      <c r="Q42" s="1352" t="str">
        <f t="shared" si="14"/>
        <v>工程地质条件</v>
      </c>
      <c r="R42" s="705" t="s">
        <v>14</v>
      </c>
      <c r="S42" s="706">
        <f t="shared" si="10"/>
        <v>100</v>
      </c>
      <c r="T42" s="705" t="s">
        <v>14</v>
      </c>
      <c r="U42" s="706">
        <f t="shared" si="11"/>
        <v>100</v>
      </c>
      <c r="V42" s="705" t="s">
        <v>14</v>
      </c>
      <c r="W42" s="706">
        <f t="shared" si="12"/>
        <v>100</v>
      </c>
      <c r="X42" s="1355"/>
      <c r="Y42" s="3721" t="s">
        <v>1680</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1828</v>
      </c>
      <c r="B46" s="1982" t="s">
        <v>1863</v>
      </c>
      <c r="C46" s="630" t="s">
        <v>0</v>
      </c>
      <c r="D46" s="432"/>
      <c r="E46" s="433">
        <f>土地案例!AP2</f>
        <v>28065</v>
      </c>
      <c r="F46" s="434"/>
      <c r="G46" s="435">
        <v>22811</v>
      </c>
      <c r="H46" s="436"/>
      <c r="I46" s="433">
        <v>23078</v>
      </c>
      <c r="J46" s="436"/>
      <c r="K46" s="714"/>
      <c r="L46" s="2700"/>
      <c r="M46" s="2701"/>
      <c r="N46" s="2692"/>
      <c r="O46" s="2701"/>
      <c r="P46" s="3709" t="str">
        <f>A46</f>
        <v>成交单价</v>
      </c>
      <c r="Q46" s="3709"/>
      <c r="R46" s="3743">
        <f>E46</f>
        <v>28065</v>
      </c>
      <c r="S46" s="3743"/>
      <c r="T46" s="3743">
        <f>G46</f>
        <v>22811</v>
      </c>
      <c r="U46" s="3743"/>
      <c r="V46" s="3743">
        <f>I46</f>
        <v>23078</v>
      </c>
      <c r="W46" s="3743"/>
      <c r="X46" s="690"/>
      <c r="Y46" s="712"/>
      <c r="Z46" s="690"/>
      <c r="AA46" s="690"/>
      <c r="AB46" s="690"/>
      <c r="AC46" s="690"/>
    </row>
    <row r="47" spans="1:29" ht="15.75" thickBot="1">
      <c r="A47" s="437" t="s">
        <v>1777</v>
      </c>
      <c r="B47" s="631"/>
      <c r="C47" s="440">
        <f>R48</f>
        <v>17534</v>
      </c>
      <c r="D47" s="2317" t="s">
        <v>2122</v>
      </c>
      <c r="E47" s="440">
        <f>R47</f>
        <v>19884</v>
      </c>
      <c r="F47" s="2318"/>
      <c r="G47" s="439">
        <f>T47</f>
        <v>15845</v>
      </c>
      <c r="H47" s="2318"/>
      <c r="I47" s="440">
        <f>V47</f>
        <v>16874</v>
      </c>
      <c r="J47" s="2318"/>
      <c r="K47" s="2320">
        <f>F47+H47+J47</f>
        <v>0</v>
      </c>
      <c r="L47" s="2700"/>
      <c r="M47" s="2701"/>
      <c r="N47" s="2701"/>
      <c r="O47" s="2701"/>
      <c r="P47" s="3709" t="str">
        <f>A47</f>
        <v>比较价值（元/平方米）</v>
      </c>
      <c r="Q47" s="3709"/>
      <c r="R47" s="3780">
        <f>ROUND(PRODUCT(R46,AA7:AA45),0)</f>
        <v>19884</v>
      </c>
      <c r="S47" s="3780"/>
      <c r="T47" s="3780">
        <f>ROUND(PRODUCT(T46,AB7:AB45),0)</f>
        <v>15845</v>
      </c>
      <c r="U47" s="3780"/>
      <c r="V47" s="3780">
        <f>ROUND(PRODUCT(V46,AC7:AC45),0)</f>
        <v>16874</v>
      </c>
      <c r="W47" s="3780"/>
      <c r="X47" s="690"/>
      <c r="Y47" s="690"/>
      <c r="Z47" s="690"/>
      <c r="AA47" s="690"/>
      <c r="AB47" s="690"/>
      <c r="AC47" s="690"/>
    </row>
    <row r="48" spans="1:29" ht="15.75" thickBot="1">
      <c r="A48" s="441" t="s">
        <v>1864</v>
      </c>
      <c r="B48" s="442"/>
      <c r="C48" s="443">
        <f>R48</f>
        <v>17534</v>
      </c>
      <c r="D48" s="443"/>
      <c r="E48" s="443"/>
      <c r="F48" s="443"/>
      <c r="G48" s="443"/>
      <c r="H48" s="443"/>
      <c r="I48" s="443"/>
      <c r="J48" s="443"/>
      <c r="K48" s="715"/>
      <c r="L48" s="2700"/>
      <c r="M48" s="2701"/>
      <c r="N48" s="2701"/>
      <c r="O48" s="2701"/>
      <c r="P48" s="3762" t="str">
        <f>A48</f>
        <v>估价对象XX用房的比较价值（楼面单价，元/平方米）</v>
      </c>
      <c r="Q48" s="3763"/>
      <c r="R48" s="3779">
        <f>ROUND(IF(D47="简单平均",AVERAGE(R47:W47),R47*F47+T47*H47+V47*J47),0)</f>
        <v>17534</v>
      </c>
      <c r="S48" s="3779"/>
      <c r="T48" s="3779"/>
      <c r="U48" s="3779"/>
      <c r="V48" s="3779"/>
      <c r="W48" s="3779"/>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f>IF(E46&lt;E47,E47/E46-1,E46/E47-1)</f>
        <v>0.41143633071816543</v>
      </c>
      <c r="F51" s="449" t="str">
        <f>IF(OR(E51&gt;=0.3,E51&lt;=-0.3),"超过30%","")</f>
        <v>超过30%</v>
      </c>
      <c r="G51" s="448">
        <f>IF(G46&lt;G47,G47/G46-1,G46/G47-1)</f>
        <v>0.43963395392868421</v>
      </c>
      <c r="H51" s="449" t="str">
        <f>IF(OR(G51&gt;=0.3,G51&lt;=-0.3),"超过30%","")</f>
        <v>超过30%</v>
      </c>
      <c r="I51" s="448">
        <f>IF(I46&lt;I47,I47/I46-1,I46/I47-1)</f>
        <v>0.36766623207301175</v>
      </c>
      <c r="J51" s="449" t="str">
        <f>IF(OR(I51&gt;=0.3,I51&lt;=-0.3),"超过30%","")</f>
        <v>超过30%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f>IF(E47&lt;G47,G47/E47-1,E47/G47-1)</f>
        <v>0.25490691069738092</v>
      </c>
      <c r="F52" s="449" t="str">
        <f>IF(OR(E52&gt;=0.2,E52&lt;=-0.2),"超过20%","")</f>
        <v>超过20%</v>
      </c>
      <c r="G52" s="448">
        <f>IF(G47&lt;I47,I47/G47-1,G47/I47-1)</f>
        <v>6.4941621962764318E-2</v>
      </c>
      <c r="H52" s="449" t="str">
        <f>IF(OR(G52&gt;=0.2,G52&lt;=-0.2),"超过20%","")</f>
        <v/>
      </c>
      <c r="I52" s="448">
        <f>IF(I47&lt;E47,E47/I47-1,I47/E47-1)</f>
        <v>0.17838094109280545</v>
      </c>
      <c r="J52" s="449" t="str">
        <f>IF(OR(I52&gt;=0.2,I52&lt;=-0.2),"超过20%","")</f>
        <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3" t="s">
        <v>1867</v>
      </c>
      <c r="D55" s="1984" t="s">
        <v>1868</v>
      </c>
      <c r="E55" s="634" t="s">
        <v>1869</v>
      </c>
      <c r="F55" s="890" t="s">
        <v>1870</v>
      </c>
      <c r="G55" s="3726" t="s">
        <v>1871</v>
      </c>
      <c r="H55" s="3774"/>
      <c r="I55" s="135" t="s">
        <v>1872</v>
      </c>
      <c r="J55" s="1985">
        <f>项目基本情况!F35</f>
        <v>0</v>
      </c>
      <c r="K55" s="1986"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f>C48</f>
        <v>17534</v>
      </c>
      <c r="C56" s="638">
        <v>1</v>
      </c>
      <c r="D56" s="944">
        <v>1</v>
      </c>
      <c r="E56" s="638">
        <f>'数据-汇总表'!E8+'数据-汇总表'!E9</f>
        <v>13128.449999999992</v>
      </c>
      <c r="F56" s="886">
        <f t="shared" ref="F56:F64" si="15">ROUND(B56*E56/10000,0)</f>
        <v>23019</v>
      </c>
      <c r="G56" s="3708"/>
      <c r="H56" s="3709"/>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f>ROUND($C$48*C57*D57,0)</f>
        <v>2630</v>
      </c>
      <c r="C57" s="171">
        <f t="shared" ref="C57:C64" si="16">IF($C$55="北京市系数",I57,J57)</f>
        <v>0.6</v>
      </c>
      <c r="D57" s="945">
        <v>0.25</v>
      </c>
      <c r="E57" s="642"/>
      <c r="F57" s="886">
        <f t="shared" si="15"/>
        <v>0</v>
      </c>
      <c r="G57" s="2982" t="s">
        <v>1876</v>
      </c>
      <c r="H57" s="887" t="str">
        <f>项目基本情况!B37</f>
        <v>三级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f t="shared" ref="B58:B64" si="17">ROUND($C$48*C58*D58,0)</f>
        <v>1315</v>
      </c>
      <c r="C58" s="171">
        <f t="shared" si="16"/>
        <v>0.3</v>
      </c>
      <c r="D58" s="945">
        <v>0.25</v>
      </c>
      <c r="E58" s="642"/>
      <c r="F58" s="886">
        <f t="shared" si="15"/>
        <v>0</v>
      </c>
      <c r="G58" s="2983"/>
      <c r="H58" s="887" t="str">
        <f>项目基本情况!B37</f>
        <v>三级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f t="shared" si="17"/>
        <v>1096</v>
      </c>
      <c r="C59" s="171">
        <f t="shared" si="16"/>
        <v>0.25</v>
      </c>
      <c r="D59" s="945">
        <v>0.25</v>
      </c>
      <c r="E59" s="642"/>
      <c r="F59" s="886">
        <f t="shared" si="15"/>
        <v>0</v>
      </c>
      <c r="G59" s="2983"/>
      <c r="H59" s="887" t="str">
        <f>项目基本情况!B37</f>
        <v>三级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f t="shared" si="17"/>
        <v>1096</v>
      </c>
      <c r="C60" s="171">
        <f t="shared" si="16"/>
        <v>0.25</v>
      </c>
      <c r="D60" s="945">
        <v>0.25</v>
      </c>
      <c r="E60" s="217">
        <f>'数据-汇总表'!E11</f>
        <v>0</v>
      </c>
      <c r="F60" s="886">
        <f t="shared" si="15"/>
        <v>0</v>
      </c>
      <c r="G60" s="1987" t="s">
        <v>1880</v>
      </c>
      <c r="H60" s="887" t="str">
        <f>项目基本情况!C37</f>
        <v>三级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f t="shared" si="17"/>
        <v>1096</v>
      </c>
      <c r="C61" s="171">
        <f t="shared" si="16"/>
        <v>0.25</v>
      </c>
      <c r="D61" s="945">
        <v>0.25</v>
      </c>
      <c r="E61" s="217">
        <f>'数据-汇总表'!E12</f>
        <v>0</v>
      </c>
      <c r="F61" s="886">
        <f t="shared" si="15"/>
        <v>0</v>
      </c>
      <c r="G61" s="892" t="s">
        <v>1882</v>
      </c>
      <c r="H61" s="887" t="str">
        <f>IF(G61="商业",项目基本情况!B37,IF(G61="办公",项目基本情况!C37,IF(G61="住宅",项目基本情况!D37,项目基本情况!E37)))</f>
        <v>三级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f t="shared" si="17"/>
        <v>0</v>
      </c>
      <c r="C62" s="171">
        <f t="shared" si="16"/>
        <v>0</v>
      </c>
      <c r="D62" s="945">
        <v>0.25</v>
      </c>
      <c r="E62" s="217">
        <f>'数据-汇总表'!E13</f>
        <v>0</v>
      </c>
      <c r="F62" s="886">
        <f t="shared" si="15"/>
        <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f t="shared" si="17"/>
        <v>658</v>
      </c>
      <c r="C63" s="171">
        <f t="shared" si="16"/>
        <v>0.15</v>
      </c>
      <c r="D63" s="945">
        <v>0.25</v>
      </c>
      <c r="E63" s="217">
        <f>'数据-汇总表'!E14</f>
        <v>0</v>
      </c>
      <c r="F63" s="886">
        <f t="shared" si="15"/>
        <v>0</v>
      </c>
      <c r="G63" s="1987" t="s">
        <v>1876</v>
      </c>
      <c r="H63" s="887" t="str">
        <f>项目基本情况!B37</f>
        <v>三级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f t="shared" si="17"/>
        <v>658</v>
      </c>
      <c r="C64" s="171">
        <f t="shared" si="16"/>
        <v>0.15</v>
      </c>
      <c r="D64" s="945">
        <v>0.25</v>
      </c>
      <c r="E64" s="217">
        <f>'数据-汇总表'!E15</f>
        <v>0</v>
      </c>
      <c r="F64" s="886">
        <f t="shared" si="15"/>
        <v>0</v>
      </c>
      <c r="G64" s="1988" t="s">
        <v>1880</v>
      </c>
      <c r="H64" s="897" t="str">
        <f>项目基本情况!C37</f>
        <v>三级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13128.449999999992</v>
      </c>
      <c r="F65" s="645">
        <f>IF(B46="楼面地价",SUM(F56:F64),ROUND(C48*E65/10000,0))</f>
        <v>23019</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52"/>
      <c r="Q69" s="2717"/>
      <c r="R69" s="2717"/>
      <c r="S69" s="2717"/>
      <c r="T69" s="2717"/>
      <c r="U69" s="2717"/>
      <c r="V69" s="2717"/>
      <c r="W69" s="2717"/>
      <c r="X69" s="2717"/>
      <c r="Y69" s="2717"/>
      <c r="Z69" s="2717"/>
      <c r="AA69" s="2717"/>
      <c r="AB69" s="2717"/>
      <c r="AC69" s="2717"/>
    </row>
    <row r="70" spans="1:29" s="108" customFormat="1" ht="30" customHeight="1">
      <c r="A70" s="1990" t="s">
        <v>1889</v>
      </c>
      <c r="B70" s="288" t="str">
        <f>"北京市平均增长率"&amp;TEXT(SUMIF(基准地价修正!N25:N29,A70,基准地价修正!P25:P29),"0.00%")</f>
        <v>北京市平均增长率0.00%</v>
      </c>
      <c r="C70" s="552">
        <v>100</v>
      </c>
      <c r="D70" s="3470">
        <v>100</v>
      </c>
      <c r="E70" s="3470">
        <v>100</v>
      </c>
      <c r="F70" s="3470">
        <v>100</v>
      </c>
      <c r="G70" s="3470">
        <v>100</v>
      </c>
      <c r="H70" s="3470">
        <v>100</v>
      </c>
      <c r="I70" s="3470">
        <v>100</v>
      </c>
      <c r="J70" s="3470">
        <v>100</v>
      </c>
      <c r="K70" s="3470">
        <v>100</v>
      </c>
      <c r="L70" s="3470">
        <v>100</v>
      </c>
      <c r="M70" s="3470">
        <v>100</v>
      </c>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c r="A74" s="476" t="s">
        <v>1703</v>
      </c>
      <c r="B74" s="477" t="s">
        <v>1669</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0（含）-5</v>
      </c>
      <c r="D78" s="496" t="str">
        <f t="shared" ref="D78:L78" si="20">D79&amp;"（含）"&amp;"-"&amp;E79</f>
        <v>5（含）-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5</v>
      </c>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95</v>
      </c>
      <c r="E90" s="493">
        <f>D90-$K17</f>
        <v>90</v>
      </c>
      <c r="F90" s="493">
        <f>E90-$K17</f>
        <v>85</v>
      </c>
      <c r="G90" s="493">
        <f>F90-$K17</f>
        <v>80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95</v>
      </c>
      <c r="E92" s="493">
        <f>D92-$K19</f>
        <v>90</v>
      </c>
      <c r="F92" s="493">
        <f>E92-$K19</f>
        <v>85</v>
      </c>
      <c r="G92" s="493">
        <f>F92-$K19</f>
        <v>80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ht="28.5">
      <c r="A115" s="476" t="s">
        <v>1678</v>
      </c>
      <c r="B115" s="477" t="s">
        <v>1897</v>
      </c>
      <c r="C115" s="478" t="str">
        <f>C116&amp;"(含)"&amp;"-"&amp;D116</f>
        <v>0(含)-20000</v>
      </c>
      <c r="D115" s="478" t="str">
        <f t="shared" ref="D115:M115" si="25">D116&amp;"(含)"&amp;"-"&amp;E116</f>
        <v>20000(含)-40000</v>
      </c>
      <c r="E115" s="478" t="str">
        <f t="shared" si="25"/>
        <v>40000(含)-60000</v>
      </c>
      <c r="F115" s="478" t="str">
        <f t="shared" si="25"/>
        <v>60000(含)-80000</v>
      </c>
      <c r="G115" s="478" t="str">
        <f t="shared" si="25"/>
        <v>80000(含)-200000</v>
      </c>
      <c r="H115" s="478" t="str">
        <f t="shared" si="25"/>
        <v>200000(含)-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20000</v>
      </c>
      <c r="E116" s="544">
        <v>40000</v>
      </c>
      <c r="F116" s="544">
        <v>60000</v>
      </c>
      <c r="G116" s="544">
        <v>80000</v>
      </c>
      <c r="H116" s="544">
        <v>200000</v>
      </c>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t="s">
        <v>3401</v>
      </c>
      <c r="D122" s="503" t="s">
        <v>3475</v>
      </c>
      <c r="E122" s="503" t="s">
        <v>3468</v>
      </c>
      <c r="F122" s="503" t="s">
        <v>3476</v>
      </c>
      <c r="G122" s="503" t="s">
        <v>3469</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8" priority="18" stopIfTrue="1" operator="containsText" text="超过">
      <formula>NOT(ISERROR(SEARCH("超过",F51)))</formula>
    </cfRule>
  </conditionalFormatting>
  <conditionalFormatting sqref="J53">
    <cfRule type="containsText" dxfId="27" priority="17" stopIfTrue="1" operator="containsText" text="超过">
      <formula>NOT(ISERROR(SEARCH("超过",J53)))</formula>
    </cfRule>
  </conditionalFormatting>
  <conditionalFormatting sqref="H53">
    <cfRule type="containsText" dxfId="26" priority="16" stopIfTrue="1" operator="containsText" text="超过">
      <formula>NOT(ISERROR(SEARCH("超过",H53)))</formula>
    </cfRule>
  </conditionalFormatting>
  <conditionalFormatting sqref="F53">
    <cfRule type="containsText" dxfId="25" priority="15" stopIfTrue="1" operator="containsText" text="超过">
      <formula>NOT(ISERROR(SEARCH("超过",F53)))</formula>
    </cfRule>
  </conditionalFormatting>
  <conditionalFormatting sqref="F52 H52 J52">
    <cfRule type="containsText" dxfId="24" priority="14" stopIfTrue="1" operator="containsText" text="超过">
      <formula>NOT(ISERROR(SEARCH("超过",F52)))</formula>
    </cfRule>
  </conditionalFormatting>
  <conditionalFormatting sqref="E51">
    <cfRule type="expression" dxfId="23" priority="13" stopIfTrue="1">
      <formula>$F$51="超过30%"</formula>
    </cfRule>
  </conditionalFormatting>
  <conditionalFormatting sqref="G53">
    <cfRule type="expression" dxfId="22" priority="12" stopIfTrue="1">
      <formula>$H$53="超过30%"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G51">
    <cfRule type="expression" dxfId="19" priority="9" stopIfTrue="1">
      <formula>$H$53+$H$51="超过30%"</formula>
    </cfRule>
  </conditionalFormatting>
  <conditionalFormatting sqref="G52">
    <cfRule type="expression" dxfId="18" priority="8" stopIfTrue="1">
      <formula>$H$52="超过20%"</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F47">
    <cfRule type="expression" dxfId="14" priority="4">
      <formula>$D$47="简单平均"</formula>
    </cfRule>
  </conditionalFormatting>
  <conditionalFormatting sqref="H47">
    <cfRule type="expression" dxfId="13" priority="3">
      <formula>$D$47="简单平均"</formula>
    </cfRule>
  </conditionalFormatting>
  <conditionalFormatting sqref="J47">
    <cfRule type="expression" dxfId="12" priority="2">
      <formula>$D$47="简单平均"</formula>
    </cfRule>
  </conditionalFormatting>
  <conditionalFormatting sqref="F7:F45 H7:H45 J7:J45">
    <cfRule type="cellIs" dxfId="1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BA18" sqref="BA18"/>
    </sheetView>
  </sheetViews>
  <sheetFormatPr defaultRowHeight="13.5"/>
  <cols>
    <col min="2" max="4" width="0" hidden="1" customWidth="1"/>
    <col min="7" max="7" width="0" hidden="1" customWidth="1"/>
    <col min="14" max="28" width="0" hidden="1" customWidth="1"/>
    <col min="29" max="29" width="11.625" style="3838"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4067</v>
      </c>
      <c r="B1" t="s">
        <v>4068</v>
      </c>
      <c r="C1" t="s">
        <v>4069</v>
      </c>
      <c r="D1" t="s">
        <v>4070</v>
      </c>
      <c r="E1" t="s">
        <v>4071</v>
      </c>
      <c r="F1" t="s">
        <v>4072</v>
      </c>
      <c r="G1" t="s">
        <v>4073</v>
      </c>
      <c r="H1" t="s">
        <v>4074</v>
      </c>
      <c r="I1" t="s">
        <v>4075</v>
      </c>
      <c r="J1" t="s">
        <v>4076</v>
      </c>
      <c r="K1" t="s">
        <v>4077</v>
      </c>
      <c r="L1" t="s">
        <v>4078</v>
      </c>
      <c r="M1" t="s">
        <v>4079</v>
      </c>
      <c r="N1" t="s">
        <v>4080</v>
      </c>
      <c r="O1" t="s">
        <v>4081</v>
      </c>
      <c r="P1" t="s">
        <v>4082</v>
      </c>
      <c r="Q1" t="s">
        <v>4083</v>
      </c>
      <c r="R1" t="s">
        <v>4084</v>
      </c>
      <c r="S1" t="s">
        <v>4085</v>
      </c>
      <c r="T1" t="s">
        <v>4086</v>
      </c>
      <c r="U1" t="s">
        <v>4087</v>
      </c>
      <c r="V1" t="s">
        <v>4088</v>
      </c>
      <c r="W1" t="s">
        <v>4089</v>
      </c>
      <c r="X1" t="s">
        <v>4090</v>
      </c>
      <c r="Y1" t="s">
        <v>4091</v>
      </c>
      <c r="Z1" t="s">
        <v>4092</v>
      </c>
      <c r="AA1" t="s">
        <v>4093</v>
      </c>
      <c r="AB1" t="s">
        <v>4094</v>
      </c>
      <c r="AC1" s="3838" t="s">
        <v>4095</v>
      </c>
      <c r="AD1" t="s">
        <v>4096</v>
      </c>
      <c r="AE1" t="s">
        <v>4097</v>
      </c>
      <c r="AF1" t="s">
        <v>4098</v>
      </c>
      <c r="AG1" t="s">
        <v>4099</v>
      </c>
      <c r="AH1" t="s">
        <v>4100</v>
      </c>
      <c r="AI1" t="s">
        <v>4101</v>
      </c>
      <c r="AJ1" t="s">
        <v>4102</v>
      </c>
      <c r="AK1" t="s">
        <v>4103</v>
      </c>
      <c r="AL1" t="s">
        <v>4104</v>
      </c>
      <c r="AM1" t="s">
        <v>4105</v>
      </c>
      <c r="AN1" t="s">
        <v>4106</v>
      </c>
      <c r="AO1" t="s">
        <v>4107</v>
      </c>
      <c r="AP1" t="s">
        <v>4108</v>
      </c>
      <c r="AQ1" t="s">
        <v>4109</v>
      </c>
      <c r="AR1" t="s">
        <v>4110</v>
      </c>
      <c r="AS1" t="s">
        <v>4111</v>
      </c>
      <c r="AT1" t="s">
        <v>4112</v>
      </c>
      <c r="AU1" t="s">
        <v>4113</v>
      </c>
      <c r="AV1" t="s">
        <v>4114</v>
      </c>
      <c r="AW1" t="s">
        <v>4115</v>
      </c>
      <c r="AX1" t="s">
        <v>4116</v>
      </c>
      <c r="AY1" t="s">
        <v>4117</v>
      </c>
      <c r="AZ1" t="s">
        <v>4118</v>
      </c>
    </row>
    <row r="2" spans="1:52">
      <c r="A2" t="s">
        <v>4119</v>
      </c>
      <c r="B2" t="s">
        <v>3367</v>
      </c>
      <c r="C2" t="s">
        <v>4120</v>
      </c>
      <c r="D2" t="s">
        <v>4121</v>
      </c>
      <c r="E2" t="s">
        <v>4122</v>
      </c>
      <c r="F2" t="s">
        <v>4123</v>
      </c>
      <c r="G2" t="s">
        <v>4124</v>
      </c>
      <c r="H2" t="s">
        <v>4125</v>
      </c>
      <c r="I2">
        <v>10610.35</v>
      </c>
      <c r="J2">
        <v>47747</v>
      </c>
      <c r="K2">
        <v>4.5</v>
      </c>
      <c r="L2" t="s">
        <v>4126</v>
      </c>
      <c r="M2" t="s">
        <v>4127</v>
      </c>
      <c r="N2" t="s">
        <v>4128</v>
      </c>
      <c r="O2" t="s">
        <v>4129</v>
      </c>
      <c r="P2" t="s">
        <v>4130</v>
      </c>
      <c r="Q2" t="s">
        <v>4130</v>
      </c>
      <c r="R2" t="s">
        <v>4130</v>
      </c>
      <c r="S2" t="s">
        <v>4130</v>
      </c>
      <c r="T2" t="s">
        <v>4130</v>
      </c>
      <c r="U2" t="s">
        <v>4130</v>
      </c>
      <c r="V2" t="s">
        <v>4130</v>
      </c>
      <c r="W2" t="s">
        <v>4130</v>
      </c>
      <c r="X2">
        <v>0</v>
      </c>
      <c r="Y2">
        <v>0</v>
      </c>
      <c r="Z2">
        <v>45079.000497685185</v>
      </c>
      <c r="AA2">
        <v>45102.000497685185</v>
      </c>
      <c r="AB2">
        <v>45114.000497685185</v>
      </c>
      <c r="AC2" s="3838">
        <v>45114.000497685185</v>
      </c>
      <c r="AD2" t="s">
        <v>4131</v>
      </c>
      <c r="AE2" t="s">
        <v>4132</v>
      </c>
      <c r="AF2" t="s">
        <v>4133</v>
      </c>
      <c r="AG2" t="s">
        <v>4134</v>
      </c>
      <c r="AH2" t="s">
        <v>4135</v>
      </c>
      <c r="AI2">
        <v>134000</v>
      </c>
      <c r="AJ2">
        <v>27000</v>
      </c>
      <c r="AK2" t="s">
        <v>4136</v>
      </c>
      <c r="AL2">
        <v>134000</v>
      </c>
      <c r="AM2">
        <v>8419.4500000000007</v>
      </c>
      <c r="AN2">
        <v>8419.4500000000007</v>
      </c>
      <c r="AO2">
        <v>28065</v>
      </c>
      <c r="AP2">
        <v>28065</v>
      </c>
      <c r="AQ2" t="s">
        <v>4130</v>
      </c>
      <c r="AR2" t="s">
        <v>4130</v>
      </c>
      <c r="AS2">
        <v>0</v>
      </c>
      <c r="AT2" t="s">
        <v>4137</v>
      </c>
      <c r="AU2" t="s">
        <v>4129</v>
      </c>
      <c r="AV2" t="s">
        <v>4130</v>
      </c>
      <c r="AW2" t="s">
        <v>4129</v>
      </c>
      <c r="AX2" t="s">
        <v>4130</v>
      </c>
      <c r="AY2" t="s">
        <v>4130</v>
      </c>
      <c r="AZ2" t="s">
        <v>4130</v>
      </c>
    </row>
    <row r="3" spans="1:52">
      <c r="A3" t="s">
        <v>3471</v>
      </c>
      <c r="B3" t="s">
        <v>3367</v>
      </c>
      <c r="C3" t="s">
        <v>4138</v>
      </c>
      <c r="D3" t="s">
        <v>4121</v>
      </c>
      <c r="E3" t="s">
        <v>4139</v>
      </c>
      <c r="F3" t="s">
        <v>4140</v>
      </c>
      <c r="G3" t="s">
        <v>4141</v>
      </c>
      <c r="H3" t="s">
        <v>4125</v>
      </c>
      <c r="I3">
        <v>67829.210000000006</v>
      </c>
      <c r="J3">
        <v>298100</v>
      </c>
      <c r="K3">
        <v>4.4000000000000004</v>
      </c>
      <c r="L3" t="s">
        <v>4126</v>
      </c>
      <c r="M3" t="s">
        <v>4142</v>
      </c>
      <c r="N3" t="s">
        <v>4128</v>
      </c>
      <c r="O3" t="s">
        <v>4129</v>
      </c>
      <c r="P3" t="s">
        <v>4130</v>
      </c>
      <c r="Q3" t="s">
        <v>4130</v>
      </c>
      <c r="R3" t="s">
        <v>4130</v>
      </c>
      <c r="S3" t="s">
        <v>4130</v>
      </c>
      <c r="T3" t="s">
        <v>4130</v>
      </c>
      <c r="U3" t="s">
        <v>4130</v>
      </c>
      <c r="V3" t="s">
        <v>4130</v>
      </c>
      <c r="W3" t="s">
        <v>4130</v>
      </c>
      <c r="X3">
        <v>0</v>
      </c>
      <c r="Y3">
        <v>0</v>
      </c>
      <c r="Z3">
        <v>45056.000497685185</v>
      </c>
      <c r="AA3">
        <v>45076.000497685185</v>
      </c>
      <c r="AB3">
        <v>45090.000497685185</v>
      </c>
      <c r="AC3" s="3838">
        <v>45090.000497685185</v>
      </c>
      <c r="AD3" t="s">
        <v>4143</v>
      </c>
      <c r="AE3" t="s">
        <v>4132</v>
      </c>
      <c r="AF3" t="s">
        <v>4144</v>
      </c>
      <c r="AG3" t="s">
        <v>4145</v>
      </c>
      <c r="AH3" t="s">
        <v>4146</v>
      </c>
      <c r="AI3">
        <v>680000</v>
      </c>
      <c r="AJ3">
        <v>136000</v>
      </c>
      <c r="AK3" t="s">
        <v>4147</v>
      </c>
      <c r="AL3">
        <v>680000</v>
      </c>
      <c r="AM3">
        <v>6683.45</v>
      </c>
      <c r="AN3">
        <v>6683.45</v>
      </c>
      <c r="AO3">
        <v>22811</v>
      </c>
      <c r="AP3">
        <v>22811</v>
      </c>
      <c r="AQ3" t="s">
        <v>4130</v>
      </c>
      <c r="AR3" t="s">
        <v>4130</v>
      </c>
      <c r="AS3">
        <v>0</v>
      </c>
      <c r="AT3" t="s">
        <v>4137</v>
      </c>
      <c r="AU3" t="s">
        <v>4129</v>
      </c>
      <c r="AV3" t="s">
        <v>4130</v>
      </c>
      <c r="AW3" t="s">
        <v>4129</v>
      </c>
      <c r="AX3" t="s">
        <v>4130</v>
      </c>
      <c r="AY3" t="s">
        <v>4130</v>
      </c>
      <c r="AZ3" t="s">
        <v>4130</v>
      </c>
    </row>
    <row r="4" spans="1:52">
      <c r="A4" t="s">
        <v>3472</v>
      </c>
      <c r="B4" t="s">
        <v>3367</v>
      </c>
      <c r="C4" t="s">
        <v>4148</v>
      </c>
      <c r="D4" t="s">
        <v>4121</v>
      </c>
      <c r="E4" t="s">
        <v>4122</v>
      </c>
      <c r="F4" t="s">
        <v>4149</v>
      </c>
      <c r="G4" t="s">
        <v>4150</v>
      </c>
      <c r="H4" t="s">
        <v>4125</v>
      </c>
      <c r="I4">
        <v>62796.800000000003</v>
      </c>
      <c r="J4">
        <v>275500</v>
      </c>
      <c r="K4">
        <v>4.3899999999999997</v>
      </c>
      <c r="L4" t="s">
        <v>4126</v>
      </c>
      <c r="M4" t="s">
        <v>4127</v>
      </c>
      <c r="N4" t="s">
        <v>4128</v>
      </c>
      <c r="O4" t="s">
        <v>4129</v>
      </c>
      <c r="P4" t="s">
        <v>4130</v>
      </c>
      <c r="Q4" t="s">
        <v>4130</v>
      </c>
      <c r="R4" t="s">
        <v>4130</v>
      </c>
      <c r="S4" t="s">
        <v>4130</v>
      </c>
      <c r="T4" t="s">
        <v>4130</v>
      </c>
      <c r="U4" t="s">
        <v>4130</v>
      </c>
      <c r="V4" t="s">
        <v>4130</v>
      </c>
      <c r="W4" t="s">
        <v>4130</v>
      </c>
      <c r="X4">
        <v>0</v>
      </c>
      <c r="Y4">
        <v>0</v>
      </c>
      <c r="Z4">
        <v>44946.000497685185</v>
      </c>
      <c r="AA4">
        <v>44966.000497685185</v>
      </c>
      <c r="AB4">
        <v>44980.000497685185</v>
      </c>
      <c r="AC4" s="3838">
        <v>44980.000497685185</v>
      </c>
      <c r="AD4" t="s">
        <v>4151</v>
      </c>
      <c r="AE4" t="s">
        <v>4132</v>
      </c>
      <c r="AF4" t="s">
        <v>4152</v>
      </c>
      <c r="AG4" t="s">
        <v>4153</v>
      </c>
      <c r="AH4" t="s">
        <v>4154</v>
      </c>
      <c r="AI4">
        <v>635800</v>
      </c>
      <c r="AJ4">
        <v>127500</v>
      </c>
      <c r="AK4" t="s">
        <v>4155</v>
      </c>
      <c r="AL4">
        <v>635800</v>
      </c>
      <c r="AM4">
        <v>6749.81</v>
      </c>
      <c r="AN4">
        <v>6749.81</v>
      </c>
      <c r="AO4">
        <v>23078</v>
      </c>
      <c r="AP4">
        <v>23078</v>
      </c>
      <c r="AQ4" t="s">
        <v>4130</v>
      </c>
      <c r="AR4" t="s">
        <v>4130</v>
      </c>
      <c r="AS4">
        <v>0</v>
      </c>
      <c r="AT4" t="s">
        <v>4137</v>
      </c>
      <c r="AU4" t="s">
        <v>4129</v>
      </c>
      <c r="AV4" t="s">
        <v>4130</v>
      </c>
      <c r="AW4" t="s">
        <v>4129</v>
      </c>
      <c r="AX4" t="s">
        <v>4130</v>
      </c>
      <c r="AY4" t="s">
        <v>4130</v>
      </c>
      <c r="AZ4" t="s">
        <v>4130</v>
      </c>
    </row>
    <row r="6" spans="1:52">
      <c r="A6" t="s">
        <v>4067</v>
      </c>
      <c r="B6" t="s">
        <v>4068</v>
      </c>
      <c r="C6" t="s">
        <v>4069</v>
      </c>
      <c r="D6" t="s">
        <v>4070</v>
      </c>
      <c r="E6" t="s">
        <v>4071</v>
      </c>
      <c r="F6" t="s">
        <v>4072</v>
      </c>
      <c r="G6" t="s">
        <v>4073</v>
      </c>
      <c r="H6" t="s">
        <v>4074</v>
      </c>
      <c r="I6" t="s">
        <v>4075</v>
      </c>
      <c r="J6" t="s">
        <v>4076</v>
      </c>
      <c r="K6" t="s">
        <v>4077</v>
      </c>
      <c r="L6" t="s">
        <v>4078</v>
      </c>
      <c r="M6" t="s">
        <v>4079</v>
      </c>
      <c r="N6" t="s">
        <v>4080</v>
      </c>
      <c r="O6" t="s">
        <v>4081</v>
      </c>
      <c r="P6" t="s">
        <v>4082</v>
      </c>
      <c r="Q6" t="s">
        <v>4083</v>
      </c>
      <c r="R6" t="s">
        <v>4084</v>
      </c>
      <c r="S6" t="s">
        <v>4085</v>
      </c>
      <c r="T6" t="s">
        <v>4086</v>
      </c>
      <c r="U6" t="s">
        <v>4087</v>
      </c>
      <c r="V6" t="s">
        <v>4088</v>
      </c>
      <c r="W6" t="s">
        <v>4089</v>
      </c>
      <c r="X6" t="s">
        <v>4090</v>
      </c>
      <c r="Y6" t="s">
        <v>4091</v>
      </c>
      <c r="Z6" t="s">
        <v>4092</v>
      </c>
      <c r="AA6" t="s">
        <v>4093</v>
      </c>
      <c r="AB6" t="s">
        <v>4094</v>
      </c>
      <c r="AC6" s="3838" t="s">
        <v>4095</v>
      </c>
      <c r="AD6" t="s">
        <v>4096</v>
      </c>
      <c r="AE6" t="s">
        <v>4097</v>
      </c>
      <c r="AF6" t="s">
        <v>4098</v>
      </c>
      <c r="AG6" t="s">
        <v>4099</v>
      </c>
      <c r="AH6" t="s">
        <v>4100</v>
      </c>
      <c r="AI6" t="s">
        <v>4101</v>
      </c>
      <c r="AJ6" t="s">
        <v>4102</v>
      </c>
      <c r="AK6" t="s">
        <v>4103</v>
      </c>
      <c r="AL6" t="s">
        <v>4104</v>
      </c>
      <c r="AM6" t="s">
        <v>4105</v>
      </c>
      <c r="AN6" t="s">
        <v>4106</v>
      </c>
      <c r="AO6" t="s">
        <v>4107</v>
      </c>
      <c r="AP6" t="s">
        <v>4108</v>
      </c>
      <c r="AQ6" t="s">
        <v>4109</v>
      </c>
      <c r="AR6" t="s">
        <v>4110</v>
      </c>
      <c r="AS6" t="s">
        <v>4111</v>
      </c>
      <c r="AT6" t="s">
        <v>4112</v>
      </c>
      <c r="AU6" t="s">
        <v>4113</v>
      </c>
      <c r="AV6" t="s">
        <v>4114</v>
      </c>
      <c r="AW6" t="s">
        <v>4115</v>
      </c>
      <c r="AX6" t="s">
        <v>4116</v>
      </c>
      <c r="AY6" t="s">
        <v>4117</v>
      </c>
      <c r="AZ6" t="s">
        <v>4118</v>
      </c>
    </row>
    <row r="7" spans="1:52">
      <c r="A7" t="s">
        <v>3470</v>
      </c>
      <c r="B7" t="s">
        <v>3367</v>
      </c>
      <c r="C7" t="s">
        <v>4156</v>
      </c>
      <c r="D7" t="s">
        <v>4121</v>
      </c>
      <c r="E7" t="s">
        <v>4157</v>
      </c>
      <c r="F7" t="s">
        <v>4158</v>
      </c>
      <c r="G7" t="s">
        <v>4159</v>
      </c>
      <c r="H7" t="s">
        <v>4125</v>
      </c>
      <c r="I7">
        <v>49900.54</v>
      </c>
      <c r="J7">
        <v>109781.19</v>
      </c>
      <c r="K7">
        <v>2.2000000000000002</v>
      </c>
      <c r="L7" t="s">
        <v>4126</v>
      </c>
      <c r="M7" t="s">
        <v>4160</v>
      </c>
      <c r="N7" t="s">
        <v>4128</v>
      </c>
      <c r="O7" t="s">
        <v>4129</v>
      </c>
      <c r="P7" t="s">
        <v>4130</v>
      </c>
      <c r="Q7">
        <v>45</v>
      </c>
      <c r="R7" t="s">
        <v>4130</v>
      </c>
      <c r="S7" t="s">
        <v>4130</v>
      </c>
      <c r="T7" t="s">
        <v>4130</v>
      </c>
      <c r="U7" t="s">
        <v>4130</v>
      </c>
      <c r="V7" t="s">
        <v>4130</v>
      </c>
      <c r="W7" t="s">
        <v>4130</v>
      </c>
      <c r="X7">
        <v>0</v>
      </c>
      <c r="Y7">
        <v>0</v>
      </c>
      <c r="Z7">
        <v>45107.000497685185</v>
      </c>
      <c r="AA7">
        <v>45127.000497685185</v>
      </c>
      <c r="AB7">
        <v>45141.000497685185</v>
      </c>
      <c r="AC7" s="3838">
        <v>45141.000497685185</v>
      </c>
      <c r="AD7" t="s">
        <v>4161</v>
      </c>
      <c r="AE7" t="s">
        <v>4132</v>
      </c>
      <c r="AF7" t="s">
        <v>4162</v>
      </c>
      <c r="AG7" t="s">
        <v>4163</v>
      </c>
      <c r="AH7" t="s">
        <v>4130</v>
      </c>
      <c r="AI7">
        <v>227000</v>
      </c>
      <c r="AJ7">
        <v>46000</v>
      </c>
      <c r="AK7" t="s">
        <v>4164</v>
      </c>
      <c r="AL7">
        <v>227000</v>
      </c>
      <c r="AM7">
        <v>3032.7</v>
      </c>
      <c r="AN7">
        <v>3032.7</v>
      </c>
      <c r="AO7">
        <v>20677</v>
      </c>
      <c r="AP7">
        <v>20677</v>
      </c>
      <c r="AQ7" t="s">
        <v>4130</v>
      </c>
      <c r="AR7" t="s">
        <v>4130</v>
      </c>
      <c r="AS7">
        <v>0</v>
      </c>
      <c r="AT7" t="s">
        <v>4137</v>
      </c>
      <c r="AU7" t="s">
        <v>4129</v>
      </c>
      <c r="AV7" t="s">
        <v>4130</v>
      </c>
      <c r="AW7" t="s">
        <v>4129</v>
      </c>
      <c r="AX7" t="s">
        <v>4130</v>
      </c>
      <c r="AY7" t="s">
        <v>4130</v>
      </c>
      <c r="AZ7" t="s">
        <v>4130</v>
      </c>
    </row>
    <row r="8" spans="1:52">
      <c r="A8" t="s">
        <v>4165</v>
      </c>
      <c r="B8" t="s">
        <v>3367</v>
      </c>
      <c r="C8" t="s">
        <v>4166</v>
      </c>
      <c r="D8" t="s">
        <v>4121</v>
      </c>
      <c r="E8" t="s">
        <v>4167</v>
      </c>
      <c r="F8" t="s">
        <v>4168</v>
      </c>
      <c r="G8" t="s">
        <v>4169</v>
      </c>
      <c r="H8" t="s">
        <v>4125</v>
      </c>
      <c r="I8">
        <v>15459.22</v>
      </c>
      <c r="J8">
        <v>52599.12</v>
      </c>
      <c r="K8" t="s">
        <v>4170</v>
      </c>
      <c r="L8" t="s">
        <v>4126</v>
      </c>
      <c r="M8" t="s">
        <v>4171</v>
      </c>
      <c r="N8" t="s">
        <v>4128</v>
      </c>
      <c r="O8" t="s">
        <v>4129</v>
      </c>
      <c r="P8" t="s">
        <v>4130</v>
      </c>
      <c r="Q8" t="s">
        <v>4172</v>
      </c>
      <c r="R8" t="s">
        <v>4130</v>
      </c>
      <c r="S8" t="s">
        <v>4130</v>
      </c>
      <c r="T8" t="s">
        <v>4130</v>
      </c>
      <c r="U8" t="s">
        <v>4130</v>
      </c>
      <c r="V8" t="s">
        <v>4130</v>
      </c>
      <c r="W8" t="s">
        <v>4130</v>
      </c>
      <c r="X8">
        <v>0</v>
      </c>
      <c r="Y8">
        <v>0</v>
      </c>
      <c r="Z8">
        <v>45079.000497685185</v>
      </c>
      <c r="AA8">
        <v>45102.000497685185</v>
      </c>
      <c r="AB8">
        <v>45114.000497685185</v>
      </c>
      <c r="AC8" s="3838">
        <v>45114.000497685185</v>
      </c>
      <c r="AD8" t="s">
        <v>4173</v>
      </c>
      <c r="AE8" t="s">
        <v>4132</v>
      </c>
      <c r="AF8" t="s">
        <v>4174</v>
      </c>
      <c r="AG8" t="s">
        <v>4175</v>
      </c>
      <c r="AH8" t="s">
        <v>4146</v>
      </c>
      <c r="AI8">
        <v>53100</v>
      </c>
      <c r="AJ8">
        <v>11000</v>
      </c>
      <c r="AK8" t="s">
        <v>633</v>
      </c>
      <c r="AL8">
        <v>53100</v>
      </c>
      <c r="AM8">
        <v>2289.9</v>
      </c>
      <c r="AN8">
        <v>2289.9</v>
      </c>
      <c r="AO8">
        <v>10095</v>
      </c>
      <c r="AP8">
        <v>10095</v>
      </c>
      <c r="AQ8" t="s">
        <v>4130</v>
      </c>
      <c r="AR8" t="s">
        <v>4130</v>
      </c>
      <c r="AS8">
        <v>0</v>
      </c>
      <c r="AT8" t="s">
        <v>4176</v>
      </c>
      <c r="AU8" t="s">
        <v>4129</v>
      </c>
      <c r="AV8" t="s">
        <v>4130</v>
      </c>
      <c r="AW8" t="s">
        <v>4129</v>
      </c>
      <c r="AX8" t="s">
        <v>4130</v>
      </c>
      <c r="AY8" t="s">
        <v>4130</v>
      </c>
      <c r="AZ8" t="s">
        <v>4130</v>
      </c>
    </row>
    <row r="9" spans="1:52">
      <c r="A9" t="s">
        <v>4119</v>
      </c>
      <c r="B9" t="s">
        <v>3367</v>
      </c>
      <c r="C9" t="s">
        <v>4120</v>
      </c>
      <c r="D9" t="s">
        <v>4121</v>
      </c>
      <c r="E9" t="s">
        <v>4122</v>
      </c>
      <c r="F9" t="s">
        <v>4123</v>
      </c>
      <c r="G9" t="s">
        <v>4124</v>
      </c>
      <c r="H9" t="s">
        <v>4125</v>
      </c>
      <c r="I9">
        <v>10610.35</v>
      </c>
      <c r="J9">
        <v>47747</v>
      </c>
      <c r="K9">
        <v>4.5</v>
      </c>
      <c r="L9" t="s">
        <v>4126</v>
      </c>
      <c r="M9" t="s">
        <v>4127</v>
      </c>
      <c r="N9" t="s">
        <v>4128</v>
      </c>
      <c r="O9" t="s">
        <v>4129</v>
      </c>
      <c r="P9" t="s">
        <v>4130</v>
      </c>
      <c r="Q9" t="s">
        <v>4130</v>
      </c>
      <c r="R9" t="s">
        <v>4130</v>
      </c>
      <c r="S9" t="s">
        <v>4130</v>
      </c>
      <c r="T9" t="s">
        <v>4130</v>
      </c>
      <c r="U9" t="s">
        <v>4130</v>
      </c>
      <c r="V9" t="s">
        <v>4130</v>
      </c>
      <c r="W9" t="s">
        <v>4130</v>
      </c>
      <c r="X9">
        <v>0</v>
      </c>
      <c r="Y9">
        <v>0</v>
      </c>
      <c r="Z9">
        <v>45079.000497685185</v>
      </c>
      <c r="AA9">
        <v>45102.000497685185</v>
      </c>
      <c r="AB9">
        <v>45114.000497685185</v>
      </c>
      <c r="AC9" s="3838">
        <v>45114.000497685185</v>
      </c>
      <c r="AD9" t="s">
        <v>4131</v>
      </c>
      <c r="AE9" t="s">
        <v>4132</v>
      </c>
      <c r="AF9" t="s">
        <v>4133</v>
      </c>
      <c r="AG9" t="s">
        <v>4134</v>
      </c>
      <c r="AH9" t="s">
        <v>4135</v>
      </c>
      <c r="AI9">
        <v>134000</v>
      </c>
      <c r="AJ9">
        <v>27000</v>
      </c>
      <c r="AK9" t="s">
        <v>4136</v>
      </c>
      <c r="AL9">
        <v>134000</v>
      </c>
      <c r="AM9">
        <v>8419.4500000000007</v>
      </c>
      <c r="AN9">
        <v>8419.4500000000007</v>
      </c>
      <c r="AO9">
        <v>28065</v>
      </c>
      <c r="AP9">
        <v>28065</v>
      </c>
      <c r="AQ9" t="s">
        <v>4130</v>
      </c>
      <c r="AR9" t="s">
        <v>4130</v>
      </c>
      <c r="AS9">
        <v>0</v>
      </c>
      <c r="AT9" t="s">
        <v>4137</v>
      </c>
      <c r="AU9" t="s">
        <v>4129</v>
      </c>
      <c r="AV9" t="s">
        <v>4130</v>
      </c>
      <c r="AW9" t="s">
        <v>4129</v>
      </c>
      <c r="AX9" t="s">
        <v>4130</v>
      </c>
      <c r="AY9" t="s">
        <v>4130</v>
      </c>
      <c r="AZ9" t="s">
        <v>4130</v>
      </c>
    </row>
    <row r="10" spans="1:52">
      <c r="A10" t="s">
        <v>3471</v>
      </c>
      <c r="B10" t="s">
        <v>3367</v>
      </c>
      <c r="C10" t="s">
        <v>4138</v>
      </c>
      <c r="D10" t="s">
        <v>4121</v>
      </c>
      <c r="E10" t="s">
        <v>4139</v>
      </c>
      <c r="F10" t="s">
        <v>4140</v>
      </c>
      <c r="G10" t="s">
        <v>4141</v>
      </c>
      <c r="H10" t="s">
        <v>4125</v>
      </c>
      <c r="I10">
        <v>67829.210000000006</v>
      </c>
      <c r="J10">
        <v>298100</v>
      </c>
      <c r="K10">
        <v>4.4000000000000004</v>
      </c>
      <c r="L10" t="s">
        <v>4126</v>
      </c>
      <c r="M10" t="s">
        <v>4142</v>
      </c>
      <c r="N10" t="s">
        <v>4128</v>
      </c>
      <c r="O10" t="s">
        <v>4129</v>
      </c>
      <c r="P10" t="s">
        <v>4130</v>
      </c>
      <c r="Q10" t="s">
        <v>4130</v>
      </c>
      <c r="R10" t="s">
        <v>4130</v>
      </c>
      <c r="S10" t="s">
        <v>4130</v>
      </c>
      <c r="T10" t="s">
        <v>4130</v>
      </c>
      <c r="U10" t="s">
        <v>4130</v>
      </c>
      <c r="V10" t="s">
        <v>4130</v>
      </c>
      <c r="W10" t="s">
        <v>4130</v>
      </c>
      <c r="X10">
        <v>0</v>
      </c>
      <c r="Y10">
        <v>0</v>
      </c>
      <c r="Z10">
        <v>45056.000497685185</v>
      </c>
      <c r="AA10">
        <v>45076.000497685185</v>
      </c>
      <c r="AB10">
        <v>45090.000497685185</v>
      </c>
      <c r="AC10" s="3838">
        <v>45090.000497685185</v>
      </c>
      <c r="AD10" t="s">
        <v>4143</v>
      </c>
      <c r="AE10" t="s">
        <v>4132</v>
      </c>
      <c r="AF10" t="s">
        <v>4144</v>
      </c>
      <c r="AG10" t="s">
        <v>4145</v>
      </c>
      <c r="AH10" t="s">
        <v>4146</v>
      </c>
      <c r="AI10">
        <v>680000</v>
      </c>
      <c r="AJ10">
        <v>136000</v>
      </c>
      <c r="AK10" t="s">
        <v>4147</v>
      </c>
      <c r="AL10">
        <v>680000</v>
      </c>
      <c r="AM10">
        <v>6683.45</v>
      </c>
      <c r="AN10">
        <v>6683.45</v>
      </c>
      <c r="AO10">
        <v>22811</v>
      </c>
      <c r="AP10">
        <v>22811</v>
      </c>
      <c r="AQ10" t="s">
        <v>4130</v>
      </c>
      <c r="AR10" t="s">
        <v>4130</v>
      </c>
      <c r="AS10">
        <v>0</v>
      </c>
      <c r="AT10" t="s">
        <v>4137</v>
      </c>
      <c r="AU10" t="s">
        <v>4129</v>
      </c>
      <c r="AV10" t="s">
        <v>4130</v>
      </c>
      <c r="AW10" t="s">
        <v>4129</v>
      </c>
      <c r="AX10" t="s">
        <v>4130</v>
      </c>
      <c r="AY10" t="s">
        <v>4130</v>
      </c>
      <c r="AZ10" t="s">
        <v>4130</v>
      </c>
    </row>
    <row r="11" spans="1:52">
      <c r="A11" t="s">
        <v>4177</v>
      </c>
      <c r="B11" t="s">
        <v>3367</v>
      </c>
      <c r="C11" t="s">
        <v>4178</v>
      </c>
      <c r="D11" t="s">
        <v>4121</v>
      </c>
      <c r="E11" t="s">
        <v>4179</v>
      </c>
      <c r="F11" t="s">
        <v>4180</v>
      </c>
      <c r="G11" t="s">
        <v>4181</v>
      </c>
      <c r="H11" t="s">
        <v>4125</v>
      </c>
      <c r="I11">
        <v>101190.07</v>
      </c>
      <c r="J11">
        <v>198291</v>
      </c>
      <c r="K11" t="s">
        <v>4182</v>
      </c>
      <c r="L11" t="s">
        <v>4126</v>
      </c>
      <c r="M11" t="s">
        <v>4160</v>
      </c>
      <c r="N11" t="s">
        <v>4128</v>
      </c>
      <c r="O11" t="s">
        <v>4129</v>
      </c>
      <c r="P11">
        <v>0.4</v>
      </c>
      <c r="Q11" t="s">
        <v>4183</v>
      </c>
      <c r="R11" t="s">
        <v>4130</v>
      </c>
      <c r="S11" t="s">
        <v>4130</v>
      </c>
      <c r="T11" t="s">
        <v>4130</v>
      </c>
      <c r="U11" t="s">
        <v>4130</v>
      </c>
      <c r="V11" t="s">
        <v>4130</v>
      </c>
      <c r="W11" t="s">
        <v>4130</v>
      </c>
      <c r="X11">
        <v>0</v>
      </c>
      <c r="Y11">
        <v>0</v>
      </c>
      <c r="Z11">
        <v>45054.000497685185</v>
      </c>
      <c r="AA11">
        <v>45075.000497685185</v>
      </c>
      <c r="AB11">
        <v>45089.000497685185</v>
      </c>
      <c r="AC11" s="3838">
        <v>45089.000497685185</v>
      </c>
      <c r="AD11" t="s">
        <v>4184</v>
      </c>
      <c r="AE11" t="s">
        <v>4132</v>
      </c>
      <c r="AF11" t="s">
        <v>4185</v>
      </c>
      <c r="AG11" t="s">
        <v>4186</v>
      </c>
      <c r="AH11" t="s">
        <v>4146</v>
      </c>
      <c r="AI11">
        <v>100000</v>
      </c>
      <c r="AJ11">
        <v>20000</v>
      </c>
      <c r="AK11" t="s">
        <v>633</v>
      </c>
      <c r="AL11">
        <v>100000</v>
      </c>
      <c r="AM11">
        <v>658.83</v>
      </c>
      <c r="AN11">
        <v>658.83</v>
      </c>
      <c r="AO11">
        <v>5043</v>
      </c>
      <c r="AP11">
        <v>5043</v>
      </c>
      <c r="AQ11" t="s">
        <v>4130</v>
      </c>
      <c r="AR11" t="s">
        <v>4130</v>
      </c>
      <c r="AS11">
        <v>0</v>
      </c>
      <c r="AT11" t="s">
        <v>4137</v>
      </c>
      <c r="AU11" t="s">
        <v>4129</v>
      </c>
      <c r="AV11" t="s">
        <v>4130</v>
      </c>
      <c r="AW11" t="s">
        <v>4129</v>
      </c>
      <c r="AX11" t="s">
        <v>4130</v>
      </c>
      <c r="AY11" t="s">
        <v>4130</v>
      </c>
      <c r="AZ11" t="s">
        <v>4130</v>
      </c>
    </row>
    <row r="12" spans="1:52">
      <c r="A12" t="s">
        <v>4187</v>
      </c>
      <c r="B12" t="s">
        <v>3367</v>
      </c>
      <c r="C12" t="s">
        <v>4188</v>
      </c>
      <c r="D12" t="s">
        <v>4121</v>
      </c>
      <c r="E12" t="s">
        <v>4167</v>
      </c>
      <c r="F12" t="s">
        <v>4189</v>
      </c>
      <c r="G12" t="s">
        <v>4190</v>
      </c>
      <c r="H12" t="s">
        <v>4125</v>
      </c>
      <c r="I12">
        <v>5500.65</v>
      </c>
      <c r="J12">
        <v>15401.81</v>
      </c>
      <c r="K12" t="s">
        <v>4191</v>
      </c>
      <c r="L12" t="s">
        <v>4126</v>
      </c>
      <c r="M12" t="s">
        <v>4127</v>
      </c>
      <c r="N12" t="s">
        <v>4128</v>
      </c>
      <c r="O12" t="s">
        <v>4129</v>
      </c>
      <c r="P12" t="s">
        <v>4130</v>
      </c>
      <c r="Q12">
        <v>60</v>
      </c>
      <c r="R12" t="s">
        <v>4130</v>
      </c>
      <c r="S12" t="s">
        <v>4130</v>
      </c>
      <c r="T12" t="s">
        <v>4130</v>
      </c>
      <c r="U12" t="s">
        <v>4130</v>
      </c>
      <c r="V12" t="s">
        <v>4130</v>
      </c>
      <c r="W12" t="s">
        <v>4130</v>
      </c>
      <c r="X12">
        <v>0</v>
      </c>
      <c r="Y12">
        <v>0</v>
      </c>
      <c r="Z12">
        <v>44995.000497685185</v>
      </c>
      <c r="AA12">
        <v>45015.000497685185</v>
      </c>
      <c r="AB12">
        <v>45030.000497685185</v>
      </c>
      <c r="AC12" s="3838">
        <v>45030.000497685185</v>
      </c>
      <c r="AD12" t="s">
        <v>4192</v>
      </c>
      <c r="AE12" t="s">
        <v>4132</v>
      </c>
      <c r="AF12" t="s">
        <v>4193</v>
      </c>
      <c r="AG12" t="s">
        <v>4194</v>
      </c>
      <c r="AH12" t="s">
        <v>4130</v>
      </c>
      <c r="AI12">
        <v>17000</v>
      </c>
      <c r="AJ12">
        <v>4000</v>
      </c>
      <c r="AK12" t="s">
        <v>633</v>
      </c>
      <c r="AL12">
        <v>17000</v>
      </c>
      <c r="AM12">
        <v>2060.36</v>
      </c>
      <c r="AN12">
        <v>2060.36</v>
      </c>
      <c r="AO12">
        <v>11038</v>
      </c>
      <c r="AP12">
        <v>11038</v>
      </c>
      <c r="AQ12" t="s">
        <v>4130</v>
      </c>
      <c r="AR12" t="s">
        <v>4130</v>
      </c>
      <c r="AS12">
        <v>0</v>
      </c>
      <c r="AT12" t="s">
        <v>4195</v>
      </c>
      <c r="AU12" t="s">
        <v>4129</v>
      </c>
      <c r="AV12" t="s">
        <v>4130</v>
      </c>
      <c r="AW12" t="s">
        <v>4129</v>
      </c>
      <c r="AX12" t="s">
        <v>4130</v>
      </c>
      <c r="AY12" t="s">
        <v>4130</v>
      </c>
      <c r="AZ12" t="s">
        <v>4130</v>
      </c>
    </row>
    <row r="13" spans="1:52">
      <c r="A13" t="s">
        <v>4196</v>
      </c>
      <c r="B13" t="s">
        <v>3367</v>
      </c>
      <c r="C13" t="s">
        <v>4197</v>
      </c>
      <c r="D13" t="s">
        <v>4121</v>
      </c>
      <c r="E13" t="s">
        <v>4198</v>
      </c>
      <c r="F13" t="s">
        <v>4199</v>
      </c>
      <c r="G13" t="s">
        <v>4200</v>
      </c>
      <c r="H13" t="s">
        <v>4125</v>
      </c>
      <c r="I13">
        <v>82500</v>
      </c>
      <c r="J13">
        <v>165000</v>
      </c>
      <c r="K13">
        <v>2</v>
      </c>
      <c r="L13" t="s">
        <v>4126</v>
      </c>
      <c r="M13" t="s">
        <v>4201</v>
      </c>
      <c r="N13" t="s">
        <v>4128</v>
      </c>
      <c r="O13" t="s">
        <v>4129</v>
      </c>
      <c r="P13" t="s">
        <v>4130</v>
      </c>
      <c r="Q13" t="s">
        <v>4130</v>
      </c>
      <c r="R13" t="s">
        <v>4130</v>
      </c>
      <c r="S13" t="s">
        <v>4130</v>
      </c>
      <c r="T13" t="s">
        <v>4130</v>
      </c>
      <c r="U13" t="s">
        <v>4130</v>
      </c>
      <c r="V13" t="s">
        <v>4130</v>
      </c>
      <c r="W13" t="s">
        <v>4130</v>
      </c>
      <c r="X13">
        <v>0</v>
      </c>
      <c r="Y13">
        <v>0</v>
      </c>
      <c r="Z13">
        <v>44978.000497685185</v>
      </c>
      <c r="AA13">
        <v>44997.000497685185</v>
      </c>
      <c r="AB13">
        <v>45012.000497685185</v>
      </c>
      <c r="AC13" s="3838">
        <v>45012.000497685185</v>
      </c>
      <c r="AD13" t="s">
        <v>4202</v>
      </c>
      <c r="AE13" t="s">
        <v>4132</v>
      </c>
      <c r="AF13" t="s">
        <v>4203</v>
      </c>
      <c r="AG13" t="s">
        <v>4204</v>
      </c>
      <c r="AH13" t="s">
        <v>4205</v>
      </c>
      <c r="AI13">
        <v>260700</v>
      </c>
      <c r="AJ13">
        <v>78000</v>
      </c>
      <c r="AK13" t="s">
        <v>633</v>
      </c>
      <c r="AL13">
        <v>260700</v>
      </c>
      <c r="AM13">
        <v>2106.67</v>
      </c>
      <c r="AN13">
        <v>2106.67</v>
      </c>
      <c r="AO13">
        <v>15800</v>
      </c>
      <c r="AP13">
        <v>15800</v>
      </c>
      <c r="AQ13" t="s">
        <v>4130</v>
      </c>
      <c r="AR13" t="s">
        <v>4130</v>
      </c>
      <c r="AS13">
        <v>0</v>
      </c>
      <c r="AT13">
        <v>40</v>
      </c>
      <c r="AU13" t="s">
        <v>4129</v>
      </c>
      <c r="AV13" t="s">
        <v>4130</v>
      </c>
      <c r="AW13" t="s">
        <v>4129</v>
      </c>
      <c r="AX13" t="s">
        <v>4130</v>
      </c>
      <c r="AY13" t="s">
        <v>4130</v>
      </c>
      <c r="AZ13" t="s">
        <v>4130</v>
      </c>
    </row>
    <row r="14" spans="1:52">
      <c r="A14" t="s">
        <v>3472</v>
      </c>
      <c r="B14" t="s">
        <v>3367</v>
      </c>
      <c r="C14" t="s">
        <v>4148</v>
      </c>
      <c r="D14" t="s">
        <v>4121</v>
      </c>
      <c r="E14" t="s">
        <v>4122</v>
      </c>
      <c r="F14" t="s">
        <v>4149</v>
      </c>
      <c r="G14" t="s">
        <v>4150</v>
      </c>
      <c r="H14" t="s">
        <v>4125</v>
      </c>
      <c r="I14">
        <v>62796.800000000003</v>
      </c>
      <c r="J14">
        <v>275500</v>
      </c>
      <c r="K14">
        <v>4.3899999999999997</v>
      </c>
      <c r="L14" t="s">
        <v>4126</v>
      </c>
      <c r="M14" t="s">
        <v>4127</v>
      </c>
      <c r="N14" t="s">
        <v>4128</v>
      </c>
      <c r="O14" t="s">
        <v>4129</v>
      </c>
      <c r="P14" t="s">
        <v>4130</v>
      </c>
      <c r="Q14" t="s">
        <v>4130</v>
      </c>
      <c r="R14" t="s">
        <v>4130</v>
      </c>
      <c r="S14" t="s">
        <v>4130</v>
      </c>
      <c r="T14" t="s">
        <v>4130</v>
      </c>
      <c r="U14" t="s">
        <v>4130</v>
      </c>
      <c r="V14" t="s">
        <v>4130</v>
      </c>
      <c r="W14" t="s">
        <v>4130</v>
      </c>
      <c r="X14">
        <v>0</v>
      </c>
      <c r="Y14">
        <v>0</v>
      </c>
      <c r="Z14">
        <v>44946.000497685185</v>
      </c>
      <c r="AA14">
        <v>44966.000497685185</v>
      </c>
      <c r="AB14">
        <v>44980.000497685185</v>
      </c>
      <c r="AC14" s="3838">
        <v>44980.000497685185</v>
      </c>
      <c r="AD14" t="s">
        <v>4151</v>
      </c>
      <c r="AE14" t="s">
        <v>4132</v>
      </c>
      <c r="AF14" t="s">
        <v>4152</v>
      </c>
      <c r="AG14" t="s">
        <v>4153</v>
      </c>
      <c r="AH14" t="s">
        <v>4154</v>
      </c>
      <c r="AI14">
        <v>635800</v>
      </c>
      <c r="AJ14">
        <v>127500</v>
      </c>
      <c r="AK14" t="s">
        <v>4155</v>
      </c>
      <c r="AL14">
        <v>635800</v>
      </c>
      <c r="AM14">
        <v>6749.81</v>
      </c>
      <c r="AN14">
        <v>6749.81</v>
      </c>
      <c r="AO14">
        <v>23078</v>
      </c>
      <c r="AP14">
        <v>23078</v>
      </c>
      <c r="AQ14" t="s">
        <v>4130</v>
      </c>
      <c r="AR14" t="s">
        <v>4130</v>
      </c>
      <c r="AS14">
        <v>0</v>
      </c>
      <c r="AT14" t="s">
        <v>4137</v>
      </c>
      <c r="AU14" t="s">
        <v>4129</v>
      </c>
      <c r="AV14" t="s">
        <v>4130</v>
      </c>
      <c r="AW14" t="s">
        <v>4129</v>
      </c>
      <c r="AX14" t="s">
        <v>4130</v>
      </c>
      <c r="AY14" t="s">
        <v>4130</v>
      </c>
      <c r="AZ14" t="s">
        <v>4130</v>
      </c>
    </row>
    <row r="15" spans="1:52">
      <c r="A15" t="s">
        <v>4206</v>
      </c>
      <c r="B15" t="s">
        <v>3367</v>
      </c>
      <c r="C15" t="s">
        <v>4207</v>
      </c>
      <c r="D15" t="s">
        <v>4121</v>
      </c>
      <c r="E15" t="s">
        <v>4198</v>
      </c>
      <c r="F15" t="s">
        <v>4208</v>
      </c>
      <c r="G15" t="s">
        <v>4209</v>
      </c>
      <c r="H15" t="s">
        <v>4125</v>
      </c>
      <c r="I15">
        <v>4800</v>
      </c>
      <c r="J15">
        <v>1920</v>
      </c>
      <c r="K15" t="s">
        <v>4210</v>
      </c>
      <c r="L15" t="s">
        <v>4126</v>
      </c>
      <c r="M15" t="s">
        <v>4211</v>
      </c>
      <c r="N15" t="s">
        <v>4128</v>
      </c>
      <c r="O15" t="s">
        <v>4129</v>
      </c>
      <c r="P15" t="s">
        <v>4130</v>
      </c>
      <c r="Q15" t="s">
        <v>4130</v>
      </c>
      <c r="R15" t="s">
        <v>4130</v>
      </c>
      <c r="S15" t="s">
        <v>4130</v>
      </c>
      <c r="T15" t="s">
        <v>4130</v>
      </c>
      <c r="U15" t="s">
        <v>4130</v>
      </c>
      <c r="V15" t="s">
        <v>4130</v>
      </c>
      <c r="W15" t="s">
        <v>4130</v>
      </c>
      <c r="X15">
        <v>0</v>
      </c>
      <c r="Y15">
        <v>0</v>
      </c>
      <c r="Z15">
        <v>44911.000497685185</v>
      </c>
      <c r="AA15">
        <v>44931.000497685185</v>
      </c>
      <c r="AB15">
        <v>44945.000497685185</v>
      </c>
      <c r="AC15" s="3838">
        <v>44945.000497685185</v>
      </c>
      <c r="AD15" t="s">
        <v>4212</v>
      </c>
      <c r="AE15" t="s">
        <v>4132</v>
      </c>
      <c r="AF15" t="s">
        <v>4213</v>
      </c>
      <c r="AG15" t="s">
        <v>4130</v>
      </c>
      <c r="AH15" t="s">
        <v>4130</v>
      </c>
      <c r="AI15">
        <v>5800</v>
      </c>
      <c r="AJ15">
        <v>1200</v>
      </c>
      <c r="AK15" t="s">
        <v>4214</v>
      </c>
      <c r="AL15">
        <v>5800</v>
      </c>
      <c r="AM15">
        <v>805.56</v>
      </c>
      <c r="AN15">
        <v>805.56</v>
      </c>
      <c r="AO15">
        <v>30208</v>
      </c>
      <c r="AP15">
        <v>30208</v>
      </c>
      <c r="AQ15" t="s">
        <v>4130</v>
      </c>
      <c r="AR15" t="s">
        <v>4130</v>
      </c>
      <c r="AS15">
        <v>0</v>
      </c>
      <c r="AT15" t="s">
        <v>4215</v>
      </c>
      <c r="AU15" t="s">
        <v>4129</v>
      </c>
      <c r="AV15" t="s">
        <v>4130</v>
      </c>
      <c r="AW15" t="s">
        <v>4129</v>
      </c>
      <c r="AX15" t="s">
        <v>4130</v>
      </c>
      <c r="AY15" t="s">
        <v>4130</v>
      </c>
      <c r="AZ15" t="s">
        <v>4130</v>
      </c>
    </row>
    <row r="16" spans="1:52">
      <c r="A16" t="s">
        <v>4216</v>
      </c>
      <c r="B16" t="s">
        <v>3367</v>
      </c>
      <c r="C16" t="s">
        <v>4217</v>
      </c>
      <c r="D16" t="s">
        <v>4121</v>
      </c>
      <c r="E16" t="s">
        <v>4218</v>
      </c>
      <c r="F16" t="s">
        <v>4219</v>
      </c>
      <c r="G16" t="s">
        <v>4220</v>
      </c>
      <c r="H16" t="s">
        <v>4125</v>
      </c>
      <c r="I16">
        <v>46654.62</v>
      </c>
      <c r="J16">
        <v>88643.78</v>
      </c>
      <c r="K16">
        <v>1.9</v>
      </c>
      <c r="L16" t="s">
        <v>4126</v>
      </c>
      <c r="M16" t="s">
        <v>4221</v>
      </c>
      <c r="N16" t="s">
        <v>4128</v>
      </c>
      <c r="O16" t="s">
        <v>4129</v>
      </c>
      <c r="P16" t="s">
        <v>4130</v>
      </c>
      <c r="Q16" t="s">
        <v>4130</v>
      </c>
      <c r="R16" t="s">
        <v>4130</v>
      </c>
      <c r="S16" t="s">
        <v>4130</v>
      </c>
      <c r="T16" t="s">
        <v>4130</v>
      </c>
      <c r="U16" t="s">
        <v>4130</v>
      </c>
      <c r="V16" t="s">
        <v>4130</v>
      </c>
      <c r="W16" t="s">
        <v>4130</v>
      </c>
      <c r="X16">
        <v>0</v>
      </c>
      <c r="Y16">
        <v>0</v>
      </c>
      <c r="Z16">
        <v>44901.000497685185</v>
      </c>
      <c r="AA16">
        <v>44921.000497685185</v>
      </c>
      <c r="AB16">
        <v>44936.000497685185</v>
      </c>
      <c r="AC16" s="3838">
        <v>44936.000497685185</v>
      </c>
      <c r="AD16" t="s">
        <v>4222</v>
      </c>
      <c r="AE16" t="s">
        <v>4132</v>
      </c>
      <c r="AF16" t="s">
        <v>4223</v>
      </c>
      <c r="AG16" t="s">
        <v>4130</v>
      </c>
      <c r="AH16" t="s">
        <v>4130</v>
      </c>
      <c r="AI16">
        <v>28000</v>
      </c>
      <c r="AJ16">
        <v>6000</v>
      </c>
      <c r="AK16" t="s">
        <v>4224</v>
      </c>
      <c r="AL16">
        <v>28000</v>
      </c>
      <c r="AM16">
        <v>400.1</v>
      </c>
      <c r="AN16">
        <v>400.1</v>
      </c>
      <c r="AO16">
        <v>3159</v>
      </c>
      <c r="AP16">
        <v>3159</v>
      </c>
      <c r="AQ16" t="s">
        <v>4130</v>
      </c>
      <c r="AR16" t="s">
        <v>4130</v>
      </c>
      <c r="AS16">
        <v>0</v>
      </c>
      <c r="AT16" t="s">
        <v>4137</v>
      </c>
      <c r="AU16" t="s">
        <v>4129</v>
      </c>
      <c r="AV16" t="s">
        <v>4130</v>
      </c>
      <c r="AW16" t="s">
        <v>4129</v>
      </c>
      <c r="AX16" t="s">
        <v>4130</v>
      </c>
      <c r="AY16" t="s">
        <v>4130</v>
      </c>
      <c r="AZ16" t="s">
        <v>4130</v>
      </c>
    </row>
    <row r="17" spans="1:52">
      <c r="A17" t="s">
        <v>4225</v>
      </c>
      <c r="B17" t="s">
        <v>3367</v>
      </c>
      <c r="C17" t="s">
        <v>4226</v>
      </c>
      <c r="D17" t="s">
        <v>4121</v>
      </c>
      <c r="E17" t="s">
        <v>4227</v>
      </c>
      <c r="F17" t="s">
        <v>4228</v>
      </c>
      <c r="G17" t="s">
        <v>4229</v>
      </c>
      <c r="H17" t="s">
        <v>4125</v>
      </c>
      <c r="I17">
        <v>64012.4</v>
      </c>
      <c r="J17">
        <v>192037.19</v>
      </c>
      <c r="K17">
        <v>3</v>
      </c>
      <c r="L17" t="s">
        <v>4126</v>
      </c>
      <c r="M17" t="s">
        <v>4230</v>
      </c>
      <c r="N17" t="s">
        <v>4128</v>
      </c>
      <c r="O17" t="s">
        <v>4129</v>
      </c>
      <c r="P17" t="s">
        <v>4130</v>
      </c>
      <c r="Q17" t="s">
        <v>4130</v>
      </c>
      <c r="R17" t="s">
        <v>4130</v>
      </c>
      <c r="S17" t="s">
        <v>4130</v>
      </c>
      <c r="T17" t="s">
        <v>4130</v>
      </c>
      <c r="U17" t="s">
        <v>4130</v>
      </c>
      <c r="V17" t="s">
        <v>4130</v>
      </c>
      <c r="W17" t="s">
        <v>4130</v>
      </c>
      <c r="X17">
        <v>0</v>
      </c>
      <c r="Y17">
        <v>0</v>
      </c>
      <c r="Z17">
        <v>44896.000497685185</v>
      </c>
      <c r="AA17">
        <v>44916.000497685185</v>
      </c>
      <c r="AB17">
        <v>44931.000497685185</v>
      </c>
      <c r="AC17" s="3838">
        <v>44931.000497685185</v>
      </c>
      <c r="AD17" t="s">
        <v>4231</v>
      </c>
      <c r="AE17" t="s">
        <v>4132</v>
      </c>
      <c r="AF17" t="s">
        <v>4232</v>
      </c>
      <c r="AG17" t="s">
        <v>4233</v>
      </c>
      <c r="AH17" t="s">
        <v>4234</v>
      </c>
      <c r="AI17">
        <v>177000</v>
      </c>
      <c r="AJ17">
        <v>36000</v>
      </c>
      <c r="AK17" t="s">
        <v>4235</v>
      </c>
      <c r="AL17">
        <v>177000</v>
      </c>
      <c r="AM17">
        <v>1843.39</v>
      </c>
      <c r="AN17">
        <v>1843.39</v>
      </c>
      <c r="AO17">
        <v>9217</v>
      </c>
      <c r="AP17">
        <v>9217</v>
      </c>
      <c r="AQ17" t="s">
        <v>4130</v>
      </c>
      <c r="AR17" t="s">
        <v>4130</v>
      </c>
      <c r="AS17">
        <v>0</v>
      </c>
      <c r="AT17" t="s">
        <v>4236</v>
      </c>
      <c r="AU17" t="s">
        <v>4129</v>
      </c>
      <c r="AV17" t="s">
        <v>4130</v>
      </c>
      <c r="AW17" t="s">
        <v>4129</v>
      </c>
      <c r="AX17" t="s">
        <v>4130</v>
      </c>
      <c r="AY17" t="s">
        <v>4130</v>
      </c>
      <c r="AZ17" t="s">
        <v>4130</v>
      </c>
    </row>
    <row r="18" spans="1:52">
      <c r="A18" t="s">
        <v>4237</v>
      </c>
      <c r="B18" t="s">
        <v>3367</v>
      </c>
      <c r="C18" t="s">
        <v>4238</v>
      </c>
      <c r="D18" t="s">
        <v>4121</v>
      </c>
      <c r="E18" t="s">
        <v>4157</v>
      </c>
      <c r="F18" t="s">
        <v>4158</v>
      </c>
      <c r="G18" t="s">
        <v>4239</v>
      </c>
      <c r="H18" t="s">
        <v>4125</v>
      </c>
      <c r="I18">
        <v>32733.22</v>
      </c>
      <c r="J18">
        <v>72013.08</v>
      </c>
      <c r="K18">
        <v>2.2000000000000002</v>
      </c>
      <c r="L18" t="s">
        <v>4126</v>
      </c>
      <c r="M18" t="s">
        <v>4160</v>
      </c>
      <c r="N18" t="s">
        <v>4128</v>
      </c>
      <c r="O18" t="s">
        <v>4129</v>
      </c>
      <c r="P18" t="s">
        <v>4130</v>
      </c>
      <c r="Q18" t="s">
        <v>4130</v>
      </c>
      <c r="R18" t="s">
        <v>4130</v>
      </c>
      <c r="S18" t="s">
        <v>4130</v>
      </c>
      <c r="T18" t="s">
        <v>4130</v>
      </c>
      <c r="U18" t="s">
        <v>4130</v>
      </c>
      <c r="V18" t="s">
        <v>4130</v>
      </c>
      <c r="W18" t="s">
        <v>4130</v>
      </c>
      <c r="X18">
        <v>0</v>
      </c>
      <c r="Y18">
        <v>0</v>
      </c>
      <c r="Z18">
        <v>44830.000497685185</v>
      </c>
      <c r="AA18">
        <v>44851.000497685185</v>
      </c>
      <c r="AB18">
        <v>44865.000497685185</v>
      </c>
      <c r="AC18" s="3838">
        <v>44865.000497685185</v>
      </c>
      <c r="AD18" t="s">
        <v>4240</v>
      </c>
      <c r="AE18" t="s">
        <v>4132</v>
      </c>
      <c r="AF18" t="s">
        <v>4241</v>
      </c>
      <c r="AG18" t="s">
        <v>4242</v>
      </c>
      <c r="AH18" t="s">
        <v>4146</v>
      </c>
      <c r="AI18">
        <v>149000</v>
      </c>
      <c r="AJ18">
        <v>30000</v>
      </c>
      <c r="AK18" t="s">
        <v>4243</v>
      </c>
      <c r="AL18">
        <v>149000</v>
      </c>
      <c r="AM18">
        <v>3034.63</v>
      </c>
      <c r="AN18">
        <v>3034.63</v>
      </c>
      <c r="AO18">
        <v>20691</v>
      </c>
      <c r="AP18">
        <v>20691</v>
      </c>
      <c r="AQ18" t="s">
        <v>4130</v>
      </c>
      <c r="AR18" t="s">
        <v>4130</v>
      </c>
      <c r="AS18">
        <v>0</v>
      </c>
      <c r="AT18" t="s">
        <v>4137</v>
      </c>
      <c r="AU18" t="s">
        <v>4129</v>
      </c>
      <c r="AV18" t="s">
        <v>4130</v>
      </c>
      <c r="AW18" t="s">
        <v>4129</v>
      </c>
      <c r="AX18" t="s">
        <v>4130</v>
      </c>
      <c r="AY18" t="s">
        <v>4130</v>
      </c>
      <c r="AZ18" t="s">
        <v>4130</v>
      </c>
    </row>
    <row r="19" spans="1:52">
      <c r="A19" t="s">
        <v>4244</v>
      </c>
      <c r="B19" t="s">
        <v>3367</v>
      </c>
      <c r="C19" t="s">
        <v>4245</v>
      </c>
      <c r="D19" t="s">
        <v>4121</v>
      </c>
      <c r="E19" t="s">
        <v>4157</v>
      </c>
      <c r="F19" t="s">
        <v>4158</v>
      </c>
      <c r="G19" t="s">
        <v>4239</v>
      </c>
      <c r="H19" t="s">
        <v>4125</v>
      </c>
      <c r="I19">
        <v>29506.55</v>
      </c>
      <c r="J19">
        <v>64914.41</v>
      </c>
      <c r="K19">
        <v>2.2000000000000002</v>
      </c>
      <c r="L19" t="s">
        <v>4126</v>
      </c>
      <c r="M19" t="s">
        <v>4160</v>
      </c>
      <c r="N19" t="s">
        <v>4128</v>
      </c>
      <c r="O19" t="s">
        <v>4129</v>
      </c>
      <c r="P19" t="s">
        <v>4130</v>
      </c>
      <c r="Q19" t="s">
        <v>4130</v>
      </c>
      <c r="R19" t="s">
        <v>4130</v>
      </c>
      <c r="S19" t="s">
        <v>4130</v>
      </c>
      <c r="T19" t="s">
        <v>4130</v>
      </c>
      <c r="U19" t="s">
        <v>4130</v>
      </c>
      <c r="V19" t="s">
        <v>4130</v>
      </c>
      <c r="W19" t="s">
        <v>4130</v>
      </c>
      <c r="X19">
        <v>0</v>
      </c>
      <c r="Y19">
        <v>0</v>
      </c>
      <c r="Z19">
        <v>44830.000497685185</v>
      </c>
      <c r="AA19">
        <v>44851.000497685185</v>
      </c>
      <c r="AB19">
        <v>44865.000497685185</v>
      </c>
      <c r="AC19" s="3838">
        <v>44865.000497685185</v>
      </c>
      <c r="AD19" t="s">
        <v>4246</v>
      </c>
      <c r="AE19" t="s">
        <v>4132</v>
      </c>
      <c r="AF19" t="s">
        <v>4247</v>
      </c>
      <c r="AG19" t="s">
        <v>4242</v>
      </c>
      <c r="AH19" t="s">
        <v>4146</v>
      </c>
      <c r="AI19">
        <v>135000</v>
      </c>
      <c r="AJ19">
        <v>27000</v>
      </c>
      <c r="AK19" t="s">
        <v>4243</v>
      </c>
      <c r="AL19">
        <v>135000</v>
      </c>
      <c r="AM19">
        <v>3050.17</v>
      </c>
      <c r="AN19">
        <v>3050.17</v>
      </c>
      <c r="AO19">
        <v>20797</v>
      </c>
      <c r="AP19">
        <v>20797</v>
      </c>
      <c r="AQ19" t="s">
        <v>4130</v>
      </c>
      <c r="AR19" t="s">
        <v>4130</v>
      </c>
      <c r="AS19">
        <v>0</v>
      </c>
      <c r="AT19" t="s">
        <v>4137</v>
      </c>
      <c r="AU19" t="s">
        <v>4129</v>
      </c>
      <c r="AV19" t="s">
        <v>4130</v>
      </c>
      <c r="AW19" t="s">
        <v>4129</v>
      </c>
      <c r="AX19" t="s">
        <v>4130</v>
      </c>
      <c r="AY19" t="s">
        <v>4130</v>
      </c>
      <c r="AZ19" t="s">
        <v>4130</v>
      </c>
    </row>
    <row r="20" spans="1:52">
      <c r="A20" t="s">
        <v>4248</v>
      </c>
      <c r="B20" t="s">
        <v>3367</v>
      </c>
      <c r="C20" t="s">
        <v>4249</v>
      </c>
      <c r="D20" t="s">
        <v>4121</v>
      </c>
      <c r="E20" t="s">
        <v>4139</v>
      </c>
      <c r="F20" t="s">
        <v>4140</v>
      </c>
      <c r="G20" t="s">
        <v>4141</v>
      </c>
      <c r="H20" t="s">
        <v>4125</v>
      </c>
      <c r="I20">
        <v>12629.88</v>
      </c>
      <c r="J20">
        <v>80000</v>
      </c>
      <c r="K20" t="s">
        <v>4250</v>
      </c>
      <c r="L20" t="s">
        <v>4126</v>
      </c>
      <c r="M20" t="s">
        <v>4127</v>
      </c>
      <c r="N20" t="s">
        <v>4128</v>
      </c>
      <c r="O20" t="s">
        <v>4129</v>
      </c>
      <c r="P20">
        <v>0.4</v>
      </c>
      <c r="Q20" t="s">
        <v>4130</v>
      </c>
      <c r="R20" t="s">
        <v>4130</v>
      </c>
      <c r="S20" t="s">
        <v>4130</v>
      </c>
      <c r="T20" t="s">
        <v>4130</v>
      </c>
      <c r="U20" t="s">
        <v>4130</v>
      </c>
      <c r="V20">
        <v>0</v>
      </c>
      <c r="W20">
        <v>0</v>
      </c>
      <c r="X20">
        <v>0</v>
      </c>
      <c r="Y20">
        <v>0</v>
      </c>
      <c r="Z20">
        <v>44764.000497685185</v>
      </c>
      <c r="AA20">
        <v>44784.000497685185</v>
      </c>
      <c r="AB20">
        <v>44798.000497685185</v>
      </c>
      <c r="AC20" s="3838">
        <v>44798.000497685185</v>
      </c>
      <c r="AD20" t="s">
        <v>4251</v>
      </c>
      <c r="AE20" t="s">
        <v>4132</v>
      </c>
      <c r="AF20" t="s">
        <v>4252</v>
      </c>
      <c r="AG20" t="s">
        <v>4253</v>
      </c>
      <c r="AH20" t="s">
        <v>4254</v>
      </c>
      <c r="AI20">
        <v>166000</v>
      </c>
      <c r="AJ20">
        <v>34000</v>
      </c>
      <c r="AK20" t="s">
        <v>4255</v>
      </c>
      <c r="AL20">
        <v>166000</v>
      </c>
      <c r="AM20">
        <v>8762.2900000000009</v>
      </c>
      <c r="AN20">
        <v>8762.2900000000009</v>
      </c>
      <c r="AO20">
        <v>20750</v>
      </c>
      <c r="AP20">
        <v>20750</v>
      </c>
      <c r="AQ20" t="s">
        <v>4130</v>
      </c>
      <c r="AR20" t="s">
        <v>4130</v>
      </c>
      <c r="AS20">
        <v>0</v>
      </c>
      <c r="AT20" t="s">
        <v>4137</v>
      </c>
      <c r="AU20" t="s">
        <v>4129</v>
      </c>
      <c r="AV20" t="s">
        <v>4130</v>
      </c>
      <c r="AW20" t="s">
        <v>4129</v>
      </c>
      <c r="AX20" t="s">
        <v>4130</v>
      </c>
      <c r="AY20" t="s">
        <v>4130</v>
      </c>
      <c r="AZ20">
        <v>-20750</v>
      </c>
    </row>
    <row r="21" spans="1:52">
      <c r="A21" t="s">
        <v>4256</v>
      </c>
      <c r="B21" t="s">
        <v>3367</v>
      </c>
      <c r="C21" t="s">
        <v>4257</v>
      </c>
      <c r="D21" t="s">
        <v>4121</v>
      </c>
      <c r="E21" t="s">
        <v>4167</v>
      </c>
      <c r="F21" t="s">
        <v>4258</v>
      </c>
      <c r="G21" t="s">
        <v>4259</v>
      </c>
      <c r="H21" t="s">
        <v>4125</v>
      </c>
      <c r="I21">
        <v>10000</v>
      </c>
      <c r="J21">
        <v>22000</v>
      </c>
      <c r="K21" t="s">
        <v>4260</v>
      </c>
      <c r="L21" t="s">
        <v>4126</v>
      </c>
      <c r="M21" t="s">
        <v>4160</v>
      </c>
      <c r="N21" t="s">
        <v>4128</v>
      </c>
      <c r="O21" t="s">
        <v>4129</v>
      </c>
      <c r="P21" t="s">
        <v>4130</v>
      </c>
      <c r="Q21" t="s">
        <v>4130</v>
      </c>
      <c r="R21" t="s">
        <v>4130</v>
      </c>
      <c r="S21" t="s">
        <v>4130</v>
      </c>
      <c r="T21" t="s">
        <v>4130</v>
      </c>
      <c r="U21" t="s">
        <v>4130</v>
      </c>
      <c r="V21" t="s">
        <v>4130</v>
      </c>
      <c r="W21" t="s">
        <v>4130</v>
      </c>
      <c r="X21">
        <v>0</v>
      </c>
      <c r="Y21">
        <v>0</v>
      </c>
      <c r="Z21">
        <v>44760.000497685185</v>
      </c>
      <c r="AA21">
        <v>44782.000497685185</v>
      </c>
      <c r="AB21">
        <v>44795.000497685185</v>
      </c>
      <c r="AC21" s="3838">
        <v>44795.000497685185</v>
      </c>
      <c r="AD21" t="s">
        <v>4261</v>
      </c>
      <c r="AE21" t="s">
        <v>4132</v>
      </c>
      <c r="AF21" t="s">
        <v>4262</v>
      </c>
      <c r="AG21" t="s">
        <v>4263</v>
      </c>
      <c r="AH21" t="s">
        <v>4130</v>
      </c>
      <c r="AI21">
        <v>36400</v>
      </c>
      <c r="AJ21">
        <v>7300</v>
      </c>
      <c r="AK21" t="s">
        <v>4264</v>
      </c>
      <c r="AL21">
        <v>36400</v>
      </c>
      <c r="AM21">
        <v>2426.67</v>
      </c>
      <c r="AN21">
        <v>2426.67</v>
      </c>
      <c r="AO21">
        <v>16545</v>
      </c>
      <c r="AP21">
        <v>16545</v>
      </c>
      <c r="AQ21" t="s">
        <v>4130</v>
      </c>
      <c r="AR21" t="s">
        <v>4130</v>
      </c>
      <c r="AS21">
        <v>0</v>
      </c>
      <c r="AT21" t="s">
        <v>4265</v>
      </c>
      <c r="AU21" t="s">
        <v>4129</v>
      </c>
      <c r="AV21" t="s">
        <v>4130</v>
      </c>
      <c r="AW21" t="s">
        <v>4129</v>
      </c>
      <c r="AX21" t="s">
        <v>4130</v>
      </c>
      <c r="AY21" t="s">
        <v>4130</v>
      </c>
      <c r="AZ21" t="s">
        <v>4130</v>
      </c>
    </row>
    <row r="22" spans="1:52">
      <c r="A22" t="s">
        <v>4266</v>
      </c>
      <c r="B22" t="s">
        <v>3367</v>
      </c>
      <c r="C22" t="s">
        <v>4267</v>
      </c>
      <c r="D22" t="s">
        <v>4121</v>
      </c>
      <c r="E22" t="s">
        <v>4167</v>
      </c>
      <c r="F22" t="s">
        <v>4258</v>
      </c>
      <c r="G22" t="s">
        <v>4259</v>
      </c>
      <c r="H22" t="s">
        <v>4125</v>
      </c>
      <c r="I22">
        <v>5500</v>
      </c>
      <c r="J22">
        <v>12100</v>
      </c>
      <c r="K22" t="s">
        <v>4260</v>
      </c>
      <c r="L22" t="s">
        <v>4126</v>
      </c>
      <c r="M22" t="s">
        <v>4160</v>
      </c>
      <c r="N22" t="s">
        <v>4128</v>
      </c>
      <c r="O22" t="s">
        <v>4129</v>
      </c>
      <c r="P22" t="s">
        <v>4130</v>
      </c>
      <c r="Q22" t="s">
        <v>4130</v>
      </c>
      <c r="R22" t="s">
        <v>4130</v>
      </c>
      <c r="S22" t="s">
        <v>4130</v>
      </c>
      <c r="T22" t="s">
        <v>4130</v>
      </c>
      <c r="U22" t="s">
        <v>4130</v>
      </c>
      <c r="V22" t="s">
        <v>4130</v>
      </c>
      <c r="W22" t="s">
        <v>4130</v>
      </c>
      <c r="X22">
        <v>0</v>
      </c>
      <c r="Y22">
        <v>0</v>
      </c>
      <c r="Z22">
        <v>44760.000497685185</v>
      </c>
      <c r="AA22">
        <v>44782.000497685185</v>
      </c>
      <c r="AB22">
        <v>44796.000497685185</v>
      </c>
      <c r="AC22" s="3838">
        <v>44796.000497685185</v>
      </c>
      <c r="AD22" t="s">
        <v>4268</v>
      </c>
      <c r="AE22" t="s">
        <v>4132</v>
      </c>
      <c r="AF22" t="s">
        <v>4269</v>
      </c>
      <c r="AG22" t="s">
        <v>4130</v>
      </c>
      <c r="AH22" t="s">
        <v>4130</v>
      </c>
      <c r="AI22">
        <v>20000</v>
      </c>
      <c r="AJ22">
        <v>4000</v>
      </c>
      <c r="AK22" t="s">
        <v>4264</v>
      </c>
      <c r="AL22">
        <v>20000</v>
      </c>
      <c r="AM22">
        <v>2424.2399999999998</v>
      </c>
      <c r="AN22">
        <v>2424.2399999999998</v>
      </c>
      <c r="AO22">
        <v>16529</v>
      </c>
      <c r="AP22">
        <v>16529</v>
      </c>
      <c r="AQ22" t="s">
        <v>4130</v>
      </c>
      <c r="AR22" t="s">
        <v>4130</v>
      </c>
      <c r="AS22">
        <v>0</v>
      </c>
      <c r="AT22" t="s">
        <v>4265</v>
      </c>
      <c r="AU22" t="s">
        <v>4129</v>
      </c>
      <c r="AV22" t="s">
        <v>4130</v>
      </c>
      <c r="AW22" t="s">
        <v>4129</v>
      </c>
      <c r="AX22" t="s">
        <v>4130</v>
      </c>
      <c r="AY22" t="s">
        <v>4130</v>
      </c>
      <c r="AZ22" t="s">
        <v>4130</v>
      </c>
    </row>
    <row r="23" spans="1:52">
      <c r="A23" t="s">
        <v>4270</v>
      </c>
      <c r="B23" t="s">
        <v>3367</v>
      </c>
      <c r="C23" t="s">
        <v>4271</v>
      </c>
      <c r="D23" t="s">
        <v>4121</v>
      </c>
      <c r="E23" t="s">
        <v>4167</v>
      </c>
      <c r="F23" t="s">
        <v>4272</v>
      </c>
      <c r="G23" t="s">
        <v>4273</v>
      </c>
      <c r="H23" t="s">
        <v>4125</v>
      </c>
      <c r="I23">
        <v>16122.82</v>
      </c>
      <c r="J23">
        <v>45143.91</v>
      </c>
      <c r="K23" t="s">
        <v>4191</v>
      </c>
      <c r="L23" t="s">
        <v>4126</v>
      </c>
      <c r="M23" t="s">
        <v>4160</v>
      </c>
      <c r="N23" t="s">
        <v>4128</v>
      </c>
      <c r="O23" t="s">
        <v>4129</v>
      </c>
      <c r="P23" t="s">
        <v>4130</v>
      </c>
      <c r="Q23" t="s">
        <v>4130</v>
      </c>
      <c r="R23" t="s">
        <v>4130</v>
      </c>
      <c r="S23" t="s">
        <v>4130</v>
      </c>
      <c r="T23" t="s">
        <v>4130</v>
      </c>
      <c r="U23" t="s">
        <v>4130</v>
      </c>
      <c r="V23" t="s">
        <v>4130</v>
      </c>
      <c r="W23" t="s">
        <v>4130</v>
      </c>
      <c r="X23">
        <v>0</v>
      </c>
      <c r="Y23">
        <v>0</v>
      </c>
      <c r="Z23">
        <v>44725.000497685185</v>
      </c>
      <c r="AA23">
        <v>44747.000497685185</v>
      </c>
      <c r="AB23">
        <v>44761.000497685185</v>
      </c>
      <c r="AC23" s="3838">
        <v>44761.000497685185</v>
      </c>
      <c r="AD23" t="s">
        <v>4274</v>
      </c>
      <c r="AE23" t="s">
        <v>4132</v>
      </c>
      <c r="AF23" t="s">
        <v>4275</v>
      </c>
      <c r="AG23" t="s">
        <v>4276</v>
      </c>
      <c r="AH23" t="s">
        <v>4130</v>
      </c>
      <c r="AI23">
        <v>76000</v>
      </c>
      <c r="AJ23">
        <v>16000</v>
      </c>
      <c r="AK23" t="s">
        <v>4277</v>
      </c>
      <c r="AL23">
        <v>76000</v>
      </c>
      <c r="AM23">
        <v>3142.54</v>
      </c>
      <c r="AN23">
        <v>3142.54</v>
      </c>
      <c r="AO23">
        <v>16835</v>
      </c>
      <c r="AP23">
        <v>16835</v>
      </c>
      <c r="AQ23" t="s">
        <v>4130</v>
      </c>
      <c r="AR23" t="s">
        <v>4130</v>
      </c>
      <c r="AS23">
        <v>0</v>
      </c>
      <c r="AT23" t="s">
        <v>4278</v>
      </c>
      <c r="AU23" t="s">
        <v>4129</v>
      </c>
      <c r="AV23" t="s">
        <v>4130</v>
      </c>
      <c r="AW23" t="s">
        <v>4129</v>
      </c>
      <c r="AX23" t="s">
        <v>4130</v>
      </c>
      <c r="AY23" t="s">
        <v>4130</v>
      </c>
      <c r="AZ23" t="s">
        <v>4130</v>
      </c>
    </row>
    <row r="24" spans="1:52">
      <c r="A24" t="s">
        <v>4279</v>
      </c>
      <c r="B24" t="s">
        <v>3367</v>
      </c>
      <c r="C24" t="s">
        <v>4280</v>
      </c>
      <c r="D24" t="s">
        <v>4121</v>
      </c>
      <c r="E24" t="s">
        <v>4198</v>
      </c>
      <c r="F24" t="s">
        <v>4281</v>
      </c>
      <c r="G24" t="s">
        <v>4282</v>
      </c>
      <c r="H24" t="s">
        <v>4125</v>
      </c>
      <c r="I24">
        <v>17308.8</v>
      </c>
      <c r="J24">
        <v>86544</v>
      </c>
      <c r="K24" t="s">
        <v>4283</v>
      </c>
      <c r="L24" t="s">
        <v>4126</v>
      </c>
      <c r="M24" t="s">
        <v>4160</v>
      </c>
      <c r="N24" t="s">
        <v>4128</v>
      </c>
      <c r="O24" t="s">
        <v>4129</v>
      </c>
      <c r="P24" t="s">
        <v>4284</v>
      </c>
      <c r="Q24">
        <v>100</v>
      </c>
      <c r="R24" t="s">
        <v>4130</v>
      </c>
      <c r="S24" t="s">
        <v>4130</v>
      </c>
      <c r="T24" t="s">
        <v>4130</v>
      </c>
      <c r="U24" t="s">
        <v>4130</v>
      </c>
      <c r="V24" t="s">
        <v>4130</v>
      </c>
      <c r="W24" t="s">
        <v>4130</v>
      </c>
      <c r="X24">
        <v>0</v>
      </c>
      <c r="Y24">
        <v>0</v>
      </c>
      <c r="Z24">
        <v>44701.000497685185</v>
      </c>
      <c r="AA24">
        <v>44721.000497685185</v>
      </c>
      <c r="AB24">
        <v>44735.000497685185</v>
      </c>
      <c r="AC24" s="3838">
        <v>44735.000497685185</v>
      </c>
      <c r="AD24" t="s">
        <v>4285</v>
      </c>
      <c r="AE24" t="s">
        <v>4132</v>
      </c>
      <c r="AF24" t="s">
        <v>4286</v>
      </c>
      <c r="AG24" t="s">
        <v>4287</v>
      </c>
      <c r="AH24" t="s">
        <v>4130</v>
      </c>
      <c r="AI24">
        <v>91400</v>
      </c>
      <c r="AJ24">
        <v>18300</v>
      </c>
      <c r="AK24" t="s">
        <v>4288</v>
      </c>
      <c r="AL24">
        <v>91400</v>
      </c>
      <c r="AM24">
        <v>3520.37</v>
      </c>
      <c r="AN24">
        <v>3520.37</v>
      </c>
      <c r="AO24">
        <v>10561</v>
      </c>
      <c r="AP24">
        <v>10561</v>
      </c>
      <c r="AQ24" t="s">
        <v>4130</v>
      </c>
      <c r="AR24" t="s">
        <v>4130</v>
      </c>
      <c r="AS24">
        <v>0</v>
      </c>
      <c r="AT24" t="s">
        <v>4289</v>
      </c>
      <c r="AU24" t="s">
        <v>4129</v>
      </c>
      <c r="AV24" t="s">
        <v>4130</v>
      </c>
      <c r="AW24" t="s">
        <v>4129</v>
      </c>
      <c r="AX24" t="s">
        <v>4130</v>
      </c>
      <c r="AY24" t="s">
        <v>4130</v>
      </c>
      <c r="AZ24" t="s">
        <v>4130</v>
      </c>
    </row>
    <row r="25" spans="1:52">
      <c r="A25" t="s">
        <v>4290</v>
      </c>
      <c r="B25" t="s">
        <v>3367</v>
      </c>
      <c r="C25" t="s">
        <v>4291</v>
      </c>
      <c r="D25" t="s">
        <v>4121</v>
      </c>
      <c r="E25" t="s">
        <v>4198</v>
      </c>
      <c r="F25" t="s">
        <v>4292</v>
      </c>
      <c r="G25" t="s">
        <v>4209</v>
      </c>
      <c r="H25" t="s">
        <v>4125</v>
      </c>
      <c r="I25">
        <v>59169.74</v>
      </c>
      <c r="J25">
        <v>130173.43</v>
      </c>
      <c r="K25" t="s">
        <v>4260</v>
      </c>
      <c r="L25" t="s">
        <v>4126</v>
      </c>
      <c r="M25" t="s">
        <v>4160</v>
      </c>
      <c r="N25" t="s">
        <v>4128</v>
      </c>
      <c r="O25" t="s">
        <v>4129</v>
      </c>
      <c r="P25" t="s">
        <v>4130</v>
      </c>
      <c r="Q25" t="s">
        <v>4130</v>
      </c>
      <c r="R25" t="s">
        <v>4130</v>
      </c>
      <c r="S25" t="s">
        <v>4130</v>
      </c>
      <c r="T25" t="s">
        <v>4130</v>
      </c>
      <c r="U25" t="s">
        <v>4130</v>
      </c>
      <c r="V25" t="s">
        <v>4130</v>
      </c>
      <c r="W25" t="s">
        <v>4130</v>
      </c>
      <c r="X25">
        <v>0</v>
      </c>
      <c r="Y25">
        <v>0</v>
      </c>
      <c r="Z25">
        <v>44648.000497685185</v>
      </c>
      <c r="AA25">
        <v>44669.000497685185</v>
      </c>
      <c r="AB25">
        <v>44680.000497685185</v>
      </c>
      <c r="AC25" s="3838">
        <v>44680.000497685185</v>
      </c>
      <c r="AD25" t="s">
        <v>4293</v>
      </c>
      <c r="AE25" t="s">
        <v>4132</v>
      </c>
      <c r="AF25" t="s">
        <v>4294</v>
      </c>
      <c r="AG25" t="s">
        <v>4295</v>
      </c>
      <c r="AH25" t="s">
        <v>4146</v>
      </c>
      <c r="AI25">
        <v>131600</v>
      </c>
      <c r="AJ25">
        <v>27000</v>
      </c>
      <c r="AK25" t="s">
        <v>4296</v>
      </c>
      <c r="AL25">
        <v>131600</v>
      </c>
      <c r="AM25">
        <v>1482.74</v>
      </c>
      <c r="AN25">
        <v>1482.74</v>
      </c>
      <c r="AO25">
        <v>10110</v>
      </c>
      <c r="AP25">
        <v>10110</v>
      </c>
      <c r="AQ25" t="s">
        <v>4130</v>
      </c>
      <c r="AR25" t="s">
        <v>4130</v>
      </c>
      <c r="AS25">
        <v>0</v>
      </c>
      <c r="AT25" t="s">
        <v>4137</v>
      </c>
      <c r="AU25" t="s">
        <v>4129</v>
      </c>
      <c r="AV25" t="s">
        <v>4130</v>
      </c>
      <c r="AW25" t="s">
        <v>4129</v>
      </c>
      <c r="AX25" t="s">
        <v>4130</v>
      </c>
      <c r="AY25" t="s">
        <v>4130</v>
      </c>
      <c r="AZ25" t="s">
        <v>4130</v>
      </c>
    </row>
    <row r="26" spans="1:52">
      <c r="A26" t="s">
        <v>4297</v>
      </c>
      <c r="B26" t="s">
        <v>3367</v>
      </c>
      <c r="C26" t="s">
        <v>4298</v>
      </c>
      <c r="D26" t="s">
        <v>4121</v>
      </c>
      <c r="E26" t="s">
        <v>4198</v>
      </c>
      <c r="F26" t="s">
        <v>4208</v>
      </c>
      <c r="G26" t="s">
        <v>4299</v>
      </c>
      <c r="H26" t="s">
        <v>4125</v>
      </c>
      <c r="I26">
        <v>12066.9</v>
      </c>
      <c r="J26">
        <v>18100.349999999999</v>
      </c>
      <c r="K26">
        <v>1.5</v>
      </c>
      <c r="L26" t="s">
        <v>4126</v>
      </c>
      <c r="M26" t="s">
        <v>4127</v>
      </c>
      <c r="N26" t="s">
        <v>4128</v>
      </c>
      <c r="O26" t="s">
        <v>4129</v>
      </c>
      <c r="P26" t="s">
        <v>4300</v>
      </c>
      <c r="Q26" t="s">
        <v>4301</v>
      </c>
      <c r="R26" t="s">
        <v>4130</v>
      </c>
      <c r="S26" t="s">
        <v>4130</v>
      </c>
      <c r="T26" t="s">
        <v>4130</v>
      </c>
      <c r="U26" t="s">
        <v>4130</v>
      </c>
      <c r="V26">
        <v>0</v>
      </c>
      <c r="W26">
        <v>0</v>
      </c>
      <c r="X26">
        <v>0</v>
      </c>
      <c r="Y26">
        <v>0</v>
      </c>
      <c r="Z26">
        <v>44587.000497685185</v>
      </c>
      <c r="AA26">
        <v>44607.000497685185</v>
      </c>
      <c r="AB26">
        <v>44621.000497685185</v>
      </c>
      <c r="AC26" s="3838">
        <v>44621.000497685185</v>
      </c>
      <c r="AD26" t="s">
        <v>4302</v>
      </c>
      <c r="AE26" t="s">
        <v>4132</v>
      </c>
      <c r="AF26" t="s">
        <v>4294</v>
      </c>
      <c r="AG26" t="s">
        <v>4130</v>
      </c>
      <c r="AH26" t="s">
        <v>4130</v>
      </c>
      <c r="AI26">
        <v>9400</v>
      </c>
      <c r="AJ26">
        <v>1900</v>
      </c>
      <c r="AK26" t="s">
        <v>633</v>
      </c>
      <c r="AL26">
        <v>9400</v>
      </c>
      <c r="AM26">
        <v>519.33000000000004</v>
      </c>
      <c r="AN26">
        <v>519.33000000000004</v>
      </c>
      <c r="AO26">
        <v>5193</v>
      </c>
      <c r="AP26">
        <v>5193</v>
      </c>
      <c r="AQ26" t="s">
        <v>4130</v>
      </c>
      <c r="AR26" t="s">
        <v>4130</v>
      </c>
      <c r="AS26">
        <v>0</v>
      </c>
      <c r="AT26" t="s">
        <v>4303</v>
      </c>
      <c r="AU26" t="s">
        <v>4129</v>
      </c>
      <c r="AV26" t="s">
        <v>4130</v>
      </c>
      <c r="AW26" t="s">
        <v>4129</v>
      </c>
      <c r="AX26" t="s">
        <v>4130</v>
      </c>
      <c r="AY26" t="s">
        <v>4130</v>
      </c>
      <c r="AZ26" t="s">
        <v>4130</v>
      </c>
    </row>
    <row r="27" spans="1:52">
      <c r="A27" t="s">
        <v>4304</v>
      </c>
      <c r="B27" t="s">
        <v>3367</v>
      </c>
      <c r="C27" t="s">
        <v>4305</v>
      </c>
      <c r="D27" t="s">
        <v>4121</v>
      </c>
      <c r="E27" t="s">
        <v>4198</v>
      </c>
      <c r="F27" t="s">
        <v>4306</v>
      </c>
      <c r="G27" t="s">
        <v>4307</v>
      </c>
      <c r="H27" t="s">
        <v>4125</v>
      </c>
      <c r="I27">
        <v>15178.6</v>
      </c>
      <c r="J27">
        <v>45535.8</v>
      </c>
      <c r="K27">
        <v>3</v>
      </c>
      <c r="L27" t="s">
        <v>4126</v>
      </c>
      <c r="M27" t="s">
        <v>4160</v>
      </c>
      <c r="N27" t="s">
        <v>4128</v>
      </c>
      <c r="O27" t="s">
        <v>4129</v>
      </c>
      <c r="P27" t="s">
        <v>4130</v>
      </c>
      <c r="Q27" t="s">
        <v>4130</v>
      </c>
      <c r="R27" t="s">
        <v>4130</v>
      </c>
      <c r="S27" t="s">
        <v>4130</v>
      </c>
      <c r="T27" t="s">
        <v>4130</v>
      </c>
      <c r="U27" t="s">
        <v>4130</v>
      </c>
      <c r="V27" t="s">
        <v>4130</v>
      </c>
      <c r="W27" t="s">
        <v>4130</v>
      </c>
      <c r="X27">
        <v>0</v>
      </c>
      <c r="Y27">
        <v>0</v>
      </c>
      <c r="Z27">
        <v>44561.000497685185</v>
      </c>
      <c r="AA27">
        <v>44581.000497685185</v>
      </c>
      <c r="AB27">
        <v>44600.000497685185</v>
      </c>
      <c r="AC27" s="3838">
        <v>44600.000497685185</v>
      </c>
      <c r="AD27" t="s">
        <v>4308</v>
      </c>
      <c r="AE27" t="s">
        <v>4132</v>
      </c>
      <c r="AF27" t="s">
        <v>4309</v>
      </c>
      <c r="AG27" t="s">
        <v>4310</v>
      </c>
      <c r="AH27" t="s">
        <v>4146</v>
      </c>
      <c r="AI27">
        <v>58400</v>
      </c>
      <c r="AJ27">
        <v>11700</v>
      </c>
      <c r="AK27" t="s">
        <v>633</v>
      </c>
      <c r="AL27">
        <v>58400</v>
      </c>
      <c r="AM27">
        <v>2565.0100000000002</v>
      </c>
      <c r="AN27">
        <v>2565.0100000000002</v>
      </c>
      <c r="AO27">
        <v>12825</v>
      </c>
      <c r="AP27">
        <v>12825</v>
      </c>
      <c r="AQ27" t="s">
        <v>4130</v>
      </c>
      <c r="AR27" t="s">
        <v>4130</v>
      </c>
      <c r="AS27">
        <v>0</v>
      </c>
      <c r="AT27" t="s">
        <v>4265</v>
      </c>
      <c r="AU27" t="s">
        <v>4129</v>
      </c>
      <c r="AV27" t="s">
        <v>4130</v>
      </c>
      <c r="AW27" t="s">
        <v>4129</v>
      </c>
      <c r="AX27" t="s">
        <v>4130</v>
      </c>
      <c r="AY27" t="s">
        <v>4130</v>
      </c>
      <c r="AZ27" t="s">
        <v>4130</v>
      </c>
    </row>
    <row r="28" spans="1:52">
      <c r="A28" t="s">
        <v>4311</v>
      </c>
      <c r="B28" t="s">
        <v>3367</v>
      </c>
      <c r="C28" t="s">
        <v>4312</v>
      </c>
      <c r="D28" t="s">
        <v>4121</v>
      </c>
      <c r="E28" t="s">
        <v>4313</v>
      </c>
      <c r="F28" t="s">
        <v>4314</v>
      </c>
      <c r="G28" t="s">
        <v>4315</v>
      </c>
      <c r="H28" t="s">
        <v>4125</v>
      </c>
      <c r="I28">
        <v>19258.580000000002</v>
      </c>
      <c r="J28">
        <v>38517.17</v>
      </c>
      <c r="K28">
        <v>2</v>
      </c>
      <c r="L28" t="s">
        <v>4126</v>
      </c>
      <c r="M28" t="s">
        <v>4160</v>
      </c>
      <c r="N28" t="s">
        <v>4128</v>
      </c>
      <c r="O28" t="s">
        <v>4129</v>
      </c>
      <c r="P28" t="s">
        <v>4130</v>
      </c>
      <c r="Q28" t="s">
        <v>4316</v>
      </c>
      <c r="R28" t="s">
        <v>4130</v>
      </c>
      <c r="S28" t="s">
        <v>4130</v>
      </c>
      <c r="T28" t="s">
        <v>4130</v>
      </c>
      <c r="U28" t="s">
        <v>4130</v>
      </c>
      <c r="V28" t="s">
        <v>4130</v>
      </c>
      <c r="W28" t="s">
        <v>4130</v>
      </c>
      <c r="X28">
        <v>0</v>
      </c>
      <c r="Y28">
        <v>0</v>
      </c>
      <c r="Z28">
        <v>44546.000497685185</v>
      </c>
      <c r="AA28">
        <v>44566.000497685185</v>
      </c>
      <c r="AB28">
        <v>44580.000497685185</v>
      </c>
      <c r="AC28" s="3838">
        <v>44580.000497685185</v>
      </c>
      <c r="AD28" t="s">
        <v>4317</v>
      </c>
      <c r="AE28" t="s">
        <v>4132</v>
      </c>
      <c r="AF28" t="s">
        <v>4318</v>
      </c>
      <c r="AG28" t="s">
        <v>4130</v>
      </c>
      <c r="AH28" t="s">
        <v>4130</v>
      </c>
      <c r="AI28">
        <v>28400</v>
      </c>
      <c r="AJ28">
        <v>5700</v>
      </c>
      <c r="AK28" t="s">
        <v>4319</v>
      </c>
      <c r="AL28">
        <v>28400</v>
      </c>
      <c r="AM28">
        <v>983.11</v>
      </c>
      <c r="AN28">
        <v>983.11</v>
      </c>
      <c r="AO28">
        <v>7373</v>
      </c>
      <c r="AP28">
        <v>7373</v>
      </c>
      <c r="AQ28" t="s">
        <v>4130</v>
      </c>
      <c r="AR28" t="s">
        <v>4130</v>
      </c>
      <c r="AS28">
        <v>0</v>
      </c>
      <c r="AT28" t="s">
        <v>4265</v>
      </c>
      <c r="AU28" t="s">
        <v>4129</v>
      </c>
      <c r="AV28" t="s">
        <v>4130</v>
      </c>
      <c r="AW28" t="s">
        <v>4129</v>
      </c>
      <c r="AX28" t="s">
        <v>4130</v>
      </c>
      <c r="AY28" t="s">
        <v>4130</v>
      </c>
      <c r="AZ28" t="s">
        <v>4130</v>
      </c>
    </row>
    <row r="29" spans="1:52">
      <c r="A29" t="s">
        <v>4320</v>
      </c>
      <c r="B29" t="s">
        <v>3367</v>
      </c>
      <c r="C29" t="s">
        <v>4321</v>
      </c>
      <c r="D29" t="s">
        <v>4121</v>
      </c>
      <c r="E29" t="s">
        <v>4313</v>
      </c>
      <c r="F29" t="s">
        <v>4314</v>
      </c>
      <c r="G29" t="s">
        <v>4315</v>
      </c>
      <c r="H29" t="s">
        <v>4125</v>
      </c>
      <c r="I29">
        <v>28547.88</v>
      </c>
      <c r="J29">
        <v>51828.53</v>
      </c>
      <c r="K29">
        <v>1.82</v>
      </c>
      <c r="L29" t="s">
        <v>4126</v>
      </c>
      <c r="M29" t="s">
        <v>4160</v>
      </c>
      <c r="N29" t="s">
        <v>4128</v>
      </c>
      <c r="O29" t="s">
        <v>4129</v>
      </c>
      <c r="P29" t="s">
        <v>4130</v>
      </c>
      <c r="Q29" t="s">
        <v>4322</v>
      </c>
      <c r="R29" t="s">
        <v>4130</v>
      </c>
      <c r="S29" t="s">
        <v>4130</v>
      </c>
      <c r="T29" t="s">
        <v>4130</v>
      </c>
      <c r="U29" t="s">
        <v>4130</v>
      </c>
      <c r="V29" t="s">
        <v>4130</v>
      </c>
      <c r="W29" t="s">
        <v>4130</v>
      </c>
      <c r="X29">
        <v>0</v>
      </c>
      <c r="Y29">
        <v>0</v>
      </c>
      <c r="Z29">
        <v>44546.000497685185</v>
      </c>
      <c r="AA29">
        <v>44566.000497685185</v>
      </c>
      <c r="AB29">
        <v>44580.000497685185</v>
      </c>
      <c r="AC29" s="3838">
        <v>44580.000497685185</v>
      </c>
      <c r="AD29" t="s">
        <v>4323</v>
      </c>
      <c r="AE29" t="s">
        <v>4132</v>
      </c>
      <c r="AF29" t="s">
        <v>4324</v>
      </c>
      <c r="AG29" t="s">
        <v>4325</v>
      </c>
      <c r="AH29" t="s">
        <v>4146</v>
      </c>
      <c r="AI29">
        <v>37700</v>
      </c>
      <c r="AJ29">
        <v>7600</v>
      </c>
      <c r="AK29" t="s">
        <v>4319</v>
      </c>
      <c r="AL29">
        <v>37700</v>
      </c>
      <c r="AM29">
        <v>880.39</v>
      </c>
      <c r="AN29">
        <v>880.39</v>
      </c>
      <c r="AO29">
        <v>7274</v>
      </c>
      <c r="AP29">
        <v>7274</v>
      </c>
      <c r="AQ29" t="s">
        <v>4130</v>
      </c>
      <c r="AR29" t="s">
        <v>4130</v>
      </c>
      <c r="AS29">
        <v>0</v>
      </c>
      <c r="AT29" t="s">
        <v>4265</v>
      </c>
      <c r="AU29" t="s">
        <v>4129</v>
      </c>
      <c r="AV29" t="s">
        <v>4130</v>
      </c>
      <c r="AW29" t="s">
        <v>4129</v>
      </c>
      <c r="AX29" t="s">
        <v>4130</v>
      </c>
      <c r="AY29" t="s">
        <v>4130</v>
      </c>
      <c r="AZ29" t="s">
        <v>4130</v>
      </c>
    </row>
    <row r="30" spans="1:52">
      <c r="A30" t="s">
        <v>4326</v>
      </c>
      <c r="B30" t="s">
        <v>3367</v>
      </c>
      <c r="C30" t="s">
        <v>4327</v>
      </c>
      <c r="D30" t="s">
        <v>4121</v>
      </c>
      <c r="E30" t="s">
        <v>4167</v>
      </c>
      <c r="F30" t="s">
        <v>4328</v>
      </c>
      <c r="G30" t="s">
        <v>4329</v>
      </c>
      <c r="H30" t="s">
        <v>4125</v>
      </c>
      <c r="I30">
        <v>29991.73</v>
      </c>
      <c r="J30">
        <v>119966.93</v>
      </c>
      <c r="K30">
        <v>4</v>
      </c>
      <c r="L30" t="s">
        <v>4126</v>
      </c>
      <c r="M30" t="s">
        <v>4160</v>
      </c>
      <c r="N30" t="s">
        <v>4128</v>
      </c>
      <c r="O30" t="s">
        <v>4129</v>
      </c>
      <c r="P30" t="s">
        <v>4130</v>
      </c>
      <c r="Q30">
        <v>100</v>
      </c>
      <c r="R30" t="s">
        <v>4130</v>
      </c>
      <c r="S30" t="s">
        <v>4130</v>
      </c>
      <c r="T30" t="s">
        <v>4130</v>
      </c>
      <c r="U30" t="s">
        <v>4130</v>
      </c>
      <c r="V30" t="s">
        <v>4130</v>
      </c>
      <c r="W30" t="s">
        <v>4130</v>
      </c>
      <c r="X30">
        <v>0</v>
      </c>
      <c r="Y30">
        <v>0</v>
      </c>
      <c r="Z30">
        <v>44531.000497685185</v>
      </c>
      <c r="AA30">
        <v>44551.000497685185</v>
      </c>
      <c r="AB30">
        <v>44566.000497685185</v>
      </c>
      <c r="AC30" s="3838">
        <v>44566.000497685185</v>
      </c>
      <c r="AD30" t="s">
        <v>4330</v>
      </c>
      <c r="AE30" t="s">
        <v>4132</v>
      </c>
      <c r="AF30" t="s">
        <v>4331</v>
      </c>
      <c r="AG30" t="s">
        <v>4130</v>
      </c>
      <c r="AH30" t="s">
        <v>4130</v>
      </c>
      <c r="AI30">
        <v>165300</v>
      </c>
      <c r="AJ30">
        <v>33100</v>
      </c>
      <c r="AK30" t="s">
        <v>633</v>
      </c>
      <c r="AL30">
        <v>165300</v>
      </c>
      <c r="AM30">
        <v>3674.35</v>
      </c>
      <c r="AN30">
        <v>3674.35</v>
      </c>
      <c r="AO30">
        <v>13779</v>
      </c>
      <c r="AP30">
        <v>13779</v>
      </c>
      <c r="AQ30" t="s">
        <v>4130</v>
      </c>
      <c r="AR30" t="s">
        <v>4130</v>
      </c>
      <c r="AS30">
        <v>0</v>
      </c>
      <c r="AT30" t="s">
        <v>4332</v>
      </c>
      <c r="AU30" t="s">
        <v>4129</v>
      </c>
      <c r="AV30" t="s">
        <v>4130</v>
      </c>
      <c r="AW30" t="s">
        <v>4129</v>
      </c>
      <c r="AX30" t="s">
        <v>4130</v>
      </c>
      <c r="AY30" t="s">
        <v>4130</v>
      </c>
      <c r="AZ30" t="s">
        <v>4130</v>
      </c>
    </row>
    <row r="31" spans="1:52">
      <c r="A31" t="s">
        <v>4333</v>
      </c>
      <c r="B31" t="s">
        <v>3367</v>
      </c>
      <c r="C31" t="s">
        <v>4334</v>
      </c>
      <c r="D31" t="s">
        <v>4121</v>
      </c>
      <c r="E31" t="s">
        <v>4198</v>
      </c>
      <c r="F31" t="s">
        <v>4335</v>
      </c>
      <c r="G31" t="s">
        <v>4336</v>
      </c>
      <c r="H31" t="s">
        <v>4125</v>
      </c>
      <c r="I31">
        <v>15197.52</v>
      </c>
      <c r="J31">
        <v>30395.05</v>
      </c>
      <c r="K31">
        <v>2</v>
      </c>
      <c r="L31" t="s">
        <v>4126</v>
      </c>
      <c r="M31" t="s">
        <v>4337</v>
      </c>
      <c r="N31" t="s">
        <v>4338</v>
      </c>
      <c r="O31" t="s">
        <v>4129</v>
      </c>
      <c r="P31" t="s">
        <v>4130</v>
      </c>
      <c r="Q31">
        <v>36</v>
      </c>
      <c r="R31" t="s">
        <v>4130</v>
      </c>
      <c r="S31" t="s">
        <v>4130</v>
      </c>
      <c r="T31" t="s">
        <v>4130</v>
      </c>
      <c r="U31" t="s">
        <v>4130</v>
      </c>
      <c r="V31" t="s">
        <v>4130</v>
      </c>
      <c r="W31" t="s">
        <v>4130</v>
      </c>
      <c r="X31">
        <v>0</v>
      </c>
      <c r="Y31">
        <v>0</v>
      </c>
      <c r="Z31">
        <v>44519.000497685185</v>
      </c>
      <c r="AA31">
        <v>44540.000497685185</v>
      </c>
      <c r="AB31">
        <v>44554.000497685185</v>
      </c>
      <c r="AC31" s="3838">
        <v>44554.000497685185</v>
      </c>
      <c r="AD31" t="s">
        <v>4339</v>
      </c>
      <c r="AE31" t="s">
        <v>4132</v>
      </c>
      <c r="AF31" t="s">
        <v>4340</v>
      </c>
      <c r="AG31" t="s">
        <v>4341</v>
      </c>
      <c r="AH31" t="s">
        <v>4146</v>
      </c>
      <c r="AI31">
        <v>42600</v>
      </c>
      <c r="AJ31">
        <v>8600</v>
      </c>
      <c r="AK31" t="s">
        <v>4342</v>
      </c>
      <c r="AL31">
        <v>42600</v>
      </c>
      <c r="AM31">
        <v>1868.73</v>
      </c>
      <c r="AN31">
        <v>1868.73</v>
      </c>
      <c r="AO31">
        <v>14015</v>
      </c>
      <c r="AP31">
        <v>14015</v>
      </c>
      <c r="AQ31" t="s">
        <v>4130</v>
      </c>
      <c r="AR31" t="s">
        <v>4130</v>
      </c>
      <c r="AS31">
        <v>0</v>
      </c>
      <c r="AT31" t="s">
        <v>4265</v>
      </c>
      <c r="AU31" t="s">
        <v>4129</v>
      </c>
      <c r="AV31" t="s">
        <v>4130</v>
      </c>
      <c r="AW31" t="s">
        <v>4129</v>
      </c>
      <c r="AX31" t="s">
        <v>4130</v>
      </c>
      <c r="AY31" t="s">
        <v>4130</v>
      </c>
      <c r="AZ31" t="s">
        <v>4130</v>
      </c>
    </row>
    <row r="32" spans="1:52">
      <c r="A32" t="s">
        <v>4343</v>
      </c>
      <c r="B32" t="s">
        <v>3367</v>
      </c>
      <c r="C32" t="s">
        <v>4344</v>
      </c>
      <c r="D32" t="s">
        <v>4121</v>
      </c>
      <c r="E32" t="s">
        <v>4157</v>
      </c>
      <c r="F32" t="s">
        <v>4158</v>
      </c>
      <c r="G32" t="s">
        <v>4345</v>
      </c>
      <c r="H32" t="s">
        <v>4125</v>
      </c>
      <c r="I32">
        <v>38252.550000000003</v>
      </c>
      <c r="J32">
        <v>84155.61</v>
      </c>
      <c r="K32">
        <v>2.2000000000000002</v>
      </c>
      <c r="L32" t="s">
        <v>4126</v>
      </c>
      <c r="M32" t="s">
        <v>4160</v>
      </c>
      <c r="N32" t="s">
        <v>4128</v>
      </c>
      <c r="O32" t="s">
        <v>4129</v>
      </c>
      <c r="P32" t="s">
        <v>4130</v>
      </c>
      <c r="Q32">
        <v>45</v>
      </c>
      <c r="R32" t="s">
        <v>4130</v>
      </c>
      <c r="S32" t="s">
        <v>4130</v>
      </c>
      <c r="T32" t="s">
        <v>4130</v>
      </c>
      <c r="U32" t="s">
        <v>4130</v>
      </c>
      <c r="V32" t="s">
        <v>4130</v>
      </c>
      <c r="W32" t="s">
        <v>4130</v>
      </c>
      <c r="X32">
        <v>0</v>
      </c>
      <c r="Y32">
        <v>0</v>
      </c>
      <c r="Z32">
        <v>44457.000497685185</v>
      </c>
      <c r="AA32">
        <v>44481.000497685185</v>
      </c>
      <c r="AB32">
        <v>44495.000497685185</v>
      </c>
      <c r="AC32" s="3838">
        <v>44495.000497685185</v>
      </c>
      <c r="AD32" t="s">
        <v>4346</v>
      </c>
      <c r="AE32" t="s">
        <v>4132</v>
      </c>
      <c r="AF32" t="s">
        <v>4347</v>
      </c>
      <c r="AG32" t="s">
        <v>4130</v>
      </c>
      <c r="AH32" t="s">
        <v>4130</v>
      </c>
      <c r="AI32">
        <v>175000</v>
      </c>
      <c r="AJ32">
        <v>35000</v>
      </c>
      <c r="AK32" t="s">
        <v>4348</v>
      </c>
      <c r="AL32">
        <v>175000</v>
      </c>
      <c r="AM32">
        <v>3049.91</v>
      </c>
      <c r="AN32">
        <v>3049.91</v>
      </c>
      <c r="AO32">
        <v>20795</v>
      </c>
      <c r="AP32">
        <v>20795</v>
      </c>
      <c r="AQ32" t="s">
        <v>4130</v>
      </c>
      <c r="AR32" t="s">
        <v>4130</v>
      </c>
      <c r="AS32">
        <v>0</v>
      </c>
      <c r="AT32" t="s">
        <v>4332</v>
      </c>
      <c r="AU32" t="s">
        <v>4129</v>
      </c>
      <c r="AV32" t="s">
        <v>4130</v>
      </c>
      <c r="AW32" t="s">
        <v>4129</v>
      </c>
      <c r="AX32" t="s">
        <v>4130</v>
      </c>
      <c r="AY32" t="s">
        <v>4130</v>
      </c>
      <c r="AZ32" t="s">
        <v>4130</v>
      </c>
    </row>
    <row r="33" spans="1:52">
      <c r="A33" t="s">
        <v>4349</v>
      </c>
      <c r="B33" t="s">
        <v>3367</v>
      </c>
      <c r="C33" t="s">
        <v>4350</v>
      </c>
      <c r="D33" t="s">
        <v>4121</v>
      </c>
      <c r="E33" t="s">
        <v>4157</v>
      </c>
      <c r="F33" t="s">
        <v>4158</v>
      </c>
      <c r="G33" t="s">
        <v>4345</v>
      </c>
      <c r="H33" t="s">
        <v>4125</v>
      </c>
      <c r="I33">
        <v>30025.18</v>
      </c>
      <c r="J33">
        <v>66055.39</v>
      </c>
      <c r="K33">
        <v>2.2000000000000002</v>
      </c>
      <c r="L33" t="s">
        <v>4126</v>
      </c>
      <c r="M33" t="s">
        <v>4160</v>
      </c>
      <c r="N33" t="s">
        <v>4128</v>
      </c>
      <c r="O33" t="s">
        <v>4129</v>
      </c>
      <c r="P33" t="s">
        <v>4130</v>
      </c>
      <c r="Q33">
        <v>45</v>
      </c>
      <c r="R33" t="s">
        <v>4130</v>
      </c>
      <c r="S33" t="s">
        <v>4130</v>
      </c>
      <c r="T33" t="s">
        <v>4130</v>
      </c>
      <c r="U33" t="s">
        <v>4130</v>
      </c>
      <c r="V33" t="s">
        <v>4130</v>
      </c>
      <c r="W33" t="s">
        <v>4130</v>
      </c>
      <c r="X33">
        <v>0</v>
      </c>
      <c r="Y33">
        <v>0</v>
      </c>
      <c r="Z33">
        <v>44457.000497685185</v>
      </c>
      <c r="AA33">
        <v>44481.000497685185</v>
      </c>
      <c r="AB33">
        <v>44495.000497685185</v>
      </c>
      <c r="AC33" s="3838">
        <v>44495.000497685185</v>
      </c>
      <c r="AD33" t="s">
        <v>4351</v>
      </c>
      <c r="AE33" t="s">
        <v>4132</v>
      </c>
      <c r="AF33" t="s">
        <v>4352</v>
      </c>
      <c r="AG33" t="s">
        <v>4130</v>
      </c>
      <c r="AH33" t="s">
        <v>4130</v>
      </c>
      <c r="AI33">
        <v>137000</v>
      </c>
      <c r="AJ33">
        <v>137000</v>
      </c>
      <c r="AK33" t="s">
        <v>4348</v>
      </c>
      <c r="AL33">
        <v>137000</v>
      </c>
      <c r="AM33">
        <v>3041.89</v>
      </c>
      <c r="AN33">
        <v>3041.89</v>
      </c>
      <c r="AO33">
        <v>20740</v>
      </c>
      <c r="AP33">
        <v>20740</v>
      </c>
      <c r="AQ33" t="s">
        <v>4130</v>
      </c>
      <c r="AR33" t="s">
        <v>4130</v>
      </c>
      <c r="AS33">
        <v>0</v>
      </c>
      <c r="AT33" t="s">
        <v>4332</v>
      </c>
      <c r="AU33" t="s">
        <v>4129</v>
      </c>
      <c r="AV33" t="s">
        <v>4130</v>
      </c>
      <c r="AW33" t="s">
        <v>4129</v>
      </c>
      <c r="AX33" t="s">
        <v>4130</v>
      </c>
      <c r="AY33" t="s">
        <v>4130</v>
      </c>
      <c r="AZ33" t="s">
        <v>4130</v>
      </c>
    </row>
    <row r="34" spans="1:52">
      <c r="A34" t="s">
        <v>4353</v>
      </c>
      <c r="B34" t="s">
        <v>3367</v>
      </c>
      <c r="C34" t="s">
        <v>4354</v>
      </c>
      <c r="D34" t="s">
        <v>4121</v>
      </c>
      <c r="E34" t="s">
        <v>4167</v>
      </c>
      <c r="F34" t="s">
        <v>4272</v>
      </c>
      <c r="G34" t="s">
        <v>4273</v>
      </c>
      <c r="H34" t="s">
        <v>4125</v>
      </c>
      <c r="I34">
        <v>204418.11</v>
      </c>
      <c r="J34">
        <v>302000</v>
      </c>
      <c r="K34">
        <v>1.5</v>
      </c>
      <c r="L34" t="s">
        <v>4126</v>
      </c>
      <c r="M34" t="s">
        <v>4160</v>
      </c>
      <c r="N34" t="s">
        <v>4128</v>
      </c>
      <c r="O34" t="s">
        <v>4129</v>
      </c>
      <c r="P34" t="s">
        <v>4130</v>
      </c>
      <c r="Q34">
        <v>36</v>
      </c>
      <c r="R34" t="s">
        <v>4130</v>
      </c>
      <c r="S34" t="s">
        <v>4130</v>
      </c>
      <c r="T34" t="s">
        <v>4130</v>
      </c>
      <c r="U34" t="s">
        <v>4130</v>
      </c>
      <c r="V34" t="s">
        <v>4130</v>
      </c>
      <c r="W34" t="s">
        <v>4130</v>
      </c>
      <c r="X34">
        <v>0</v>
      </c>
      <c r="Y34">
        <v>0</v>
      </c>
      <c r="Z34">
        <v>44457.000497685185</v>
      </c>
      <c r="AA34">
        <v>44481.000497685185</v>
      </c>
      <c r="AB34">
        <v>44495.000497685185</v>
      </c>
      <c r="AC34" s="3838">
        <v>44495.000497685185</v>
      </c>
      <c r="AD34" t="s">
        <v>4355</v>
      </c>
      <c r="AE34" t="s">
        <v>4132</v>
      </c>
      <c r="AF34" t="s">
        <v>4356</v>
      </c>
      <c r="AG34" t="s">
        <v>4357</v>
      </c>
      <c r="AH34" t="s">
        <v>4146</v>
      </c>
      <c r="AI34">
        <v>506700</v>
      </c>
      <c r="AJ34">
        <v>101400</v>
      </c>
      <c r="AK34" t="s">
        <v>4348</v>
      </c>
      <c r="AL34">
        <v>506700</v>
      </c>
      <c r="AM34">
        <v>1652.5</v>
      </c>
      <c r="AN34">
        <v>1652.5</v>
      </c>
      <c r="AO34">
        <v>16778</v>
      </c>
      <c r="AP34">
        <v>16778</v>
      </c>
      <c r="AQ34" t="s">
        <v>4130</v>
      </c>
      <c r="AR34" t="s">
        <v>4130</v>
      </c>
      <c r="AS34">
        <v>0</v>
      </c>
      <c r="AT34" t="s">
        <v>4332</v>
      </c>
      <c r="AU34" t="s">
        <v>4129</v>
      </c>
      <c r="AV34" t="s">
        <v>4130</v>
      </c>
      <c r="AW34" t="s">
        <v>4129</v>
      </c>
      <c r="AX34" t="s">
        <v>4130</v>
      </c>
      <c r="AY34" t="s">
        <v>4130</v>
      </c>
      <c r="AZ34" t="s">
        <v>4130</v>
      </c>
    </row>
    <row r="35" spans="1:52">
      <c r="A35" t="s">
        <v>4358</v>
      </c>
      <c r="B35" t="s">
        <v>3367</v>
      </c>
      <c r="C35" t="s">
        <v>4359</v>
      </c>
      <c r="D35" t="s">
        <v>4121</v>
      </c>
      <c r="E35" t="s">
        <v>4227</v>
      </c>
      <c r="F35" t="s">
        <v>4228</v>
      </c>
      <c r="G35" t="s">
        <v>4360</v>
      </c>
      <c r="H35" t="s">
        <v>4125</v>
      </c>
      <c r="I35">
        <v>12136.3</v>
      </c>
      <c r="J35">
        <v>42477</v>
      </c>
      <c r="K35">
        <v>3.5</v>
      </c>
      <c r="L35" t="s">
        <v>4126</v>
      </c>
      <c r="M35" t="s">
        <v>4127</v>
      </c>
      <c r="N35" t="s">
        <v>4128</v>
      </c>
      <c r="O35" t="s">
        <v>4129</v>
      </c>
      <c r="P35" t="s">
        <v>4130</v>
      </c>
      <c r="Q35">
        <v>45</v>
      </c>
      <c r="R35" t="s">
        <v>4130</v>
      </c>
      <c r="S35" t="s">
        <v>4130</v>
      </c>
      <c r="T35" t="s">
        <v>4130</v>
      </c>
      <c r="U35" t="s">
        <v>4130</v>
      </c>
      <c r="V35" t="s">
        <v>4130</v>
      </c>
      <c r="W35" t="s">
        <v>4130</v>
      </c>
      <c r="X35">
        <v>0</v>
      </c>
      <c r="Y35">
        <v>0</v>
      </c>
      <c r="Z35">
        <v>44457.000497685185</v>
      </c>
      <c r="AA35">
        <v>44481.000497685185</v>
      </c>
      <c r="AB35">
        <v>44495.000497685185</v>
      </c>
      <c r="AC35" s="3838">
        <v>44495.000497685185</v>
      </c>
      <c r="AD35" t="s">
        <v>4361</v>
      </c>
      <c r="AE35" t="s">
        <v>4132</v>
      </c>
      <c r="AF35" t="s">
        <v>4362</v>
      </c>
      <c r="AG35" t="s">
        <v>4363</v>
      </c>
      <c r="AH35" t="s">
        <v>4135</v>
      </c>
      <c r="AI35">
        <v>71000</v>
      </c>
      <c r="AJ35">
        <v>14200</v>
      </c>
      <c r="AK35" t="s">
        <v>4348</v>
      </c>
      <c r="AL35">
        <v>71000</v>
      </c>
      <c r="AM35">
        <v>3900.15</v>
      </c>
      <c r="AN35">
        <v>3900.15</v>
      </c>
      <c r="AO35">
        <v>16715</v>
      </c>
      <c r="AP35">
        <v>16715</v>
      </c>
      <c r="AQ35" t="s">
        <v>4130</v>
      </c>
      <c r="AR35" t="s">
        <v>4130</v>
      </c>
      <c r="AS35">
        <v>0</v>
      </c>
      <c r="AT35" t="s">
        <v>4332</v>
      </c>
      <c r="AU35" t="s">
        <v>4129</v>
      </c>
      <c r="AV35" t="s">
        <v>4130</v>
      </c>
      <c r="AW35" t="s">
        <v>4129</v>
      </c>
      <c r="AX35" t="s">
        <v>4130</v>
      </c>
      <c r="AY35" t="s">
        <v>4130</v>
      </c>
      <c r="AZ35" t="s">
        <v>4130</v>
      </c>
    </row>
    <row r="36" spans="1:52">
      <c r="A36" t="s">
        <v>4364</v>
      </c>
      <c r="B36" t="s">
        <v>3367</v>
      </c>
      <c r="C36" t="s">
        <v>4365</v>
      </c>
      <c r="D36" t="s">
        <v>4121</v>
      </c>
      <c r="E36" t="s">
        <v>4366</v>
      </c>
      <c r="F36" t="s">
        <v>4367</v>
      </c>
      <c r="G36" t="s">
        <v>4368</v>
      </c>
      <c r="H36" t="s">
        <v>4125</v>
      </c>
      <c r="I36">
        <v>5907.54</v>
      </c>
      <c r="J36">
        <v>21900</v>
      </c>
      <c r="K36">
        <v>3.71</v>
      </c>
      <c r="L36" t="s">
        <v>4126</v>
      </c>
      <c r="M36" t="s">
        <v>4369</v>
      </c>
      <c r="N36" t="s">
        <v>4128</v>
      </c>
      <c r="O36" t="s">
        <v>4129</v>
      </c>
      <c r="P36" t="s">
        <v>4130</v>
      </c>
      <c r="Q36">
        <v>45</v>
      </c>
      <c r="R36" t="s">
        <v>4130</v>
      </c>
      <c r="S36" t="s">
        <v>4130</v>
      </c>
      <c r="T36" t="s">
        <v>4130</v>
      </c>
      <c r="U36" t="s">
        <v>4130</v>
      </c>
      <c r="V36" t="s">
        <v>4130</v>
      </c>
      <c r="W36" t="s">
        <v>4130</v>
      </c>
      <c r="X36">
        <v>0</v>
      </c>
      <c r="Y36">
        <v>0</v>
      </c>
      <c r="Z36">
        <v>44457.000497685185</v>
      </c>
      <c r="AA36">
        <v>44481.000497685185</v>
      </c>
      <c r="AB36">
        <v>44495.000497685185</v>
      </c>
      <c r="AC36" s="3838">
        <v>44495.000497685185</v>
      </c>
      <c r="AD36" t="s">
        <v>4370</v>
      </c>
      <c r="AE36" t="s">
        <v>4132</v>
      </c>
      <c r="AF36" t="s">
        <v>4371</v>
      </c>
      <c r="AG36" t="s">
        <v>4130</v>
      </c>
      <c r="AH36" t="s">
        <v>4130</v>
      </c>
      <c r="AI36">
        <v>46000</v>
      </c>
      <c r="AJ36">
        <v>9500</v>
      </c>
      <c r="AK36" t="s">
        <v>4348</v>
      </c>
      <c r="AL36">
        <v>46000</v>
      </c>
      <c r="AM36">
        <v>5191.1099999999997</v>
      </c>
      <c r="AN36">
        <v>5191.1099999999997</v>
      </c>
      <c r="AO36">
        <v>21005</v>
      </c>
      <c r="AP36">
        <v>21005</v>
      </c>
      <c r="AQ36" t="s">
        <v>4130</v>
      </c>
      <c r="AR36" t="s">
        <v>4130</v>
      </c>
      <c r="AS36">
        <v>0</v>
      </c>
      <c r="AT36" t="s">
        <v>4332</v>
      </c>
      <c r="AU36" t="s">
        <v>4129</v>
      </c>
      <c r="AV36" t="s">
        <v>4130</v>
      </c>
      <c r="AW36" t="s">
        <v>4129</v>
      </c>
      <c r="AX36" t="s">
        <v>4130</v>
      </c>
      <c r="AY36" t="s">
        <v>4130</v>
      </c>
      <c r="AZ36" t="s">
        <v>4130</v>
      </c>
    </row>
    <row r="37" spans="1:52">
      <c r="A37" t="s">
        <v>4372</v>
      </c>
      <c r="B37" t="s">
        <v>3367</v>
      </c>
      <c r="C37" t="s">
        <v>4373</v>
      </c>
      <c r="D37" t="s">
        <v>4121</v>
      </c>
      <c r="E37" t="s">
        <v>4157</v>
      </c>
      <c r="F37" t="s">
        <v>4158</v>
      </c>
      <c r="G37" t="s">
        <v>4345</v>
      </c>
      <c r="H37" t="s">
        <v>4125</v>
      </c>
      <c r="I37">
        <v>25121.77</v>
      </c>
      <c r="J37">
        <v>55267.89</v>
      </c>
      <c r="K37">
        <v>2.2000000000000002</v>
      </c>
      <c r="L37" t="s">
        <v>4126</v>
      </c>
      <c r="M37" t="s">
        <v>4160</v>
      </c>
      <c r="N37" t="s">
        <v>4128</v>
      </c>
      <c r="O37" t="s">
        <v>4129</v>
      </c>
      <c r="P37" t="s">
        <v>4130</v>
      </c>
      <c r="Q37">
        <v>45</v>
      </c>
      <c r="R37" t="s">
        <v>4130</v>
      </c>
      <c r="S37" t="s">
        <v>4130</v>
      </c>
      <c r="T37" t="s">
        <v>4130</v>
      </c>
      <c r="U37" t="s">
        <v>4130</v>
      </c>
      <c r="V37" t="s">
        <v>4130</v>
      </c>
      <c r="W37" t="s">
        <v>4130</v>
      </c>
      <c r="X37">
        <v>0</v>
      </c>
      <c r="Y37">
        <v>0</v>
      </c>
      <c r="Z37">
        <v>44457.000497685185</v>
      </c>
      <c r="AA37">
        <v>44481.000497685185</v>
      </c>
      <c r="AB37">
        <v>44495.000497685185</v>
      </c>
      <c r="AC37" s="3838">
        <v>44495.000497685185</v>
      </c>
      <c r="AD37" t="s">
        <v>4374</v>
      </c>
      <c r="AE37" t="s">
        <v>4132</v>
      </c>
      <c r="AF37" t="s">
        <v>4375</v>
      </c>
      <c r="AG37" t="s">
        <v>4130</v>
      </c>
      <c r="AH37" t="s">
        <v>4130</v>
      </c>
      <c r="AI37">
        <v>115000</v>
      </c>
      <c r="AJ37">
        <v>23000</v>
      </c>
      <c r="AK37" t="s">
        <v>4348</v>
      </c>
      <c r="AL37">
        <v>115000</v>
      </c>
      <c r="AM37">
        <v>3051.8</v>
      </c>
      <c r="AN37">
        <v>3051.8</v>
      </c>
      <c r="AO37">
        <v>20808</v>
      </c>
      <c r="AP37">
        <v>20808</v>
      </c>
      <c r="AQ37" t="s">
        <v>4130</v>
      </c>
      <c r="AR37" t="s">
        <v>4130</v>
      </c>
      <c r="AS37">
        <v>0</v>
      </c>
      <c r="AT37" t="s">
        <v>4332</v>
      </c>
      <c r="AU37" t="s">
        <v>4129</v>
      </c>
      <c r="AV37" t="s">
        <v>4130</v>
      </c>
      <c r="AW37" t="s">
        <v>4129</v>
      </c>
      <c r="AX37" t="s">
        <v>4130</v>
      </c>
      <c r="AY37" t="s">
        <v>4130</v>
      </c>
      <c r="AZ37" t="s">
        <v>4130</v>
      </c>
    </row>
    <row r="38" spans="1:52">
      <c r="A38" t="s">
        <v>4376</v>
      </c>
      <c r="B38" t="s">
        <v>3367</v>
      </c>
      <c r="C38" t="s">
        <v>4377</v>
      </c>
      <c r="D38" t="s">
        <v>4121</v>
      </c>
      <c r="E38" t="s">
        <v>4167</v>
      </c>
      <c r="F38" t="s">
        <v>4328</v>
      </c>
      <c r="G38" t="s">
        <v>4378</v>
      </c>
      <c r="H38" t="s">
        <v>4125</v>
      </c>
      <c r="I38">
        <v>17147.95</v>
      </c>
      <c r="J38">
        <v>53158.65</v>
      </c>
      <c r="K38" t="s">
        <v>4379</v>
      </c>
      <c r="L38" t="s">
        <v>4126</v>
      </c>
      <c r="M38" t="s">
        <v>4380</v>
      </c>
      <c r="N38" t="s">
        <v>4128</v>
      </c>
      <c r="O38" t="s">
        <v>4129</v>
      </c>
      <c r="P38" t="s">
        <v>4130</v>
      </c>
      <c r="Q38" t="s">
        <v>4381</v>
      </c>
      <c r="R38" t="s">
        <v>4130</v>
      </c>
      <c r="S38" t="s">
        <v>4130</v>
      </c>
      <c r="T38" t="s">
        <v>4130</v>
      </c>
      <c r="U38" t="s">
        <v>4130</v>
      </c>
      <c r="V38">
        <v>0</v>
      </c>
      <c r="W38">
        <v>0</v>
      </c>
      <c r="X38">
        <v>0</v>
      </c>
      <c r="Y38">
        <v>0</v>
      </c>
      <c r="Z38">
        <v>44300.000497685185</v>
      </c>
      <c r="AA38">
        <v>44322.000497685185</v>
      </c>
      <c r="AB38">
        <v>44335.000497685185</v>
      </c>
      <c r="AC38" s="3838">
        <v>44335.000497685185</v>
      </c>
      <c r="AD38" t="s">
        <v>4382</v>
      </c>
      <c r="AE38" t="s">
        <v>4132</v>
      </c>
      <c r="AF38" t="s">
        <v>4383</v>
      </c>
      <c r="AG38" t="s">
        <v>4175</v>
      </c>
      <c r="AH38" t="s">
        <v>4146</v>
      </c>
      <c r="AI38">
        <v>69200</v>
      </c>
      <c r="AJ38">
        <v>14000</v>
      </c>
      <c r="AK38" t="s">
        <v>633</v>
      </c>
      <c r="AL38">
        <v>69200</v>
      </c>
      <c r="AM38">
        <v>2690.31</v>
      </c>
      <c r="AN38">
        <v>2690.31</v>
      </c>
      <c r="AO38">
        <v>13018</v>
      </c>
      <c r="AP38">
        <v>13018</v>
      </c>
      <c r="AQ38" t="s">
        <v>4130</v>
      </c>
      <c r="AR38" t="s">
        <v>4130</v>
      </c>
      <c r="AS38">
        <v>0</v>
      </c>
      <c r="AT38" t="s">
        <v>4384</v>
      </c>
      <c r="AU38" t="s">
        <v>4129</v>
      </c>
      <c r="AV38" t="s">
        <v>4130</v>
      </c>
      <c r="AW38" t="s">
        <v>4129</v>
      </c>
      <c r="AX38" t="s">
        <v>4130</v>
      </c>
      <c r="AY38" t="s">
        <v>4130</v>
      </c>
      <c r="AZ38" t="s">
        <v>4130</v>
      </c>
    </row>
    <row r="39" spans="1:52">
      <c r="A39" t="s">
        <v>4385</v>
      </c>
      <c r="B39" t="s">
        <v>3367</v>
      </c>
      <c r="C39" t="s">
        <v>4386</v>
      </c>
      <c r="D39" t="s">
        <v>4121</v>
      </c>
      <c r="E39" t="s">
        <v>4167</v>
      </c>
      <c r="F39" t="s">
        <v>4272</v>
      </c>
      <c r="G39" t="s">
        <v>4387</v>
      </c>
      <c r="H39" t="s">
        <v>4125</v>
      </c>
      <c r="I39">
        <v>22058.78</v>
      </c>
      <c r="J39">
        <v>47390</v>
      </c>
      <c r="K39" t="s">
        <v>4388</v>
      </c>
      <c r="L39" t="s">
        <v>4126</v>
      </c>
      <c r="M39" t="s">
        <v>4160</v>
      </c>
      <c r="N39" t="s">
        <v>4128</v>
      </c>
      <c r="O39" t="s">
        <v>4129</v>
      </c>
      <c r="P39" t="s">
        <v>4130</v>
      </c>
      <c r="Q39" t="s">
        <v>4301</v>
      </c>
      <c r="R39" t="s">
        <v>4130</v>
      </c>
      <c r="S39" t="s">
        <v>4130</v>
      </c>
      <c r="T39" t="s">
        <v>4130</v>
      </c>
      <c r="U39" t="s">
        <v>4130</v>
      </c>
      <c r="V39">
        <v>0</v>
      </c>
      <c r="W39">
        <v>0</v>
      </c>
      <c r="X39">
        <v>0</v>
      </c>
      <c r="Y39">
        <v>0</v>
      </c>
      <c r="Z39">
        <v>44201.000497685185</v>
      </c>
      <c r="AA39">
        <v>44221.000497685185</v>
      </c>
      <c r="AB39">
        <v>44234.000497685185</v>
      </c>
      <c r="AC39" s="3838">
        <v>44234.000497685185</v>
      </c>
      <c r="AD39" t="s">
        <v>4389</v>
      </c>
      <c r="AE39" t="s">
        <v>4132</v>
      </c>
      <c r="AF39" t="s">
        <v>4390</v>
      </c>
      <c r="AG39" t="s">
        <v>4391</v>
      </c>
      <c r="AH39" t="s">
        <v>4146</v>
      </c>
      <c r="AI39">
        <v>32700</v>
      </c>
      <c r="AJ39">
        <v>6600</v>
      </c>
      <c r="AK39" t="s">
        <v>633</v>
      </c>
      <c r="AL39">
        <v>32700</v>
      </c>
      <c r="AM39">
        <v>988.27</v>
      </c>
      <c r="AN39">
        <v>988.27</v>
      </c>
      <c r="AO39">
        <v>6900</v>
      </c>
      <c r="AP39">
        <v>6900</v>
      </c>
      <c r="AQ39" t="s">
        <v>4130</v>
      </c>
      <c r="AR39" t="s">
        <v>4130</v>
      </c>
      <c r="AS39">
        <v>0</v>
      </c>
      <c r="AT39" t="s">
        <v>4384</v>
      </c>
      <c r="AU39" t="s">
        <v>4129</v>
      </c>
      <c r="AV39" t="s">
        <v>4130</v>
      </c>
      <c r="AW39" t="s">
        <v>4129</v>
      </c>
      <c r="AX39" t="s">
        <v>4130</v>
      </c>
      <c r="AY39" t="s">
        <v>4130</v>
      </c>
      <c r="AZ39" t="s">
        <v>4130</v>
      </c>
    </row>
    <row r="40" spans="1:52">
      <c r="A40" t="s">
        <v>4392</v>
      </c>
      <c r="B40" t="s">
        <v>3367</v>
      </c>
      <c r="C40" t="s">
        <v>4393</v>
      </c>
      <c r="D40" t="s">
        <v>4121</v>
      </c>
      <c r="E40" t="s">
        <v>4313</v>
      </c>
      <c r="F40" t="s">
        <v>4314</v>
      </c>
      <c r="G40" t="s">
        <v>4394</v>
      </c>
      <c r="H40" t="s">
        <v>4125</v>
      </c>
      <c r="I40">
        <v>1676.22</v>
      </c>
      <c r="J40">
        <v>753.4</v>
      </c>
      <c r="K40" t="s">
        <v>4395</v>
      </c>
      <c r="L40" t="s">
        <v>4126</v>
      </c>
      <c r="M40" t="s">
        <v>4221</v>
      </c>
      <c r="N40" t="s">
        <v>4128</v>
      </c>
      <c r="O40" t="s">
        <v>4129</v>
      </c>
      <c r="P40" t="s">
        <v>4130</v>
      </c>
      <c r="Q40" t="s">
        <v>4396</v>
      </c>
      <c r="R40" t="s">
        <v>4130</v>
      </c>
      <c r="S40" t="s">
        <v>4130</v>
      </c>
      <c r="T40" t="s">
        <v>4130</v>
      </c>
      <c r="U40" t="s">
        <v>4130</v>
      </c>
      <c r="V40">
        <v>0</v>
      </c>
      <c r="W40">
        <v>0</v>
      </c>
      <c r="X40">
        <v>0</v>
      </c>
      <c r="Y40">
        <v>0</v>
      </c>
      <c r="Z40">
        <v>44190.000497685185</v>
      </c>
      <c r="AA40">
        <v>44210.000497685185</v>
      </c>
      <c r="AB40">
        <v>44224.000497685185</v>
      </c>
      <c r="AC40" s="3838">
        <v>44224.000497685185</v>
      </c>
      <c r="AD40" t="s">
        <v>4397</v>
      </c>
      <c r="AE40" t="s">
        <v>4132</v>
      </c>
      <c r="AF40" t="s">
        <v>4398</v>
      </c>
      <c r="AG40" t="s">
        <v>4130</v>
      </c>
      <c r="AH40" t="s">
        <v>4130</v>
      </c>
      <c r="AI40">
        <v>550</v>
      </c>
      <c r="AJ40">
        <v>150</v>
      </c>
      <c r="AK40" t="s">
        <v>4399</v>
      </c>
      <c r="AL40">
        <v>550</v>
      </c>
      <c r="AM40">
        <v>218.75</v>
      </c>
      <c r="AN40">
        <v>218.75</v>
      </c>
      <c r="AO40">
        <v>7300</v>
      </c>
      <c r="AP40">
        <v>7300</v>
      </c>
      <c r="AQ40" t="s">
        <v>4130</v>
      </c>
      <c r="AR40" t="s">
        <v>4130</v>
      </c>
      <c r="AS40">
        <v>0</v>
      </c>
      <c r="AT40" t="s">
        <v>4265</v>
      </c>
      <c r="AU40" t="s">
        <v>4129</v>
      </c>
      <c r="AV40" t="s">
        <v>4130</v>
      </c>
      <c r="AW40" t="s">
        <v>4129</v>
      </c>
      <c r="AX40" t="s">
        <v>4130</v>
      </c>
      <c r="AY40" t="s">
        <v>4130</v>
      </c>
      <c r="AZ40" t="s">
        <v>4130</v>
      </c>
    </row>
    <row r="41" spans="1:52">
      <c r="A41" t="s">
        <v>4400</v>
      </c>
      <c r="B41" t="s">
        <v>3367</v>
      </c>
      <c r="C41" t="s">
        <v>4401</v>
      </c>
      <c r="D41" t="s">
        <v>4121</v>
      </c>
      <c r="E41" t="s">
        <v>4179</v>
      </c>
      <c r="F41" t="s">
        <v>4402</v>
      </c>
      <c r="G41" t="s">
        <v>4403</v>
      </c>
      <c r="H41" t="s">
        <v>4125</v>
      </c>
      <c r="I41">
        <v>25224.15</v>
      </c>
      <c r="J41">
        <v>75672.45</v>
      </c>
      <c r="K41" t="s">
        <v>4404</v>
      </c>
      <c r="L41" t="s">
        <v>4126</v>
      </c>
      <c r="M41" t="s">
        <v>4160</v>
      </c>
      <c r="N41" t="s">
        <v>4128</v>
      </c>
      <c r="O41" t="s">
        <v>4129</v>
      </c>
      <c r="P41" t="s">
        <v>4405</v>
      </c>
      <c r="Q41" t="s">
        <v>4406</v>
      </c>
      <c r="R41" t="s">
        <v>4130</v>
      </c>
      <c r="S41" t="s">
        <v>4130</v>
      </c>
      <c r="T41" t="s">
        <v>4130</v>
      </c>
      <c r="U41" t="s">
        <v>4130</v>
      </c>
      <c r="V41">
        <v>0</v>
      </c>
      <c r="W41">
        <v>0</v>
      </c>
      <c r="X41">
        <v>0</v>
      </c>
      <c r="Y41">
        <v>0</v>
      </c>
      <c r="Z41">
        <v>44147.000497685185</v>
      </c>
      <c r="AA41">
        <v>44179.000497685185</v>
      </c>
      <c r="AB41">
        <v>44193.000497685185</v>
      </c>
      <c r="AC41" s="3838">
        <v>44193.000497685185</v>
      </c>
      <c r="AD41" t="s">
        <v>4407</v>
      </c>
      <c r="AE41" t="s">
        <v>4132</v>
      </c>
      <c r="AF41" t="s">
        <v>4408</v>
      </c>
      <c r="AG41" t="s">
        <v>4175</v>
      </c>
      <c r="AH41" t="s">
        <v>4146</v>
      </c>
      <c r="AI41">
        <v>60800</v>
      </c>
      <c r="AJ41">
        <v>12200</v>
      </c>
      <c r="AK41" t="s">
        <v>4409</v>
      </c>
      <c r="AL41">
        <v>60800</v>
      </c>
      <c r="AM41">
        <v>1606.93</v>
      </c>
      <c r="AN41">
        <v>1606.93</v>
      </c>
      <c r="AO41">
        <v>8035</v>
      </c>
      <c r="AP41">
        <v>8035</v>
      </c>
      <c r="AQ41" t="s">
        <v>4130</v>
      </c>
      <c r="AR41" t="s">
        <v>4130</v>
      </c>
      <c r="AS41">
        <v>0</v>
      </c>
      <c r="AT41" t="s">
        <v>4265</v>
      </c>
      <c r="AU41" t="s">
        <v>4129</v>
      </c>
      <c r="AV41" t="s">
        <v>4130</v>
      </c>
      <c r="AW41" t="s">
        <v>4129</v>
      </c>
      <c r="AX41" t="s">
        <v>4130</v>
      </c>
      <c r="AY41" t="s">
        <v>4130</v>
      </c>
      <c r="AZ41" t="s">
        <v>4130</v>
      </c>
    </row>
    <row r="42" spans="1:52">
      <c r="A42" t="s">
        <v>4410</v>
      </c>
      <c r="B42" t="s">
        <v>3367</v>
      </c>
      <c r="C42" t="s">
        <v>4411</v>
      </c>
      <c r="D42" t="s">
        <v>4121</v>
      </c>
      <c r="E42" t="s">
        <v>4412</v>
      </c>
      <c r="F42" t="s">
        <v>4413</v>
      </c>
      <c r="G42" t="s">
        <v>4414</v>
      </c>
      <c r="H42" t="s">
        <v>4125</v>
      </c>
      <c r="I42">
        <v>26197.17</v>
      </c>
      <c r="J42">
        <v>26500</v>
      </c>
      <c r="K42" t="s">
        <v>4415</v>
      </c>
      <c r="L42" t="s">
        <v>4416</v>
      </c>
      <c r="M42" t="s">
        <v>4160</v>
      </c>
      <c r="N42" t="s">
        <v>4128</v>
      </c>
      <c r="O42" t="s">
        <v>4129</v>
      </c>
      <c r="P42" t="s">
        <v>4417</v>
      </c>
      <c r="Q42" t="s">
        <v>4418</v>
      </c>
      <c r="R42" t="s">
        <v>4130</v>
      </c>
      <c r="S42" t="s">
        <v>4130</v>
      </c>
      <c r="T42" t="s">
        <v>4130</v>
      </c>
      <c r="U42" t="s">
        <v>4130</v>
      </c>
      <c r="V42">
        <v>0</v>
      </c>
      <c r="W42">
        <v>0</v>
      </c>
      <c r="X42">
        <v>0</v>
      </c>
      <c r="Y42">
        <v>0</v>
      </c>
      <c r="Z42">
        <v>44147.000497685185</v>
      </c>
      <c r="AA42">
        <v>44169.000497685185</v>
      </c>
      <c r="AB42">
        <v>44169.000497685185</v>
      </c>
      <c r="AC42" s="3838">
        <v>44172.000497685185</v>
      </c>
      <c r="AD42" t="s">
        <v>4419</v>
      </c>
      <c r="AE42" t="s">
        <v>4132</v>
      </c>
      <c r="AF42" t="s">
        <v>4420</v>
      </c>
      <c r="AG42" t="s">
        <v>4421</v>
      </c>
      <c r="AH42" t="s">
        <v>4146</v>
      </c>
      <c r="AI42" t="s">
        <v>4130</v>
      </c>
      <c r="AJ42">
        <v>4200</v>
      </c>
      <c r="AK42" t="s">
        <v>4422</v>
      </c>
      <c r="AL42">
        <v>20986.799999999999</v>
      </c>
      <c r="AM42" t="s">
        <v>4130</v>
      </c>
      <c r="AN42">
        <v>534.07000000000005</v>
      </c>
      <c r="AO42" t="s">
        <v>4130</v>
      </c>
      <c r="AP42">
        <v>7920</v>
      </c>
      <c r="AQ42" t="s">
        <v>4130</v>
      </c>
      <c r="AR42" t="s">
        <v>4130</v>
      </c>
      <c r="AS42">
        <v>0</v>
      </c>
      <c r="AT42" t="s">
        <v>4265</v>
      </c>
      <c r="AU42" t="s">
        <v>4129</v>
      </c>
      <c r="AV42" t="s">
        <v>4130</v>
      </c>
      <c r="AW42" t="s">
        <v>4129</v>
      </c>
      <c r="AX42" t="s">
        <v>4130</v>
      </c>
      <c r="AY42" t="s">
        <v>4130</v>
      </c>
      <c r="AZ42" t="s">
        <v>4130</v>
      </c>
    </row>
    <row r="43" spans="1:52">
      <c r="A43" t="s">
        <v>4423</v>
      </c>
      <c r="B43" t="s">
        <v>3367</v>
      </c>
      <c r="C43" t="s">
        <v>4424</v>
      </c>
      <c r="D43" t="s">
        <v>4121</v>
      </c>
      <c r="E43" t="s">
        <v>4227</v>
      </c>
      <c r="F43" t="s">
        <v>4228</v>
      </c>
      <c r="G43" t="s">
        <v>4229</v>
      </c>
      <c r="H43" t="s">
        <v>4125</v>
      </c>
      <c r="I43">
        <v>28676.63</v>
      </c>
      <c r="J43">
        <v>114706.51</v>
      </c>
      <c r="K43" t="s">
        <v>4425</v>
      </c>
      <c r="L43" t="s">
        <v>4126</v>
      </c>
      <c r="M43" t="s">
        <v>4221</v>
      </c>
      <c r="N43" t="s">
        <v>4128</v>
      </c>
      <c r="O43" t="s">
        <v>4129</v>
      </c>
      <c r="P43" t="s">
        <v>4130</v>
      </c>
      <c r="Q43" t="s">
        <v>4426</v>
      </c>
      <c r="R43" t="s">
        <v>4130</v>
      </c>
      <c r="S43" t="s">
        <v>4130</v>
      </c>
      <c r="T43" t="s">
        <v>4130</v>
      </c>
      <c r="U43" t="s">
        <v>4130</v>
      </c>
      <c r="V43">
        <v>0</v>
      </c>
      <c r="W43">
        <v>0</v>
      </c>
      <c r="X43">
        <v>0</v>
      </c>
      <c r="Y43">
        <v>0</v>
      </c>
      <c r="Z43">
        <v>44145.000497685185</v>
      </c>
      <c r="AA43">
        <v>44165.000497685185</v>
      </c>
      <c r="AB43">
        <v>44179.000497685185</v>
      </c>
      <c r="AC43" s="3838">
        <v>44179.000497685185</v>
      </c>
      <c r="AD43" t="s">
        <v>4427</v>
      </c>
      <c r="AE43" t="s">
        <v>4132</v>
      </c>
      <c r="AF43" t="s">
        <v>4428</v>
      </c>
      <c r="AG43" t="s">
        <v>4429</v>
      </c>
      <c r="AH43" t="s">
        <v>4146</v>
      </c>
      <c r="AI43">
        <v>175500</v>
      </c>
      <c r="AJ43">
        <v>35500</v>
      </c>
      <c r="AK43" t="s">
        <v>4430</v>
      </c>
      <c r="AL43">
        <v>175500</v>
      </c>
      <c r="AM43">
        <v>4079.98</v>
      </c>
      <c r="AN43">
        <v>4079.98</v>
      </c>
      <c r="AO43">
        <v>15300</v>
      </c>
      <c r="AP43">
        <v>15300</v>
      </c>
      <c r="AQ43" t="s">
        <v>4130</v>
      </c>
      <c r="AR43" t="s">
        <v>4130</v>
      </c>
      <c r="AS43">
        <v>0</v>
      </c>
      <c r="AT43" t="s">
        <v>4265</v>
      </c>
      <c r="AU43" t="s">
        <v>4129</v>
      </c>
      <c r="AV43" t="s">
        <v>4130</v>
      </c>
      <c r="AW43" t="s">
        <v>4129</v>
      </c>
      <c r="AX43" t="s">
        <v>4130</v>
      </c>
      <c r="AY43" t="s">
        <v>4130</v>
      </c>
      <c r="AZ43" t="s">
        <v>4130</v>
      </c>
    </row>
    <row r="44" spans="1:52">
      <c r="A44" t="s">
        <v>4431</v>
      </c>
      <c r="B44" t="s">
        <v>3367</v>
      </c>
      <c r="C44" t="s">
        <v>4432</v>
      </c>
      <c r="D44" t="s">
        <v>4121</v>
      </c>
      <c r="E44" t="s">
        <v>4157</v>
      </c>
      <c r="F44" t="s">
        <v>4433</v>
      </c>
      <c r="G44" t="s">
        <v>4434</v>
      </c>
      <c r="H44" t="s">
        <v>4125</v>
      </c>
      <c r="I44">
        <v>51788.13</v>
      </c>
      <c r="J44">
        <v>184800</v>
      </c>
      <c r="K44" t="s">
        <v>4435</v>
      </c>
      <c r="L44" t="s">
        <v>4126</v>
      </c>
      <c r="M44" t="s">
        <v>4127</v>
      </c>
      <c r="N44" t="s">
        <v>4128</v>
      </c>
      <c r="O44" t="s">
        <v>4129</v>
      </c>
      <c r="P44" t="s">
        <v>4130</v>
      </c>
      <c r="Q44" t="s">
        <v>4436</v>
      </c>
      <c r="R44" t="s">
        <v>4130</v>
      </c>
      <c r="S44" t="s">
        <v>4130</v>
      </c>
      <c r="T44" t="s">
        <v>4130</v>
      </c>
      <c r="U44" t="s">
        <v>4130</v>
      </c>
      <c r="V44">
        <v>0</v>
      </c>
      <c r="W44">
        <v>0</v>
      </c>
      <c r="X44">
        <v>0</v>
      </c>
      <c r="Y44">
        <v>0</v>
      </c>
      <c r="Z44">
        <v>44133.000497685185</v>
      </c>
      <c r="AA44">
        <v>44153.000497685185</v>
      </c>
      <c r="AB44">
        <v>44167.000497685185</v>
      </c>
      <c r="AC44" s="3838">
        <v>44167.000497685185</v>
      </c>
      <c r="AD44" t="s">
        <v>4437</v>
      </c>
      <c r="AE44" t="s">
        <v>4132</v>
      </c>
      <c r="AF44" t="s">
        <v>4438</v>
      </c>
      <c r="AG44" t="s">
        <v>4439</v>
      </c>
      <c r="AH44" t="s">
        <v>4154</v>
      </c>
      <c r="AI44">
        <v>570500</v>
      </c>
      <c r="AJ44">
        <v>115000</v>
      </c>
      <c r="AK44" t="s">
        <v>4440</v>
      </c>
      <c r="AL44">
        <v>579500</v>
      </c>
      <c r="AM44">
        <v>7344.03</v>
      </c>
      <c r="AN44">
        <v>7459.88</v>
      </c>
      <c r="AO44">
        <v>30871</v>
      </c>
      <c r="AP44">
        <v>31358</v>
      </c>
      <c r="AQ44" t="s">
        <v>4130</v>
      </c>
      <c r="AR44" t="s">
        <v>4130</v>
      </c>
      <c r="AS44">
        <v>1.58</v>
      </c>
      <c r="AT44" t="s">
        <v>4265</v>
      </c>
      <c r="AU44" t="s">
        <v>4129</v>
      </c>
      <c r="AV44" t="s">
        <v>4130</v>
      </c>
      <c r="AW44" t="s">
        <v>4129</v>
      </c>
      <c r="AX44" t="s">
        <v>4130</v>
      </c>
      <c r="AY44" t="s">
        <v>4130</v>
      </c>
      <c r="AZ44" t="s">
        <v>4130</v>
      </c>
    </row>
    <row r="45" spans="1:52">
      <c r="A45" t="s">
        <v>4441</v>
      </c>
      <c r="B45" t="s">
        <v>3367</v>
      </c>
      <c r="C45" t="s">
        <v>4442</v>
      </c>
      <c r="D45" t="s">
        <v>4121</v>
      </c>
      <c r="E45" t="s">
        <v>4313</v>
      </c>
      <c r="F45" t="s">
        <v>4314</v>
      </c>
      <c r="G45" t="s">
        <v>4443</v>
      </c>
      <c r="H45" t="s">
        <v>4125</v>
      </c>
      <c r="I45">
        <v>63225.37</v>
      </c>
      <c r="J45">
        <v>120200</v>
      </c>
      <c r="K45" t="s">
        <v>4444</v>
      </c>
      <c r="L45" t="s">
        <v>4126</v>
      </c>
      <c r="M45" t="s">
        <v>4160</v>
      </c>
      <c r="N45" t="s">
        <v>4128</v>
      </c>
      <c r="O45" t="s">
        <v>4129</v>
      </c>
      <c r="P45" t="s">
        <v>4130</v>
      </c>
      <c r="Q45" t="s">
        <v>4130</v>
      </c>
      <c r="R45" t="s">
        <v>4130</v>
      </c>
      <c r="S45" t="s">
        <v>4130</v>
      </c>
      <c r="T45" t="s">
        <v>4130</v>
      </c>
      <c r="U45" t="s">
        <v>4130</v>
      </c>
      <c r="V45">
        <v>0</v>
      </c>
      <c r="W45">
        <v>0</v>
      </c>
      <c r="X45">
        <v>0</v>
      </c>
      <c r="Y45">
        <v>0</v>
      </c>
      <c r="Z45">
        <v>44104.000497685185</v>
      </c>
      <c r="AA45">
        <v>44124.000497685185</v>
      </c>
      <c r="AB45">
        <v>44138.000497685185</v>
      </c>
      <c r="AC45" s="3838">
        <v>44138.000497685185</v>
      </c>
      <c r="AD45" t="s">
        <v>4445</v>
      </c>
      <c r="AE45" t="s">
        <v>4132</v>
      </c>
      <c r="AF45" t="s">
        <v>4446</v>
      </c>
      <c r="AG45" t="s">
        <v>4325</v>
      </c>
      <c r="AH45" t="s">
        <v>4146</v>
      </c>
      <c r="AI45">
        <v>88100</v>
      </c>
      <c r="AJ45">
        <v>17700</v>
      </c>
      <c r="AK45" t="s">
        <v>4447</v>
      </c>
      <c r="AL45">
        <v>88100</v>
      </c>
      <c r="AM45">
        <v>928.95</v>
      </c>
      <c r="AN45">
        <v>928.95</v>
      </c>
      <c r="AO45">
        <v>7329</v>
      </c>
      <c r="AP45">
        <v>7329</v>
      </c>
      <c r="AQ45" t="s">
        <v>4130</v>
      </c>
      <c r="AR45" t="s">
        <v>4130</v>
      </c>
      <c r="AS45">
        <v>0</v>
      </c>
      <c r="AT45" t="s">
        <v>4265</v>
      </c>
      <c r="AU45" t="s">
        <v>4129</v>
      </c>
      <c r="AV45" t="s">
        <v>4130</v>
      </c>
      <c r="AW45" t="s">
        <v>4129</v>
      </c>
      <c r="AX45" t="s">
        <v>4130</v>
      </c>
      <c r="AY45" t="s">
        <v>4130</v>
      </c>
      <c r="AZ45" t="s">
        <v>4130</v>
      </c>
    </row>
    <row r="46" spans="1:52">
      <c r="A46" t="s">
        <v>4448</v>
      </c>
      <c r="B46" t="s">
        <v>3367</v>
      </c>
      <c r="C46" t="s">
        <v>4449</v>
      </c>
      <c r="D46" t="s">
        <v>4121</v>
      </c>
      <c r="E46" t="s">
        <v>4313</v>
      </c>
      <c r="F46" t="s">
        <v>4450</v>
      </c>
      <c r="G46" t="s">
        <v>4394</v>
      </c>
      <c r="H46" t="s">
        <v>4125</v>
      </c>
      <c r="I46">
        <v>5352.65</v>
      </c>
      <c r="J46">
        <v>843</v>
      </c>
      <c r="K46" t="s">
        <v>4451</v>
      </c>
      <c r="L46" t="s">
        <v>4126</v>
      </c>
      <c r="M46" t="s">
        <v>4221</v>
      </c>
      <c r="N46" t="s">
        <v>4128</v>
      </c>
      <c r="O46" t="s">
        <v>4129</v>
      </c>
      <c r="P46" t="s">
        <v>4130</v>
      </c>
      <c r="Q46" t="s">
        <v>4452</v>
      </c>
      <c r="R46" t="s">
        <v>4130</v>
      </c>
      <c r="S46" t="s">
        <v>4130</v>
      </c>
      <c r="T46" t="s">
        <v>4130</v>
      </c>
      <c r="U46" t="s">
        <v>4130</v>
      </c>
      <c r="V46">
        <v>0</v>
      </c>
      <c r="W46">
        <v>0</v>
      </c>
      <c r="X46">
        <v>0</v>
      </c>
      <c r="Y46">
        <v>0</v>
      </c>
      <c r="Z46">
        <v>44076.000497685185</v>
      </c>
      <c r="AA46">
        <v>44096.000497685185</v>
      </c>
      <c r="AB46">
        <v>44116.000497685185</v>
      </c>
      <c r="AC46" s="3838">
        <v>44116.000497685185</v>
      </c>
      <c r="AD46" t="s">
        <v>4453</v>
      </c>
      <c r="AE46" t="s">
        <v>4132</v>
      </c>
      <c r="AF46" t="s">
        <v>4398</v>
      </c>
      <c r="AG46" t="s">
        <v>4130</v>
      </c>
      <c r="AH46" t="s">
        <v>4130</v>
      </c>
      <c r="AI46">
        <v>1310</v>
      </c>
      <c r="AJ46">
        <v>300</v>
      </c>
      <c r="AK46" t="s">
        <v>4454</v>
      </c>
      <c r="AL46">
        <v>1310</v>
      </c>
      <c r="AM46">
        <v>163.16</v>
      </c>
      <c r="AN46">
        <v>163.16</v>
      </c>
      <c r="AO46">
        <v>15540</v>
      </c>
      <c r="AP46">
        <v>15540</v>
      </c>
      <c r="AQ46" t="s">
        <v>4130</v>
      </c>
      <c r="AR46" t="s">
        <v>4130</v>
      </c>
      <c r="AS46">
        <v>0</v>
      </c>
      <c r="AT46" t="s">
        <v>4265</v>
      </c>
      <c r="AU46" t="s">
        <v>4129</v>
      </c>
      <c r="AV46" t="s">
        <v>4130</v>
      </c>
      <c r="AW46" t="s">
        <v>4129</v>
      </c>
      <c r="AX46" t="s">
        <v>4130</v>
      </c>
      <c r="AY46" t="s">
        <v>4130</v>
      </c>
      <c r="AZ46" t="s">
        <v>4130</v>
      </c>
    </row>
    <row r="47" spans="1:52">
      <c r="A47" t="s">
        <v>4455</v>
      </c>
      <c r="B47" t="s">
        <v>3367</v>
      </c>
      <c r="C47" t="s">
        <v>4456</v>
      </c>
      <c r="D47" t="s">
        <v>4121</v>
      </c>
      <c r="E47" t="s">
        <v>4313</v>
      </c>
      <c r="F47" t="s">
        <v>4450</v>
      </c>
      <c r="G47" t="s">
        <v>4394</v>
      </c>
      <c r="H47" t="s">
        <v>4125</v>
      </c>
      <c r="I47">
        <v>36823.82</v>
      </c>
      <c r="J47">
        <v>25187</v>
      </c>
      <c r="K47" t="s">
        <v>4457</v>
      </c>
      <c r="L47" t="s">
        <v>4126</v>
      </c>
      <c r="M47" t="s">
        <v>4160</v>
      </c>
      <c r="N47" t="s">
        <v>4128</v>
      </c>
      <c r="O47" t="s">
        <v>4129</v>
      </c>
      <c r="P47" t="s">
        <v>4130</v>
      </c>
      <c r="Q47" t="s">
        <v>4458</v>
      </c>
      <c r="R47" t="s">
        <v>4130</v>
      </c>
      <c r="S47" t="s">
        <v>4130</v>
      </c>
      <c r="T47" t="s">
        <v>4130</v>
      </c>
      <c r="U47" t="s">
        <v>4130</v>
      </c>
      <c r="V47">
        <v>0</v>
      </c>
      <c r="W47">
        <v>0</v>
      </c>
      <c r="X47">
        <v>0</v>
      </c>
      <c r="Y47">
        <v>0</v>
      </c>
      <c r="Z47">
        <v>44076.000497685185</v>
      </c>
      <c r="AA47">
        <v>44096.000497685185</v>
      </c>
      <c r="AB47">
        <v>44116.000497685185</v>
      </c>
      <c r="AC47" s="3838">
        <v>44116.000497685185</v>
      </c>
      <c r="AD47" t="s">
        <v>4459</v>
      </c>
      <c r="AE47" t="s">
        <v>4132</v>
      </c>
      <c r="AF47" t="s">
        <v>4460</v>
      </c>
      <c r="AG47" t="s">
        <v>4421</v>
      </c>
      <c r="AH47" t="s">
        <v>4146</v>
      </c>
      <c r="AI47">
        <v>29500</v>
      </c>
      <c r="AJ47">
        <v>6000</v>
      </c>
      <c r="AK47" t="s">
        <v>4454</v>
      </c>
      <c r="AL47">
        <v>29500</v>
      </c>
      <c r="AM47">
        <v>534.07000000000005</v>
      </c>
      <c r="AN47">
        <v>534.07000000000005</v>
      </c>
      <c r="AO47">
        <v>11712</v>
      </c>
      <c r="AP47">
        <v>11712</v>
      </c>
      <c r="AQ47" t="s">
        <v>4130</v>
      </c>
      <c r="AR47" t="s">
        <v>4130</v>
      </c>
      <c r="AS47">
        <v>0</v>
      </c>
      <c r="AT47" t="s">
        <v>4265</v>
      </c>
      <c r="AU47" t="s">
        <v>4129</v>
      </c>
      <c r="AV47" t="s">
        <v>4130</v>
      </c>
      <c r="AW47" t="s">
        <v>4129</v>
      </c>
      <c r="AX47" t="s">
        <v>4130</v>
      </c>
      <c r="AY47" t="s">
        <v>4130</v>
      </c>
      <c r="AZ47" t="s">
        <v>4130</v>
      </c>
    </row>
    <row r="48" spans="1:52">
      <c r="A48" t="s">
        <v>4461</v>
      </c>
      <c r="B48" t="s">
        <v>3367</v>
      </c>
      <c r="C48" t="s">
        <v>4462</v>
      </c>
      <c r="D48" t="s">
        <v>4121</v>
      </c>
      <c r="E48" t="s">
        <v>4198</v>
      </c>
      <c r="F48" t="s">
        <v>4281</v>
      </c>
      <c r="G48" t="s">
        <v>4463</v>
      </c>
      <c r="H48" t="s">
        <v>4125</v>
      </c>
      <c r="I48">
        <v>265269.8</v>
      </c>
      <c r="J48">
        <v>665975.69999999995</v>
      </c>
      <c r="K48" t="s">
        <v>4464</v>
      </c>
      <c r="L48" t="s">
        <v>4126</v>
      </c>
      <c r="M48" t="s">
        <v>4160</v>
      </c>
      <c r="N48" t="s">
        <v>4128</v>
      </c>
      <c r="O48" t="s">
        <v>4129</v>
      </c>
      <c r="P48" t="s">
        <v>4465</v>
      </c>
      <c r="Q48" t="s">
        <v>4466</v>
      </c>
      <c r="R48" t="s">
        <v>4130</v>
      </c>
      <c r="S48" t="s">
        <v>4130</v>
      </c>
      <c r="T48" t="s">
        <v>4130</v>
      </c>
      <c r="U48" t="s">
        <v>4130</v>
      </c>
      <c r="V48">
        <v>0</v>
      </c>
      <c r="W48">
        <v>0</v>
      </c>
      <c r="X48">
        <v>0</v>
      </c>
      <c r="Y48">
        <v>0</v>
      </c>
      <c r="Z48">
        <v>44012.000497685185</v>
      </c>
      <c r="AA48">
        <v>44032.000497685185</v>
      </c>
      <c r="AB48">
        <v>44046.000497685185</v>
      </c>
      <c r="AC48" s="3838">
        <v>44046.000497685185</v>
      </c>
      <c r="AD48" t="s">
        <v>4467</v>
      </c>
      <c r="AE48" t="s">
        <v>4132</v>
      </c>
      <c r="AF48" t="s">
        <v>4468</v>
      </c>
      <c r="AG48" t="s">
        <v>4469</v>
      </c>
      <c r="AH48" t="s">
        <v>4146</v>
      </c>
      <c r="AI48">
        <v>699300</v>
      </c>
      <c r="AJ48">
        <v>139900</v>
      </c>
      <c r="AK48" t="s">
        <v>4470</v>
      </c>
      <c r="AL48">
        <v>699300</v>
      </c>
      <c r="AM48">
        <v>1757.46</v>
      </c>
      <c r="AN48">
        <v>1757.46</v>
      </c>
      <c r="AO48">
        <v>10500</v>
      </c>
      <c r="AP48">
        <v>10500</v>
      </c>
      <c r="AQ48" t="s">
        <v>4130</v>
      </c>
      <c r="AR48" t="s">
        <v>4130</v>
      </c>
      <c r="AS48">
        <v>0</v>
      </c>
      <c r="AT48" t="s">
        <v>4265</v>
      </c>
      <c r="AU48" t="s">
        <v>4129</v>
      </c>
      <c r="AV48" t="s">
        <v>4130</v>
      </c>
      <c r="AW48" t="s">
        <v>4129</v>
      </c>
      <c r="AX48" t="s">
        <v>4130</v>
      </c>
      <c r="AY48" t="s">
        <v>4130</v>
      </c>
      <c r="AZ48" t="s">
        <v>4130</v>
      </c>
    </row>
    <row r="49" spans="1:52">
      <c r="A49" t="s">
        <v>4471</v>
      </c>
      <c r="B49" t="s">
        <v>3367</v>
      </c>
      <c r="C49" t="s">
        <v>4472</v>
      </c>
      <c r="D49" t="s">
        <v>4121</v>
      </c>
      <c r="E49" t="s">
        <v>4122</v>
      </c>
      <c r="F49" t="s">
        <v>4473</v>
      </c>
      <c r="G49" t="s">
        <v>4474</v>
      </c>
      <c r="H49" t="s">
        <v>4125</v>
      </c>
      <c r="I49">
        <v>7289.19</v>
      </c>
      <c r="J49">
        <v>21867.57</v>
      </c>
      <c r="K49" t="s">
        <v>4404</v>
      </c>
      <c r="L49" t="s">
        <v>4126</v>
      </c>
      <c r="M49" t="s">
        <v>4475</v>
      </c>
      <c r="N49" t="s">
        <v>4128</v>
      </c>
      <c r="O49" t="s">
        <v>4129</v>
      </c>
      <c r="P49" t="s">
        <v>4476</v>
      </c>
      <c r="Q49" t="s">
        <v>4426</v>
      </c>
      <c r="R49" t="s">
        <v>4130</v>
      </c>
      <c r="S49" t="s">
        <v>4130</v>
      </c>
      <c r="T49" t="s">
        <v>4130</v>
      </c>
      <c r="U49" t="s">
        <v>4130</v>
      </c>
      <c r="V49">
        <v>0</v>
      </c>
      <c r="W49">
        <v>0</v>
      </c>
      <c r="X49">
        <v>0</v>
      </c>
      <c r="Y49">
        <v>0</v>
      </c>
      <c r="Z49">
        <v>43889.000497685185</v>
      </c>
      <c r="AA49">
        <v>43909.000497685185</v>
      </c>
      <c r="AB49">
        <v>43923.000497685185</v>
      </c>
      <c r="AC49" s="3838">
        <v>43923.000497685185</v>
      </c>
      <c r="AD49" t="s">
        <v>4477</v>
      </c>
      <c r="AE49" t="s">
        <v>4132</v>
      </c>
      <c r="AF49" t="s">
        <v>4478</v>
      </c>
      <c r="AG49" t="s">
        <v>4479</v>
      </c>
      <c r="AH49" t="s">
        <v>4146</v>
      </c>
      <c r="AI49">
        <v>35200</v>
      </c>
      <c r="AJ49">
        <v>7100</v>
      </c>
      <c r="AK49" t="s">
        <v>4480</v>
      </c>
      <c r="AL49">
        <v>35200</v>
      </c>
      <c r="AM49">
        <v>3219.38</v>
      </c>
      <c r="AN49">
        <v>3219.38</v>
      </c>
      <c r="AO49">
        <v>16097</v>
      </c>
      <c r="AP49">
        <v>16097</v>
      </c>
      <c r="AQ49" t="s">
        <v>4130</v>
      </c>
      <c r="AR49" t="s">
        <v>4130</v>
      </c>
      <c r="AS49">
        <v>0</v>
      </c>
      <c r="AT49" t="s">
        <v>4265</v>
      </c>
      <c r="AU49" t="s">
        <v>4129</v>
      </c>
      <c r="AV49" t="s">
        <v>4130</v>
      </c>
      <c r="AW49" t="s">
        <v>4129</v>
      </c>
      <c r="AX49" t="s">
        <v>4130</v>
      </c>
      <c r="AY49" t="s">
        <v>4130</v>
      </c>
      <c r="AZ49" t="s">
        <v>4130</v>
      </c>
    </row>
    <row r="50" spans="1:52">
      <c r="A50" t="s">
        <v>4481</v>
      </c>
      <c r="B50" t="s">
        <v>3367</v>
      </c>
      <c r="C50" t="s">
        <v>4482</v>
      </c>
      <c r="D50" t="s">
        <v>4121</v>
      </c>
      <c r="E50" t="s">
        <v>4483</v>
      </c>
      <c r="F50" t="s">
        <v>4484</v>
      </c>
      <c r="G50" t="s">
        <v>4485</v>
      </c>
      <c r="H50" t="s">
        <v>4125</v>
      </c>
      <c r="I50">
        <v>12501.51</v>
      </c>
      <c r="J50">
        <v>37505</v>
      </c>
      <c r="K50" t="s">
        <v>4404</v>
      </c>
      <c r="L50" t="s">
        <v>4126</v>
      </c>
      <c r="M50" t="s">
        <v>4160</v>
      </c>
      <c r="N50" t="s">
        <v>4128</v>
      </c>
      <c r="O50" t="s">
        <v>4129</v>
      </c>
      <c r="P50" t="s">
        <v>4130</v>
      </c>
      <c r="Q50" t="s">
        <v>4406</v>
      </c>
      <c r="R50" t="s">
        <v>4130</v>
      </c>
      <c r="S50" t="s">
        <v>4130</v>
      </c>
      <c r="T50" t="s">
        <v>4130</v>
      </c>
      <c r="U50" t="s">
        <v>4130</v>
      </c>
      <c r="V50">
        <v>0</v>
      </c>
      <c r="W50">
        <v>0</v>
      </c>
      <c r="X50">
        <v>0</v>
      </c>
      <c r="Y50">
        <v>0</v>
      </c>
      <c r="Z50">
        <v>43889.000497685185</v>
      </c>
      <c r="AA50">
        <v>43909.000497685185</v>
      </c>
      <c r="AB50">
        <v>43923.000497685185</v>
      </c>
      <c r="AC50" s="3838">
        <v>43923.000497685185</v>
      </c>
      <c r="AD50" t="s">
        <v>4486</v>
      </c>
      <c r="AE50" t="s">
        <v>4132</v>
      </c>
      <c r="AF50" t="s">
        <v>4487</v>
      </c>
      <c r="AG50" t="s">
        <v>4488</v>
      </c>
      <c r="AH50" t="s">
        <v>4135</v>
      </c>
      <c r="AI50">
        <v>56000</v>
      </c>
      <c r="AJ50">
        <v>11200</v>
      </c>
      <c r="AK50" t="s">
        <v>4480</v>
      </c>
      <c r="AL50">
        <v>56000</v>
      </c>
      <c r="AM50">
        <v>2986.31</v>
      </c>
      <c r="AN50">
        <v>2986.31</v>
      </c>
      <c r="AO50">
        <v>14931</v>
      </c>
      <c r="AP50">
        <v>14931</v>
      </c>
      <c r="AQ50" t="s">
        <v>4130</v>
      </c>
      <c r="AR50" t="s">
        <v>4130</v>
      </c>
      <c r="AS50">
        <v>0</v>
      </c>
      <c r="AT50" t="s">
        <v>4265</v>
      </c>
      <c r="AU50" t="s">
        <v>4129</v>
      </c>
      <c r="AV50" t="s">
        <v>4130</v>
      </c>
      <c r="AW50" t="s">
        <v>4129</v>
      </c>
      <c r="AX50" t="s">
        <v>4130</v>
      </c>
      <c r="AY50" t="s">
        <v>4130</v>
      </c>
      <c r="AZ50" t="s">
        <v>4130</v>
      </c>
    </row>
    <row r="51" spans="1:52">
      <c r="A51" t="s">
        <v>4489</v>
      </c>
      <c r="B51" t="s">
        <v>3367</v>
      </c>
      <c r="C51" t="s">
        <v>4490</v>
      </c>
      <c r="D51" t="s">
        <v>4121</v>
      </c>
      <c r="E51" t="s">
        <v>4227</v>
      </c>
      <c r="F51" t="s">
        <v>4228</v>
      </c>
      <c r="G51" t="s">
        <v>4491</v>
      </c>
      <c r="H51" t="s">
        <v>4125</v>
      </c>
      <c r="I51">
        <v>30159.25</v>
      </c>
      <c r="J51">
        <v>138421</v>
      </c>
      <c r="K51" t="s">
        <v>4492</v>
      </c>
      <c r="L51" t="s">
        <v>4126</v>
      </c>
      <c r="M51" t="s">
        <v>4127</v>
      </c>
      <c r="N51" t="s">
        <v>4128</v>
      </c>
      <c r="O51" t="s">
        <v>4129</v>
      </c>
      <c r="P51" t="s">
        <v>4405</v>
      </c>
      <c r="Q51" t="s">
        <v>4493</v>
      </c>
      <c r="R51" t="s">
        <v>4130</v>
      </c>
      <c r="S51" t="s">
        <v>4130</v>
      </c>
      <c r="T51" t="s">
        <v>4130</v>
      </c>
      <c r="U51" t="s">
        <v>4130</v>
      </c>
      <c r="V51">
        <v>0</v>
      </c>
      <c r="W51">
        <v>0</v>
      </c>
      <c r="X51">
        <v>0</v>
      </c>
      <c r="Y51">
        <v>0</v>
      </c>
      <c r="Z51">
        <v>43777.000497685185</v>
      </c>
      <c r="AA51">
        <v>43797.000497685185</v>
      </c>
      <c r="AB51">
        <v>43811.000497685185</v>
      </c>
      <c r="AC51" s="3838">
        <v>43811.000497685185</v>
      </c>
      <c r="AD51" t="s">
        <v>4494</v>
      </c>
      <c r="AE51" t="s">
        <v>4132</v>
      </c>
      <c r="AF51" t="s">
        <v>4495</v>
      </c>
      <c r="AG51" t="s">
        <v>4496</v>
      </c>
      <c r="AH51" t="s">
        <v>4146</v>
      </c>
      <c r="AI51">
        <v>230100</v>
      </c>
      <c r="AJ51">
        <v>46100</v>
      </c>
      <c r="AK51" t="s">
        <v>4497</v>
      </c>
      <c r="AL51">
        <v>230100</v>
      </c>
      <c r="AM51">
        <v>5086.33</v>
      </c>
      <c r="AN51">
        <v>5086.33</v>
      </c>
      <c r="AO51">
        <v>16623</v>
      </c>
      <c r="AP51">
        <v>16623</v>
      </c>
      <c r="AQ51" t="s">
        <v>4130</v>
      </c>
      <c r="AR51" t="s">
        <v>4130</v>
      </c>
      <c r="AS51">
        <v>0</v>
      </c>
      <c r="AT51" t="s">
        <v>4265</v>
      </c>
      <c r="AU51" t="s">
        <v>4129</v>
      </c>
      <c r="AV51" t="s">
        <v>4130</v>
      </c>
      <c r="AW51" t="s">
        <v>4129</v>
      </c>
      <c r="AX51" t="s">
        <v>4130</v>
      </c>
      <c r="AY51" t="s">
        <v>4130</v>
      </c>
      <c r="AZ51" t="s">
        <v>4130</v>
      </c>
    </row>
    <row r="52" spans="1:52">
      <c r="A52" t="s">
        <v>4498</v>
      </c>
      <c r="B52" t="s">
        <v>3367</v>
      </c>
      <c r="C52" t="s">
        <v>4499</v>
      </c>
      <c r="D52" t="s">
        <v>4121</v>
      </c>
      <c r="E52" t="s">
        <v>4227</v>
      </c>
      <c r="F52" t="s">
        <v>4228</v>
      </c>
      <c r="G52" t="s">
        <v>4491</v>
      </c>
      <c r="H52" t="s">
        <v>4125</v>
      </c>
      <c r="I52">
        <v>35629.120000000003</v>
      </c>
      <c r="J52">
        <v>100429</v>
      </c>
      <c r="K52" t="s">
        <v>4500</v>
      </c>
      <c r="L52" t="s">
        <v>4126</v>
      </c>
      <c r="M52" t="s">
        <v>4501</v>
      </c>
      <c r="N52" t="s">
        <v>4128</v>
      </c>
      <c r="O52" t="s">
        <v>4129</v>
      </c>
      <c r="P52" t="s">
        <v>4405</v>
      </c>
      <c r="Q52" t="s">
        <v>4502</v>
      </c>
      <c r="R52" t="s">
        <v>4130</v>
      </c>
      <c r="S52" t="s">
        <v>4130</v>
      </c>
      <c r="T52" t="s">
        <v>4130</v>
      </c>
      <c r="U52" t="s">
        <v>4130</v>
      </c>
      <c r="V52">
        <v>0</v>
      </c>
      <c r="W52">
        <v>0</v>
      </c>
      <c r="X52">
        <v>0</v>
      </c>
      <c r="Y52">
        <v>0</v>
      </c>
      <c r="Z52">
        <v>43777.000497685185</v>
      </c>
      <c r="AA52">
        <v>43797.000497685185</v>
      </c>
      <c r="AB52">
        <v>43811.000497685185</v>
      </c>
      <c r="AC52" s="3838">
        <v>43811.000497685185</v>
      </c>
      <c r="AD52" t="s">
        <v>4503</v>
      </c>
      <c r="AE52" t="s">
        <v>4132</v>
      </c>
      <c r="AF52" t="s">
        <v>4495</v>
      </c>
      <c r="AG52" t="s">
        <v>4496</v>
      </c>
      <c r="AH52" t="s">
        <v>4146</v>
      </c>
      <c r="AI52">
        <v>166700</v>
      </c>
      <c r="AJ52">
        <v>33400</v>
      </c>
      <c r="AK52" t="s">
        <v>4497</v>
      </c>
      <c r="AL52">
        <v>166700</v>
      </c>
      <c r="AM52">
        <v>3119.17</v>
      </c>
      <c r="AN52">
        <v>3119.17</v>
      </c>
      <c r="AO52">
        <v>16599</v>
      </c>
      <c r="AP52">
        <v>16599</v>
      </c>
      <c r="AQ52" t="s">
        <v>4130</v>
      </c>
      <c r="AR52" t="s">
        <v>4130</v>
      </c>
      <c r="AS52">
        <v>0</v>
      </c>
      <c r="AT52" t="s">
        <v>4265</v>
      </c>
      <c r="AU52" t="s">
        <v>4129</v>
      </c>
      <c r="AV52" t="s">
        <v>4130</v>
      </c>
      <c r="AW52" t="s">
        <v>4129</v>
      </c>
      <c r="AX52" t="s">
        <v>4130</v>
      </c>
      <c r="AY52" t="s">
        <v>4130</v>
      </c>
      <c r="AZ52" t="s">
        <v>4130</v>
      </c>
    </row>
    <row r="53" spans="1:52">
      <c r="A53" t="s">
        <v>4504</v>
      </c>
      <c r="B53" t="s">
        <v>3367</v>
      </c>
      <c r="C53" t="s">
        <v>4505</v>
      </c>
      <c r="D53" t="s">
        <v>4121</v>
      </c>
      <c r="E53" t="s">
        <v>4157</v>
      </c>
      <c r="F53" t="s">
        <v>4506</v>
      </c>
      <c r="G53" t="s">
        <v>4507</v>
      </c>
      <c r="H53" t="s">
        <v>4125</v>
      </c>
      <c r="I53">
        <v>70601.070000000007</v>
      </c>
      <c r="J53">
        <v>285523</v>
      </c>
      <c r="K53" t="s">
        <v>4508</v>
      </c>
      <c r="L53" t="s">
        <v>4416</v>
      </c>
      <c r="M53" t="s">
        <v>4509</v>
      </c>
      <c r="N53" t="s">
        <v>4128</v>
      </c>
      <c r="O53" t="s">
        <v>4129</v>
      </c>
      <c r="P53" t="s">
        <v>4130</v>
      </c>
      <c r="Q53" t="s">
        <v>4130</v>
      </c>
      <c r="R53" t="s">
        <v>4130</v>
      </c>
      <c r="S53" t="s">
        <v>4130</v>
      </c>
      <c r="T53" t="s">
        <v>4130</v>
      </c>
      <c r="U53" t="s">
        <v>4130</v>
      </c>
      <c r="V53">
        <v>0</v>
      </c>
      <c r="W53">
        <v>0</v>
      </c>
      <c r="X53">
        <v>0</v>
      </c>
      <c r="Y53">
        <v>0</v>
      </c>
      <c r="Z53">
        <v>43770.000497685185</v>
      </c>
      <c r="AA53">
        <v>43798.000497685185</v>
      </c>
      <c r="AB53">
        <v>43801.000497685185</v>
      </c>
      <c r="AC53" s="3838">
        <v>43801.000497685185</v>
      </c>
      <c r="AD53" t="s">
        <v>4510</v>
      </c>
      <c r="AE53" t="s">
        <v>4132</v>
      </c>
      <c r="AF53" t="s">
        <v>4511</v>
      </c>
      <c r="AG53" t="s">
        <v>4512</v>
      </c>
      <c r="AH53" t="s">
        <v>4154</v>
      </c>
      <c r="AI53" t="s">
        <v>4130</v>
      </c>
      <c r="AJ53">
        <v>131000</v>
      </c>
      <c r="AK53" t="s">
        <v>633</v>
      </c>
      <c r="AL53">
        <v>660900</v>
      </c>
      <c r="AM53" t="s">
        <v>4130</v>
      </c>
      <c r="AN53">
        <v>6240.7</v>
      </c>
      <c r="AO53" t="s">
        <v>4130</v>
      </c>
      <c r="AP53">
        <v>23147</v>
      </c>
      <c r="AQ53" t="s">
        <v>4130</v>
      </c>
      <c r="AR53" t="s">
        <v>4130</v>
      </c>
      <c r="AS53">
        <v>0</v>
      </c>
      <c r="AT53" t="s">
        <v>4265</v>
      </c>
      <c r="AU53" t="s">
        <v>4129</v>
      </c>
      <c r="AV53" t="s">
        <v>4130</v>
      </c>
      <c r="AW53" t="s">
        <v>4129</v>
      </c>
      <c r="AX53" t="s">
        <v>4130</v>
      </c>
      <c r="AY53" t="s">
        <v>4130</v>
      </c>
      <c r="AZ53" t="s">
        <v>4130</v>
      </c>
    </row>
    <row r="54" spans="1:52">
      <c r="A54" t="s">
        <v>4513</v>
      </c>
      <c r="B54" t="s">
        <v>3367</v>
      </c>
      <c r="C54" t="s">
        <v>4514</v>
      </c>
      <c r="D54" t="s">
        <v>4121</v>
      </c>
      <c r="E54" t="s">
        <v>4167</v>
      </c>
      <c r="F54" t="s">
        <v>4328</v>
      </c>
      <c r="G54" t="s">
        <v>4515</v>
      </c>
      <c r="H54" t="s">
        <v>4125</v>
      </c>
      <c r="I54">
        <v>28003.32</v>
      </c>
      <c r="J54">
        <v>70008</v>
      </c>
      <c r="K54" t="s">
        <v>4516</v>
      </c>
      <c r="L54" t="s">
        <v>4126</v>
      </c>
      <c r="M54" t="s">
        <v>4160</v>
      </c>
      <c r="N54" t="s">
        <v>4128</v>
      </c>
      <c r="O54" t="s">
        <v>4129</v>
      </c>
      <c r="P54" t="s">
        <v>4300</v>
      </c>
      <c r="Q54" t="s">
        <v>4517</v>
      </c>
      <c r="R54" t="s">
        <v>4130</v>
      </c>
      <c r="S54" t="s">
        <v>4130</v>
      </c>
      <c r="T54" t="s">
        <v>4130</v>
      </c>
      <c r="U54" t="s">
        <v>4130</v>
      </c>
      <c r="V54">
        <v>0</v>
      </c>
      <c r="W54">
        <v>0</v>
      </c>
      <c r="X54">
        <v>0</v>
      </c>
      <c r="Y54">
        <v>0</v>
      </c>
      <c r="Z54">
        <v>43707.000497685185</v>
      </c>
      <c r="AA54">
        <v>43737.000497685185</v>
      </c>
      <c r="AB54">
        <v>43755.000497685185</v>
      </c>
      <c r="AC54" s="3838">
        <v>43755.000497685185</v>
      </c>
      <c r="AD54" t="s">
        <v>4518</v>
      </c>
      <c r="AE54" t="s">
        <v>4132</v>
      </c>
      <c r="AF54" t="s">
        <v>4519</v>
      </c>
      <c r="AG54" t="s">
        <v>4520</v>
      </c>
      <c r="AH54" t="s">
        <v>4521</v>
      </c>
      <c r="AI54">
        <v>96800</v>
      </c>
      <c r="AJ54">
        <v>19500</v>
      </c>
      <c r="AK54" t="s">
        <v>4522</v>
      </c>
      <c r="AL54">
        <v>97800</v>
      </c>
      <c r="AM54">
        <v>2304.4899999999998</v>
      </c>
      <c r="AN54">
        <v>2328.3000000000002</v>
      </c>
      <c r="AO54">
        <v>13827</v>
      </c>
      <c r="AP54">
        <v>13970</v>
      </c>
      <c r="AQ54" t="s">
        <v>4130</v>
      </c>
      <c r="AR54" t="s">
        <v>4130</v>
      </c>
      <c r="AS54">
        <v>1.03</v>
      </c>
      <c r="AT54" t="s">
        <v>4137</v>
      </c>
      <c r="AU54" t="s">
        <v>4129</v>
      </c>
      <c r="AV54" t="s">
        <v>4130</v>
      </c>
      <c r="AW54" t="s">
        <v>4129</v>
      </c>
      <c r="AX54" t="s">
        <v>4130</v>
      </c>
      <c r="AY54" t="s">
        <v>4130</v>
      </c>
      <c r="AZ54" t="s">
        <v>4130</v>
      </c>
    </row>
    <row r="55" spans="1:52">
      <c r="A55" t="s">
        <v>4523</v>
      </c>
      <c r="B55" t="s">
        <v>3367</v>
      </c>
      <c r="C55" t="s">
        <v>4524</v>
      </c>
      <c r="D55" t="s">
        <v>4121</v>
      </c>
      <c r="E55" t="s">
        <v>4198</v>
      </c>
      <c r="F55" t="s">
        <v>4525</v>
      </c>
      <c r="G55" t="s">
        <v>4526</v>
      </c>
      <c r="H55" t="s">
        <v>4125</v>
      </c>
      <c r="I55">
        <v>42276.47</v>
      </c>
      <c r="J55">
        <v>84552.93</v>
      </c>
      <c r="K55" t="s">
        <v>4527</v>
      </c>
      <c r="L55" t="s">
        <v>4126</v>
      </c>
      <c r="M55" t="s">
        <v>4127</v>
      </c>
      <c r="N55" t="s">
        <v>4128</v>
      </c>
      <c r="O55" t="s">
        <v>4129</v>
      </c>
      <c r="P55" t="s">
        <v>4405</v>
      </c>
      <c r="Q55" t="s">
        <v>4528</v>
      </c>
      <c r="R55" t="s">
        <v>4130</v>
      </c>
      <c r="S55" t="s">
        <v>4130</v>
      </c>
      <c r="T55" t="s">
        <v>4130</v>
      </c>
      <c r="U55" t="s">
        <v>4130</v>
      </c>
      <c r="V55">
        <v>0</v>
      </c>
      <c r="W55">
        <v>0</v>
      </c>
      <c r="X55">
        <v>0</v>
      </c>
      <c r="Y55">
        <v>0</v>
      </c>
      <c r="Z55">
        <v>43672.000497685185</v>
      </c>
      <c r="AA55">
        <v>43692.000497685185</v>
      </c>
      <c r="AB55">
        <v>43706.000497685185</v>
      </c>
      <c r="AC55" s="3838">
        <v>43706.000497685185</v>
      </c>
      <c r="AD55" t="s">
        <v>4529</v>
      </c>
      <c r="AE55" t="s">
        <v>4132</v>
      </c>
      <c r="AF55" t="s">
        <v>4530</v>
      </c>
      <c r="AG55" t="s">
        <v>4531</v>
      </c>
      <c r="AH55" t="s">
        <v>4135</v>
      </c>
      <c r="AI55">
        <v>95000</v>
      </c>
      <c r="AJ55">
        <v>19000</v>
      </c>
      <c r="AK55" t="s">
        <v>4532</v>
      </c>
      <c r="AL55">
        <v>96500</v>
      </c>
      <c r="AM55">
        <v>1498.08</v>
      </c>
      <c r="AN55">
        <v>1521.73</v>
      </c>
      <c r="AO55">
        <v>11236</v>
      </c>
      <c r="AP55">
        <v>11413</v>
      </c>
      <c r="AQ55" t="s">
        <v>4130</v>
      </c>
      <c r="AR55" t="s">
        <v>4130</v>
      </c>
      <c r="AS55">
        <v>1.58</v>
      </c>
      <c r="AT55" t="s">
        <v>4533</v>
      </c>
      <c r="AU55" t="s">
        <v>4129</v>
      </c>
      <c r="AV55" t="s">
        <v>4130</v>
      </c>
      <c r="AW55" t="s">
        <v>4129</v>
      </c>
      <c r="AX55" t="s">
        <v>4130</v>
      </c>
      <c r="AY55" t="s">
        <v>4130</v>
      </c>
      <c r="AZ55" t="s">
        <v>4130</v>
      </c>
    </row>
    <row r="56" spans="1:52">
      <c r="A56" t="s">
        <v>4534</v>
      </c>
      <c r="B56" t="s">
        <v>3367</v>
      </c>
      <c r="C56" t="s">
        <v>4535</v>
      </c>
      <c r="D56" t="s">
        <v>4121</v>
      </c>
      <c r="E56" t="s">
        <v>4157</v>
      </c>
      <c r="F56" t="s">
        <v>4536</v>
      </c>
      <c r="G56" t="s">
        <v>4537</v>
      </c>
      <c r="H56" t="s">
        <v>4125</v>
      </c>
      <c r="I56">
        <v>22035.93</v>
      </c>
      <c r="J56">
        <v>61700.6</v>
      </c>
      <c r="K56" t="s">
        <v>4191</v>
      </c>
      <c r="L56" t="s">
        <v>4126</v>
      </c>
      <c r="M56" t="s">
        <v>4127</v>
      </c>
      <c r="N56" t="s">
        <v>4128</v>
      </c>
      <c r="O56" t="s">
        <v>4129</v>
      </c>
      <c r="P56" t="s">
        <v>4300</v>
      </c>
      <c r="Q56" t="s">
        <v>4426</v>
      </c>
      <c r="R56" t="s">
        <v>4130</v>
      </c>
      <c r="S56" t="s">
        <v>4130</v>
      </c>
      <c r="T56" t="s">
        <v>4130</v>
      </c>
      <c r="U56" t="s">
        <v>4130</v>
      </c>
      <c r="V56">
        <v>0</v>
      </c>
      <c r="W56">
        <v>0</v>
      </c>
      <c r="X56">
        <v>0</v>
      </c>
      <c r="Y56">
        <v>0</v>
      </c>
      <c r="Z56">
        <v>43616.000497685185</v>
      </c>
      <c r="AA56">
        <v>43636.000497685185</v>
      </c>
      <c r="AB56">
        <v>43650.000497685185</v>
      </c>
      <c r="AC56" s="3838">
        <v>43650.000497685185</v>
      </c>
      <c r="AD56" t="s">
        <v>4538</v>
      </c>
      <c r="AE56" t="s">
        <v>4132</v>
      </c>
      <c r="AF56" t="s">
        <v>4539</v>
      </c>
      <c r="AG56" t="s">
        <v>4153</v>
      </c>
      <c r="AH56" t="s">
        <v>4154</v>
      </c>
      <c r="AI56">
        <v>103700</v>
      </c>
      <c r="AJ56">
        <v>21000</v>
      </c>
      <c r="AK56" t="s">
        <v>633</v>
      </c>
      <c r="AL56">
        <v>103700</v>
      </c>
      <c r="AM56">
        <v>3137.3</v>
      </c>
      <c r="AN56">
        <v>3137.3</v>
      </c>
      <c r="AO56">
        <v>16807</v>
      </c>
      <c r="AP56">
        <v>16807</v>
      </c>
      <c r="AQ56" t="s">
        <v>4130</v>
      </c>
      <c r="AR56" t="s">
        <v>4130</v>
      </c>
      <c r="AS56">
        <v>0</v>
      </c>
      <c r="AT56" t="s">
        <v>4265</v>
      </c>
      <c r="AU56" t="s">
        <v>4129</v>
      </c>
      <c r="AV56" t="s">
        <v>4130</v>
      </c>
      <c r="AW56" t="s">
        <v>4129</v>
      </c>
      <c r="AX56" t="s">
        <v>4130</v>
      </c>
      <c r="AY56" t="s">
        <v>4130</v>
      </c>
      <c r="AZ56" t="s">
        <v>4130</v>
      </c>
    </row>
    <row r="57" spans="1:52">
      <c r="A57" t="s">
        <v>4540</v>
      </c>
      <c r="B57" t="s">
        <v>3367</v>
      </c>
      <c r="C57" t="s">
        <v>4541</v>
      </c>
      <c r="D57" t="s">
        <v>4121</v>
      </c>
      <c r="E57" t="s">
        <v>4227</v>
      </c>
      <c r="F57" t="s">
        <v>4228</v>
      </c>
      <c r="G57" t="s">
        <v>4542</v>
      </c>
      <c r="H57" t="s">
        <v>4125</v>
      </c>
      <c r="I57">
        <v>35244.94</v>
      </c>
      <c r="J57">
        <v>123357</v>
      </c>
      <c r="K57">
        <v>3.5</v>
      </c>
      <c r="L57" t="s">
        <v>4126</v>
      </c>
      <c r="M57" t="s">
        <v>4127</v>
      </c>
      <c r="N57" t="s">
        <v>4128</v>
      </c>
      <c r="O57" t="s">
        <v>4129</v>
      </c>
      <c r="P57" t="s">
        <v>4130</v>
      </c>
      <c r="Q57" t="s">
        <v>4130</v>
      </c>
      <c r="R57" t="s">
        <v>4130</v>
      </c>
      <c r="S57" t="s">
        <v>4130</v>
      </c>
      <c r="T57" t="s">
        <v>4130</v>
      </c>
      <c r="U57" t="s">
        <v>4130</v>
      </c>
      <c r="V57">
        <v>0</v>
      </c>
      <c r="W57">
        <v>0</v>
      </c>
      <c r="X57">
        <v>0</v>
      </c>
      <c r="Y57">
        <v>0</v>
      </c>
      <c r="Z57">
        <v>42296.000497685185</v>
      </c>
      <c r="AA57">
        <v>42317.000497685185</v>
      </c>
      <c r="AB57">
        <v>42331.000497685185</v>
      </c>
      <c r="AC57" s="3838">
        <v>42331.000497685185</v>
      </c>
      <c r="AD57" t="s">
        <v>4543</v>
      </c>
      <c r="AE57" t="s">
        <v>4132</v>
      </c>
      <c r="AF57" t="s">
        <v>4544</v>
      </c>
      <c r="AG57" t="s">
        <v>4545</v>
      </c>
      <c r="AH57" t="s">
        <v>4146</v>
      </c>
      <c r="AI57">
        <v>160000</v>
      </c>
      <c r="AJ57">
        <v>48000</v>
      </c>
      <c r="AK57" t="s">
        <v>633</v>
      </c>
      <c r="AL57">
        <v>354000</v>
      </c>
      <c r="AM57">
        <v>3026.44</v>
      </c>
      <c r="AN57">
        <v>6696</v>
      </c>
      <c r="AO57">
        <v>12970</v>
      </c>
      <c r="AP57">
        <v>28697</v>
      </c>
      <c r="AQ57" t="s">
        <v>4130</v>
      </c>
      <c r="AR57" t="s">
        <v>4130</v>
      </c>
      <c r="AS57">
        <v>121.25</v>
      </c>
      <c r="AT57" t="s">
        <v>4265</v>
      </c>
      <c r="AU57" t="s">
        <v>4129</v>
      </c>
      <c r="AV57" t="s">
        <v>4130</v>
      </c>
      <c r="AW57" t="s">
        <v>4129</v>
      </c>
      <c r="AX57" t="s">
        <v>4130</v>
      </c>
      <c r="AY57" t="s">
        <v>4130</v>
      </c>
      <c r="AZ57" t="s">
        <v>4130</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33" sqref="L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0</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20395</v>
      </c>
      <c r="C2" s="1999" t="s">
        <v>1919</v>
      </c>
      <c r="D2" s="2000" t="s">
        <v>1920</v>
      </c>
      <c r="E2" s="3398"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Ⅲ—05</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27363</v>
      </c>
      <c r="U2" s="1213"/>
      <c r="V2" s="3337">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6" t="s">
        <v>2423</v>
      </c>
      <c r="F3" s="2004" t="s">
        <v>3373</v>
      </c>
      <c r="G3" s="752" t="e">
        <f>IF(F3="宗地容积率",'数据-汇总表'!I4,IF(F3="估价对象容积率",'数据-汇总表'!I6,'数据-汇总表'!I7))</f>
        <v>#DIV/0!</v>
      </c>
      <c r="H3" s="170" t="s">
        <v>1927</v>
      </c>
      <c r="I3" s="775">
        <v>1</v>
      </c>
      <c r="J3" s="2002" t="s">
        <v>1928</v>
      </c>
      <c r="K3" s="1119"/>
      <c r="L3" s="2003" t="s">
        <v>1929</v>
      </c>
      <c r="M3" s="864">
        <f>SUMPRODUCT((区片价!B30:B54=I2)*(区片价!C3:G3=E2)*(区片价!C30:G54))</f>
        <v>23090</v>
      </c>
      <c r="N3" s="866">
        <f>SUMPRODUCT((因素修正幅度!B30:B54=I2)*(因素修正幅度!C3:G3=E2)*(因素修正幅度!C30:G54))</f>
        <v>8.4000000000000005E-2</v>
      </c>
      <c r="O3" s="1119"/>
      <c r="P3" s="1119"/>
      <c r="Q3" s="1119"/>
      <c r="R3" s="1212">
        <v>2</v>
      </c>
      <c r="S3" s="3337">
        <f>ROUND(SUMPRODUCT((B106:B110=R3)*(C105:N105=G2)*(C106:N110)),4)</f>
        <v>1.1838</v>
      </c>
      <c r="T3" s="3337">
        <f t="shared" si="0"/>
        <v>21567</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826"/>
      <c r="B4" s="3827"/>
      <c r="C4" s="3827"/>
      <c r="D4" s="3828"/>
      <c r="E4" s="3828"/>
      <c r="F4" s="3828"/>
      <c r="G4" s="3828"/>
      <c r="H4" s="3828"/>
      <c r="I4" s="3828"/>
      <c r="J4" s="3829"/>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18228</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23090</v>
      </c>
      <c r="D5" s="1339">
        <f>ROUND(C6*C17+C20,0)</f>
        <v>23090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16076</v>
      </c>
      <c r="U5" s="1213">
        <f>SUM('数据-基础表'!I13:I30)</f>
        <v>4246.9999999999991</v>
      </c>
      <c r="V5" s="3337">
        <f t="shared" si="1"/>
        <v>6827</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23090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0.84799999999999998</v>
      </c>
      <c r="T6" s="3337">
        <f t="shared" si="0"/>
        <v>15450</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5">
        <f>AA10</f>
        <v>0.83850000000000002</v>
      </c>
      <c r="T7" s="3337">
        <f t="shared" si="0"/>
        <v>15276</v>
      </c>
      <c r="U7" s="1213"/>
      <c r="V7" s="3337">
        <f t="shared" si="1"/>
        <v>0</v>
      </c>
      <c r="W7" s="1358" t="s">
        <v>1939</v>
      </c>
      <c r="X7" s="1214" t="str">
        <f>G2</f>
        <v>三级</v>
      </c>
      <c r="Y7" s="1214" t="s">
        <v>1940</v>
      </c>
      <c r="Z7" s="1215" t="e">
        <f>G3</f>
        <v>#DIV/0!</v>
      </c>
      <c r="AA7" s="1216"/>
      <c r="AB7" s="1216"/>
      <c r="AC7" s="1217"/>
      <c r="AD7" s="1218"/>
      <c r="AE7" s="1218"/>
      <c r="AF7" s="1218"/>
      <c r="AG7" s="1218"/>
      <c r="AH7" s="1218"/>
      <c r="AI7" s="1218"/>
      <c r="AJ7" s="1219"/>
    </row>
    <row r="8" spans="1:36" ht="25.5">
      <c r="A8" s="3275"/>
      <c r="B8" s="170" t="s">
        <v>1941</v>
      </c>
      <c r="C8" s="2026" t="s">
        <v>3374</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f>S7</f>
        <v>0.83850000000000002</v>
      </c>
      <c r="T8" s="3337">
        <f t="shared" si="0"/>
        <v>15276</v>
      </c>
      <c r="U8" s="1213"/>
      <c r="V8" s="3337">
        <f t="shared" si="1"/>
        <v>0</v>
      </c>
      <c r="W8" s="3823" t="s">
        <v>1944</v>
      </c>
      <c r="X8" s="3824"/>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5"/>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f>S8</f>
        <v>0.83850000000000002</v>
      </c>
      <c r="T9" s="3337">
        <f t="shared" si="0"/>
        <v>15276</v>
      </c>
      <c r="U9" s="1213">
        <f>SUM('数据-基础表'!I31:I48)</f>
        <v>4246.9999999999991</v>
      </c>
      <c r="V9" s="3337">
        <f t="shared" si="1"/>
        <v>6488</v>
      </c>
      <c r="W9" s="3825"/>
      <c r="X9" s="3338" t="s">
        <v>3252</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f>S9</f>
        <v>0.83850000000000002</v>
      </c>
      <c r="T10" s="3337">
        <f t="shared" si="0"/>
        <v>15276</v>
      </c>
      <c r="U10" s="1213">
        <f>SUM('数据-基础表'!I49:I68)</f>
        <v>4634.4500000000007</v>
      </c>
      <c r="V10" s="3337">
        <f t="shared" si="1"/>
        <v>7080</v>
      </c>
      <c r="W10" s="3825"/>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3222</v>
      </c>
      <c r="B12" s="3281" t="s">
        <v>3223</v>
      </c>
      <c r="C12" s="3282">
        <v>1</v>
      </c>
      <c r="D12" s="3283" t="s">
        <v>3224</v>
      </c>
      <c r="E12" s="3284" t="s">
        <v>3225</v>
      </c>
      <c r="F12" s="3285"/>
      <c r="G12" s="3286"/>
      <c r="H12" s="3286"/>
      <c r="I12" s="3286"/>
      <c r="J12" s="3287"/>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3226</v>
      </c>
      <c r="B13" s="2034" t="s">
        <v>1966</v>
      </c>
      <c r="C13" s="755">
        <f>ROUND(C16*D16*E16*F16*G16*H16*I16*J16,4)</f>
        <v>0</v>
      </c>
      <c r="D13" s="2035" t="s">
        <v>1967</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1969</v>
      </c>
      <c r="C14" s="2041" t="s">
        <v>1970</v>
      </c>
      <c r="D14" s="1350" t="s">
        <v>1971</v>
      </c>
      <c r="E14" s="27" t="s">
        <v>1972</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1973</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830" t="s">
        <v>3238</v>
      </c>
      <c r="B20" s="167" t="s">
        <v>1978</v>
      </c>
      <c r="C20" s="3301">
        <f>ROUND(IF(F21="与级别开发程度一致",0,(G21-E21)/C21),0)</f>
        <v>0</v>
      </c>
      <c r="D20" s="3317" t="s">
        <v>1982</v>
      </c>
      <c r="E20" s="3318"/>
      <c r="F20" s="3836" t="s">
        <v>1979</v>
      </c>
      <c r="G20" s="3837"/>
      <c r="H20" s="3302" t="s">
        <v>3375</v>
      </c>
      <c r="I20" s="3302" t="s">
        <v>3376</v>
      </c>
      <c r="J20" s="3303" t="s">
        <v>3377</v>
      </c>
      <c r="K20" s="2047" t="s">
        <v>3378</v>
      </c>
      <c r="L20" s="2047" t="s">
        <v>3379</v>
      </c>
      <c r="M20" s="2047" t="s">
        <v>3380</v>
      </c>
      <c r="N20" s="2047" t="s">
        <v>3381</v>
      </c>
      <c r="O20" s="2048" t="s">
        <v>3382</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831"/>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3383</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1984</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45279</v>
      </c>
      <c r="H23" s="3319" t="s">
        <v>3240</v>
      </c>
      <c r="I23" s="3320" t="str">
        <f>IF(H23="季度增幅（自定义）",SUMIF(N25:N28,E2,O25:O28),"")</f>
        <v/>
      </c>
      <c r="J23" s="3422" t="s">
        <v>3239</v>
      </c>
      <c r="K23" s="1125"/>
      <c r="L23" s="2055" t="s">
        <v>1988</v>
      </c>
      <c r="M23" s="1328">
        <f>ROUND(SUMIF(地价!B2:G2,E2,地价!B16:G16),0)</f>
        <v>350</v>
      </c>
      <c r="N23" s="2056" t="s">
        <v>1989</v>
      </c>
      <c r="O23" s="763">
        <f>ROUNDDOWN(DATEDIF(E23,G23,"M")/3,0)</f>
        <v>11</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0.71760000000000002</v>
      </c>
      <c r="D24" s="2060" t="s">
        <v>1991</v>
      </c>
      <c r="E24" s="1335">
        <f>存贷款利率!E24/100</f>
        <v>4.3499999999999997E-2</v>
      </c>
      <c r="F24" s="2060" t="s">
        <v>1983</v>
      </c>
      <c r="G24" s="768">
        <f>SUMIF(M30:Q30,E2,M33:Q33)</f>
        <v>5.5E-2</v>
      </c>
      <c r="H24" s="2060" t="s">
        <v>1992</v>
      </c>
      <c r="I24" s="769">
        <f>SUMIF('数据-取费表'!C6:C15,E2,'数据-取费表'!F6:F15)/COUNTIF('数据-取费表'!C6:C15,E2)</f>
        <v>18.739999999999998</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3463</v>
      </c>
      <c r="C25" s="771">
        <f>IF(B25="容积率修正",IF(G3&lt;10,D26,J26),C27)</f>
        <v>1.5019</v>
      </c>
      <c r="D25" s="2067"/>
      <c r="E25" s="2067"/>
      <c r="F25" s="2067"/>
      <c r="G25" s="2067"/>
      <c r="H25" s="2067"/>
      <c r="I25" s="2067"/>
      <c r="J25" s="2068"/>
      <c r="K25" s="1125"/>
      <c r="L25" s="2764"/>
      <c r="M25" s="2764"/>
      <c r="N25" s="2069"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1" t="s">
        <v>3241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1" t="s">
        <v>3242</v>
      </c>
      <c r="J26" s="772" t="e">
        <f>IF(G3&gt;=10,D115,"——")</f>
        <v>#DIV/0!</v>
      </c>
      <c r="K26" s="1125"/>
      <c r="L26" s="2764"/>
      <c r="M26" s="2764"/>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1.5019</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4"/>
      <c r="M28" s="2764"/>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20395</v>
      </c>
      <c r="D30" s="2083"/>
      <c r="E30" s="2046"/>
      <c r="F30" s="2084"/>
      <c r="G30" s="2046"/>
      <c r="H30" s="2046"/>
      <c r="I30" s="2046"/>
      <c r="J30" s="2085"/>
      <c r="K30" s="1119"/>
      <c r="L30" s="3327" t="s">
        <v>1920</v>
      </c>
      <c r="M30" s="3328" t="s">
        <v>1974</v>
      </c>
      <c r="N30" s="3328" t="s">
        <v>1975</v>
      </c>
      <c r="O30" s="3328" t="s">
        <v>1976</v>
      </c>
      <c r="P30" s="3328" t="s">
        <v>1977</v>
      </c>
      <c r="Q30" s="3331"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29" t="s">
        <v>1980</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0" t="s">
        <v>1983</v>
      </c>
      <c r="M32" s="2548">
        <f>ROUND($E$24*(1+M31),3)</f>
        <v>5.3999999999999999E-2</v>
      </c>
      <c r="N32" s="2548">
        <f>ROUND($E$24*(1+N31),3)</f>
        <v>5.1999999999999998E-2</v>
      </c>
      <c r="O32" s="2548">
        <f>ROUND($E$24*(1+O31),3)</f>
        <v>0.05</v>
      </c>
      <c r="P32" s="2548">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27363</v>
      </c>
      <c r="D33" s="2098"/>
      <c r="E33" s="773">
        <f>ROUND(C33*D33/10000,0)</f>
        <v>0</v>
      </c>
      <c r="F33" s="3322" t="s">
        <v>3244</v>
      </c>
      <c r="G33" s="2099"/>
      <c r="H33" s="2099"/>
      <c r="I33" s="2099"/>
      <c r="J33" s="2100"/>
      <c r="K33" s="1119"/>
      <c r="L33" s="3325" t="s">
        <v>3247</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t="e">
        <f>ROUND(IF(E2="工业",C33*M42,IF(B25="楼层修正",SUM(V2:V16)*M41*10000/D34,C33*M41)),0)</f>
        <v>#DIV/0!</v>
      </c>
      <c r="D34" s="2103"/>
      <c r="E34" s="773">
        <f>ROUND(IF(B25="楼层修正",SUM(V2:V16)*M40,C34*D34/10000),0)</f>
        <v>0</v>
      </c>
      <c r="F34" s="2104" t="s">
        <v>2016</v>
      </c>
      <c r="G34" s="2105"/>
      <c r="H34" s="2105"/>
      <c r="I34" s="2105"/>
      <c r="J34" s="2106"/>
      <c r="K34" s="1119"/>
      <c r="L34" s="3325" t="s">
        <v>3248</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3"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3" t="s">
        <v>3249</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4"/>
      <c r="B37" s="2113" t="s">
        <v>2020</v>
      </c>
      <c r="C37" s="175">
        <f>ROUND(D5*C22*C23*C24*C28*F37,0)</f>
        <v>10931</v>
      </c>
      <c r="D37" s="2098"/>
      <c r="E37" s="171">
        <f>ROUND(C37*D37/10000,0)</f>
        <v>0</v>
      </c>
      <c r="F37" s="171">
        <f>SUMIF(修正!A57:A68,G2,修正!B57:B68)</f>
        <v>0.6</v>
      </c>
      <c r="G37" s="171">
        <f>ROUND(IF(E2="工业",C37*$M$42,C37*$M$41),0)</f>
        <v>2733</v>
      </c>
      <c r="H37" s="171">
        <f>D37</f>
        <v>0</v>
      </c>
      <c r="I37" s="171">
        <f>ROUND(G37*H37/10000,0)</f>
        <v>0</v>
      </c>
      <c r="J37" s="2988"/>
      <c r="K37" s="3335" t="s">
        <v>3250</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5"/>
      <c r="B38" s="2041" t="s">
        <v>2021</v>
      </c>
      <c r="C38" s="175">
        <f>ROUND(D5*C22*C23*C24*C28*F38,0)</f>
        <v>5466</v>
      </c>
      <c r="D38" s="2098"/>
      <c r="E38" s="171">
        <f t="shared" ref="E38:E42" si="4">ROUND(C38*D38/10000,0)</f>
        <v>0</v>
      </c>
      <c r="F38" s="171">
        <f>SUMIF(修正!A57:A68,G2,修正!C57:C68)</f>
        <v>0.3</v>
      </c>
      <c r="G38" s="171">
        <f>ROUND(IF(E2="工业",C38*$M$42,C38*$M$41),0)</f>
        <v>1367</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35"/>
      <c r="B39" s="2041" t="s">
        <v>3243</v>
      </c>
      <c r="C39" s="175">
        <f>ROUND(D5*C22*C23*C24*C28*F39,0)</f>
        <v>4555</v>
      </c>
      <c r="D39" s="2098"/>
      <c r="E39" s="171">
        <f t="shared" si="4"/>
        <v>0</v>
      </c>
      <c r="F39" s="171">
        <f>SUMIF(修正!A57:A68,G2,修正!D57:D68)</f>
        <v>0.25</v>
      </c>
      <c r="G39" s="171">
        <f>ROUND(IF(E2="工业",C39*$M$42,C39*$M$41),0)</f>
        <v>1139</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4555</v>
      </c>
      <c r="D40" s="2098"/>
      <c r="E40" s="171">
        <f t="shared" si="4"/>
        <v>0</v>
      </c>
      <c r="F40" s="175">
        <f>SUMIF(修正!A57:A68,G2,修正!E57:E68)</f>
        <v>0.25</v>
      </c>
      <c r="G40" s="171">
        <f>ROUND(IF(E2="工业",C40*$M$42,C40*$M$41),0)</f>
        <v>1139</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6"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f>'数据-汇总表'!G20</f>
        <v>0</v>
      </c>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f>'数据-取费表'!F7</f>
        <v>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3394</v>
      </c>
      <c r="D50" s="1065">
        <f t="shared" ref="D50:D58" si="7">SUMIF($J$49:$N$49,C50,J50:N50)</f>
        <v>1.47E-2</v>
      </c>
      <c r="E50" s="744">
        <f>ROUND(SUM(D50:D58),4)</f>
        <v>5.2499999999999998E-2</v>
      </c>
      <c r="F50" s="1814">
        <f>IF(E2="商业",SUMIF(L1:L12,G2,N1:N12),"——")</f>
        <v>8.4000000000000005E-2</v>
      </c>
      <c r="G50" s="1063">
        <v>1.47E-2</v>
      </c>
      <c r="H50" s="1066">
        <f t="shared" ref="H50:H58" si="8">IFERROR(ROUNDDOWN($F$50*I50/2,4),"——")</f>
        <v>1.26E-2</v>
      </c>
      <c r="I50" s="3343">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较好</v>
      </c>
      <c r="C51" s="2044" t="s">
        <v>3394</v>
      </c>
      <c r="D51" s="1065">
        <f t="shared" si="7"/>
        <v>1.0699999999999999E-2</v>
      </c>
      <c r="E51" s="745"/>
      <c r="F51" s="1814"/>
      <c r="G51" s="1063">
        <v>1.0699999999999999E-2</v>
      </c>
      <c r="H51" s="1066">
        <f t="shared" si="8"/>
        <v>9.1999999999999998E-3</v>
      </c>
      <c r="I51" s="3343">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5" t="s">
        <v>3253</v>
      </c>
      <c r="B52" s="2134">
        <f>估价对象房地状况!C19</f>
        <v>0</v>
      </c>
      <c r="C52" s="2044" t="s">
        <v>3394</v>
      </c>
      <c r="D52" s="1065">
        <f t="shared" si="7"/>
        <v>5.7999999999999996E-3</v>
      </c>
      <c r="E52" s="745"/>
      <c r="F52" s="1814"/>
      <c r="G52" s="1063">
        <v>5.7999999999999996E-3</v>
      </c>
      <c r="H52" s="1066">
        <f t="shared" si="8"/>
        <v>5.0000000000000001E-3</v>
      </c>
      <c r="I52" s="334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3394</v>
      </c>
      <c r="D53" s="1065">
        <f t="shared" si="7"/>
        <v>2.3999999999999998E-3</v>
      </c>
      <c r="E53" s="745"/>
      <c r="F53" s="1814"/>
      <c r="G53" s="1063">
        <v>2.3999999999999998E-3</v>
      </c>
      <c r="H53" s="1066">
        <f t="shared" si="8"/>
        <v>2.0999999999999999E-3</v>
      </c>
      <c r="I53" s="334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3394</v>
      </c>
      <c r="D54" s="1065">
        <f t="shared" si="7"/>
        <v>3.8999999999999998E-3</v>
      </c>
      <c r="E54" s="745"/>
      <c r="F54" s="1814"/>
      <c r="G54" s="1063">
        <v>3.8999999999999998E-3</v>
      </c>
      <c r="H54" s="1066">
        <f t="shared" si="8"/>
        <v>3.3E-3</v>
      </c>
      <c r="I54" s="3343">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3394</v>
      </c>
      <c r="D55" s="1065">
        <f t="shared" si="7"/>
        <v>2.3999999999999998E-3</v>
      </c>
      <c r="E55" s="745"/>
      <c r="F55" s="1814"/>
      <c r="G55" s="1063">
        <v>2.3999999999999998E-3</v>
      </c>
      <c r="H55" s="1066">
        <f t="shared" si="8"/>
        <v>2.0999999999999999E-3</v>
      </c>
      <c r="I55" s="334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较好</v>
      </c>
      <c r="C56" s="2044" t="s">
        <v>3394</v>
      </c>
      <c r="D56" s="1065">
        <f t="shared" si="7"/>
        <v>2.3999999999999998E-3</v>
      </c>
      <c r="E56" s="745"/>
      <c r="F56" s="1814"/>
      <c r="G56" s="1063">
        <v>2.3999999999999998E-3</v>
      </c>
      <c r="H56" s="1066">
        <f t="shared" si="8"/>
        <v>2.0999999999999999E-3</v>
      </c>
      <c r="I56" s="334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3395</v>
      </c>
      <c r="D57" s="1065">
        <f t="shared" si="7"/>
        <v>7.7999999999999996E-3</v>
      </c>
      <c r="E57" s="745"/>
      <c r="F57" s="1814"/>
      <c r="G57" s="1063">
        <v>3.8999999999999998E-3</v>
      </c>
      <c r="H57" s="1066">
        <f t="shared" si="8"/>
        <v>3.3E-3</v>
      </c>
      <c r="I57" s="3343">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3394</v>
      </c>
      <c r="D58" s="1065">
        <f t="shared" si="7"/>
        <v>2.3999999999999998E-3</v>
      </c>
      <c r="E58" s="746"/>
      <c r="F58" s="1814"/>
      <c r="G58" s="1063">
        <v>2.3999999999999998E-3</v>
      </c>
      <c r="H58" s="1066">
        <f t="shared" si="8"/>
        <v>2.0999999999999999E-3</v>
      </c>
      <c r="I58" s="334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较好</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3253</v>
      </c>
      <c r="B63" s="2134">
        <f>估价对象房地状况!C19</f>
        <v>0</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较好</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3253</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3254</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2596</v>
      </c>
      <c r="B91" s="3354">
        <f>1+E93</f>
        <v>1</v>
      </c>
      <c r="C91" s="3347"/>
      <c r="D91" s="3348"/>
      <c r="E91" s="1814"/>
      <c r="F91" s="1814"/>
      <c r="G91" s="3349"/>
      <c r="H91" s="3350"/>
      <c r="I91" s="3351"/>
      <c r="J91" s="3352"/>
      <c r="K91" s="3352"/>
      <c r="L91" s="3352"/>
      <c r="M91" s="3352"/>
      <c r="N91" s="3352"/>
    </row>
    <row r="92" spans="1:37" ht="24.75">
      <c r="A92" s="3355" t="s">
        <v>3255</v>
      </c>
      <c r="B92" s="3342"/>
      <c r="C92" s="3342" t="s">
        <v>3264</v>
      </c>
      <c r="D92" s="3342" t="s">
        <v>3265</v>
      </c>
      <c r="E92" s="3324" t="s">
        <v>3266</v>
      </c>
      <c r="F92" s="3357" t="s">
        <v>3267</v>
      </c>
      <c r="G92" s="3342" t="s">
        <v>3268</v>
      </c>
      <c r="H92" s="3364" t="s">
        <v>3271</v>
      </c>
      <c r="I92" s="3342" t="s">
        <v>3272</v>
      </c>
      <c r="J92" s="3365" t="s">
        <v>3273</v>
      </c>
      <c r="K92" s="3365" t="s">
        <v>3274</v>
      </c>
      <c r="L92" s="3365" t="s">
        <v>3275</v>
      </c>
      <c r="M92" s="3365" t="s">
        <v>3276</v>
      </c>
      <c r="N92" s="3365" t="s">
        <v>3277</v>
      </c>
    </row>
    <row r="93" spans="1:37" ht="24">
      <c r="A93" s="3345" t="s">
        <v>3256</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3257</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3253</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3258</v>
      </c>
      <c r="B96" s="3361" t="s">
        <v>3269</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3259</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3260</v>
      </c>
      <c r="B98" s="3362" t="s">
        <v>3270</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3261</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3262</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3263</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32" t="s">
        <v>3278</v>
      </c>
      <c r="B103" s="3832"/>
      <c r="C103" s="3832"/>
      <c r="D103" s="3832"/>
      <c r="E103" s="3832"/>
      <c r="F103" s="3832"/>
      <c r="G103" s="3832"/>
      <c r="H103" s="3832"/>
      <c r="I103" s="3832"/>
      <c r="J103" s="3832"/>
      <c r="K103" s="3366"/>
      <c r="L103" s="3366"/>
      <c r="M103" s="3366"/>
      <c r="N103" s="3366"/>
    </row>
    <row r="104" spans="1:14">
      <c r="A104" s="3833" t="s">
        <v>3279</v>
      </c>
      <c r="B104" s="3833" t="s">
        <v>3280</v>
      </c>
      <c r="C104" s="3367" t="s">
        <v>3281</v>
      </c>
      <c r="D104" s="3368"/>
      <c r="E104" s="3368"/>
      <c r="F104" s="3368"/>
      <c r="G104" s="3368"/>
      <c r="H104" s="3368"/>
      <c r="I104" s="3368"/>
      <c r="J104" s="3369"/>
      <c r="K104" s="3370"/>
      <c r="L104" s="3370"/>
      <c r="M104" s="3370"/>
      <c r="N104" s="3370"/>
    </row>
    <row r="105" spans="1:14">
      <c r="A105" s="3833"/>
      <c r="B105" s="3833"/>
      <c r="C105" s="3371" t="s">
        <v>3282</v>
      </c>
      <c r="D105" s="3371" t="s">
        <v>3283</v>
      </c>
      <c r="E105" s="3371" t="s">
        <v>3284</v>
      </c>
      <c r="F105" s="3371" t="s">
        <v>3285</v>
      </c>
      <c r="G105" s="3371" t="s">
        <v>3286</v>
      </c>
      <c r="H105" s="3371" t="s">
        <v>3287</v>
      </c>
      <c r="I105" s="3371" t="s">
        <v>3288</v>
      </c>
      <c r="J105" s="3371" t="s">
        <v>3289</v>
      </c>
      <c r="K105" s="3371" t="s">
        <v>3290</v>
      </c>
      <c r="L105" s="3371" t="s">
        <v>3291</v>
      </c>
      <c r="M105" s="3371" t="s">
        <v>3292</v>
      </c>
      <c r="N105" s="3371" t="s">
        <v>3293</v>
      </c>
    </row>
    <row r="106" spans="1:14">
      <c r="A106" s="3819" t="s">
        <v>3294</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820"/>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820"/>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820"/>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820"/>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820"/>
      <c r="B111" s="3371" t="s">
        <v>3252</v>
      </c>
      <c r="C111" s="3372">
        <f>$I$3</f>
        <v>1</v>
      </c>
      <c r="D111" s="3372">
        <f t="shared" ref="D111:M111" si="32">$I$3</f>
        <v>1</v>
      </c>
      <c r="E111" s="3372">
        <f t="shared" si="32"/>
        <v>1</v>
      </c>
      <c r="F111" s="3372">
        <f t="shared" si="32"/>
        <v>1</v>
      </c>
      <c r="G111" s="3372">
        <f t="shared" si="32"/>
        <v>1</v>
      </c>
      <c r="H111" s="3372">
        <f t="shared" si="32"/>
        <v>1</v>
      </c>
      <c r="I111" s="3372">
        <f t="shared" si="32"/>
        <v>1</v>
      </c>
      <c r="J111" s="3372">
        <f t="shared" si="32"/>
        <v>1</v>
      </c>
      <c r="K111" s="3372">
        <f t="shared" si="32"/>
        <v>1</v>
      </c>
      <c r="L111" s="3372">
        <f t="shared" si="32"/>
        <v>1</v>
      </c>
      <c r="M111" s="3372">
        <f t="shared" si="32"/>
        <v>1</v>
      </c>
      <c r="N111" s="3372">
        <f>$I$3</f>
        <v>1</v>
      </c>
    </row>
    <row r="112" spans="1:14">
      <c r="A112" s="3821"/>
      <c r="B112" s="3371">
        <v>6</v>
      </c>
      <c r="C112" s="3364">
        <f>(-0.5556*(C111^2)-0.2719*C111+8944)*(10^(-4))</f>
        <v>0.89431725000000006</v>
      </c>
      <c r="D112" s="3364">
        <f>(-0.5556*(D111^2)-0.2719*D111+8944)*(10^(-4))</f>
        <v>0.89431725000000006</v>
      </c>
      <c r="E112" s="3364">
        <f>(-0.7912*(E111^2)-11.3794*E111+8482)*(10^(-4))</f>
        <v>0.84698294000000007</v>
      </c>
      <c r="F112" s="3364">
        <f t="shared" ref="F112:I112" si="33">(-0.7912*(F111^2)-11.3794*F111+8482)*(10^(-4))</f>
        <v>0.84698294000000007</v>
      </c>
      <c r="G112" s="3364">
        <f t="shared" si="33"/>
        <v>0.84698294000000007</v>
      </c>
      <c r="H112" s="3364">
        <f t="shared" si="33"/>
        <v>0.84698294000000007</v>
      </c>
      <c r="I112" s="3364">
        <f t="shared" si="33"/>
        <v>0.84698294000000007</v>
      </c>
      <c r="J112" s="3364">
        <f>(-0.989*(J111^2)-63.78*J111+7771)*(10^(-4))</f>
        <v>0.77062310000000001</v>
      </c>
      <c r="K112" s="3364">
        <f t="shared" ref="K112:N112" si="34">(-0.989*(K111^2)-63.78*K111+7771)*(10^(-4))</f>
        <v>0.77062310000000001</v>
      </c>
      <c r="L112" s="3364">
        <f t="shared" si="34"/>
        <v>0.77062310000000001</v>
      </c>
      <c r="M112" s="3364">
        <f t="shared" si="34"/>
        <v>0.77062310000000001</v>
      </c>
      <c r="N112" s="3364">
        <f t="shared" si="34"/>
        <v>0.77062310000000001</v>
      </c>
    </row>
    <row r="113" spans="1:14">
      <c r="A113" s="3822" t="s">
        <v>3295</v>
      </c>
      <c r="B113" s="3822"/>
      <c r="C113" s="3822"/>
      <c r="D113" s="3822"/>
      <c r="E113" s="3822"/>
      <c r="F113" s="3822"/>
      <c r="G113" s="3822"/>
      <c r="H113" s="3822"/>
      <c r="I113" s="3822"/>
      <c r="J113" s="3822"/>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3296</v>
      </c>
      <c r="B116" s="3392" t="e">
        <f>G3</f>
        <v>#DIV/0!</v>
      </c>
      <c r="C116" s="3376" t="s">
        <v>3297</v>
      </c>
      <c r="D116" s="3377" t="e">
        <f>SUMPRODUCT((A118:A122=F116)*(B117:M117=H116)*B118:M122)</f>
        <v>#DIV/0!</v>
      </c>
      <c r="E116" s="2000" t="s">
        <v>3298</v>
      </c>
      <c r="F116" s="3378" t="str">
        <f>E2</f>
        <v>商业</v>
      </c>
      <c r="G116" s="2000" t="s">
        <v>3299</v>
      </c>
      <c r="H116" s="3378" t="str">
        <f>G2</f>
        <v>三级</v>
      </c>
      <c r="I116" s="2000"/>
      <c r="J116" s="3379"/>
      <c r="K116" s="3379"/>
      <c r="L116" s="3379"/>
      <c r="M116" s="3379"/>
      <c r="N116" s="3374"/>
    </row>
    <row r="117" spans="1:14">
      <c r="A117" s="3380"/>
      <c r="B117" s="3381" t="s">
        <v>3300</v>
      </c>
      <c r="C117" s="3381" t="s">
        <v>3301</v>
      </c>
      <c r="D117" s="3381" t="s">
        <v>3302</v>
      </c>
      <c r="E117" s="3382" t="s">
        <v>3303</v>
      </c>
      <c r="F117" s="3382" t="s">
        <v>3304</v>
      </c>
      <c r="G117" s="3382" t="s">
        <v>3305</v>
      </c>
      <c r="H117" s="3383" t="s">
        <v>3306</v>
      </c>
      <c r="I117" s="3383" t="s">
        <v>3307</v>
      </c>
      <c r="J117" s="3384" t="s">
        <v>3308</v>
      </c>
      <c r="K117" s="3384" t="s">
        <v>3309</v>
      </c>
      <c r="L117" s="3384" t="s">
        <v>3310</v>
      </c>
      <c r="M117" s="3385" t="s">
        <v>3311</v>
      </c>
      <c r="N117" s="3374"/>
    </row>
    <row r="118" spans="1:14">
      <c r="A118" s="3386" t="s">
        <v>3312</v>
      </c>
      <c r="B118" s="3364" t="e">
        <f>ROUND(0.9968-0.011*B116,4)</f>
        <v>#DIV/0!</v>
      </c>
      <c r="C118" s="3364" t="e">
        <f>B118</f>
        <v>#DIV/0!</v>
      </c>
      <c r="D118" s="3364" t="e">
        <f>ROUND(0.949-0.014*B116,4)</f>
        <v>#DIV/0!</v>
      </c>
      <c r="E118" s="3364" t="e">
        <f>D118</f>
        <v>#DIV/0!</v>
      </c>
      <c r="F118" s="3364" t="e">
        <f>E118</f>
        <v>#DIV/0!</v>
      </c>
      <c r="G118" s="3364" t="e">
        <f>F118</f>
        <v>#DIV/0!</v>
      </c>
      <c r="H118" s="3364" t="e">
        <f>G118</f>
        <v>#DIV/0!</v>
      </c>
      <c r="I118" s="3364" t="e">
        <f>ROUND(0.8486-0.018*B116,4)</f>
        <v>#DIV/0!</v>
      </c>
      <c r="J118" s="3364" t="e">
        <f t="shared" ref="J118:M122" si="35">I118</f>
        <v>#DIV/0!</v>
      </c>
      <c r="K118" s="3364" t="e">
        <f t="shared" si="35"/>
        <v>#DIV/0!</v>
      </c>
      <c r="L118" s="3364" t="e">
        <f t="shared" si="35"/>
        <v>#DIV/0!</v>
      </c>
      <c r="M118" s="3387" t="e">
        <f t="shared" si="35"/>
        <v>#DIV/0!</v>
      </c>
      <c r="N118" s="3374"/>
    </row>
    <row r="119" spans="1:14">
      <c r="A119" s="3386" t="s">
        <v>3313</v>
      </c>
      <c r="B119" s="3364" t="e">
        <f>ROUND(0.993-0.0112*B116,4)</f>
        <v>#DIV/0!</v>
      </c>
      <c r="C119" s="3364" t="e">
        <f>B119</f>
        <v>#DIV/0!</v>
      </c>
      <c r="D119" s="3364" t="e">
        <f>ROUND(0.9415-0.0142*B116,4)</f>
        <v>#DIV/0!</v>
      </c>
      <c r="E119" s="3364" t="e">
        <f t="shared" ref="E119:H120" si="36">D119</f>
        <v>#DIV/0!</v>
      </c>
      <c r="F119" s="3364" t="e">
        <f t="shared" si="36"/>
        <v>#DIV/0!</v>
      </c>
      <c r="G119" s="3364" t="e">
        <f t="shared" si="36"/>
        <v>#DIV/0!</v>
      </c>
      <c r="H119" s="3364" t="e">
        <f t="shared" si="36"/>
        <v>#DIV/0!</v>
      </c>
      <c r="I119" s="3364" t="e">
        <f>ROUND(0.838-0.0182*B116,4)</f>
        <v>#DIV/0!</v>
      </c>
      <c r="J119" s="3364" t="e">
        <f t="shared" si="35"/>
        <v>#DIV/0!</v>
      </c>
      <c r="K119" s="3364" t="e">
        <f t="shared" si="35"/>
        <v>#DIV/0!</v>
      </c>
      <c r="L119" s="3364" t="e">
        <f t="shared" si="35"/>
        <v>#DIV/0!</v>
      </c>
      <c r="M119" s="3387" t="e">
        <f t="shared" si="35"/>
        <v>#DIV/0!</v>
      </c>
      <c r="N119" s="3374"/>
    </row>
    <row r="120" spans="1:14">
      <c r="A120" s="3386" t="s">
        <v>3314</v>
      </c>
      <c r="B120" s="3364" t="e">
        <f>ROUND(0.9448-0.0115*B116,4)</f>
        <v>#DIV/0!</v>
      </c>
      <c r="C120" s="3364" t="e">
        <f>B120</f>
        <v>#DIV/0!</v>
      </c>
      <c r="D120" s="3364" t="e">
        <f>ROUND(0.937-0.0145*B116,4)</f>
        <v>#DIV/0!</v>
      </c>
      <c r="E120" s="3364" t="e">
        <f t="shared" si="36"/>
        <v>#DIV/0!</v>
      </c>
      <c r="F120" s="3364" t="e">
        <f t="shared" si="36"/>
        <v>#DIV/0!</v>
      </c>
      <c r="G120" s="3364" t="e">
        <f t="shared" si="36"/>
        <v>#DIV/0!</v>
      </c>
      <c r="H120" s="3364" t="e">
        <f t="shared" si="36"/>
        <v>#DIV/0!</v>
      </c>
      <c r="I120" s="3364" t="e">
        <f>ROUND(0.7965-0.0185*B116,4)</f>
        <v>#DIV/0!</v>
      </c>
      <c r="J120" s="3364" t="e">
        <f t="shared" si="35"/>
        <v>#DIV/0!</v>
      </c>
      <c r="K120" s="3364" t="e">
        <f t="shared" si="35"/>
        <v>#DIV/0!</v>
      </c>
      <c r="L120" s="3364" t="e">
        <f t="shared" si="35"/>
        <v>#DIV/0!</v>
      </c>
      <c r="M120" s="3387" t="e">
        <f t="shared" si="35"/>
        <v>#DIV/0!</v>
      </c>
      <c r="N120" s="3374"/>
    </row>
    <row r="121" spans="1:14" ht="13.5" thickBot="1">
      <c r="A121" s="3388" t="s">
        <v>3315</v>
      </c>
      <c r="B121" s="3389" t="e">
        <f>ROUND(0.7836-0.012*B116,4)</f>
        <v>#DIV/0!</v>
      </c>
      <c r="C121" s="3389" t="e">
        <f>B121</f>
        <v>#DIV/0!</v>
      </c>
      <c r="D121" s="3389" t="e">
        <f>ROUND(0.753-0.015*B116,4)</f>
        <v>#DIV/0!</v>
      </c>
      <c r="E121" s="3389" t="e">
        <f>D121</f>
        <v>#DIV/0!</v>
      </c>
      <c r="F121" s="3389" t="e">
        <f>E121</f>
        <v>#DIV/0!</v>
      </c>
      <c r="G121" s="3389" t="e">
        <f>ROUND(0.6612-0.018*B116,4)</f>
        <v>#DIV/0!</v>
      </c>
      <c r="H121" s="3389" t="e">
        <f>G121</f>
        <v>#DIV/0!</v>
      </c>
      <c r="I121" s="3389" t="e">
        <f>ROUND(0.5905-0.019*B116,4)</f>
        <v>#DIV/0!</v>
      </c>
      <c r="J121" s="3389" t="e">
        <f t="shared" si="35"/>
        <v>#DIV/0!</v>
      </c>
      <c r="K121" s="3389" t="e">
        <f t="shared" si="35"/>
        <v>#DIV/0!</v>
      </c>
      <c r="L121" s="3389" t="e">
        <f t="shared" si="35"/>
        <v>#DIV/0!</v>
      </c>
      <c r="M121" s="3390" t="e">
        <f t="shared" si="35"/>
        <v>#DIV/0!</v>
      </c>
      <c r="N121" s="3374"/>
    </row>
    <row r="122" spans="1:14">
      <c r="A122" s="3391" t="s">
        <v>2596</v>
      </c>
      <c r="B122" s="3364" t="e">
        <f>ROUND(0.9404-0.0106*B116,4)</f>
        <v>#DIV/0!</v>
      </c>
      <c r="C122" s="3364" t="e">
        <f>B122</f>
        <v>#DIV/0!</v>
      </c>
      <c r="D122" s="3364" t="e">
        <f>ROUND(0.8955-0.0135*B116,4)</f>
        <v>#DIV/0!</v>
      </c>
      <c r="E122" s="3364" t="e">
        <f t="shared" ref="E122:H122" si="37">D122</f>
        <v>#DIV/0!</v>
      </c>
      <c r="F122" s="3364" t="e">
        <f t="shared" si="37"/>
        <v>#DIV/0!</v>
      </c>
      <c r="G122" s="3364" t="e">
        <f t="shared" si="37"/>
        <v>#DIV/0!</v>
      </c>
      <c r="H122" s="3364" t="e">
        <f t="shared" si="37"/>
        <v>#DIV/0!</v>
      </c>
      <c r="I122" s="3364" t="e">
        <f>ROUND(0.7632-0.0166*B116,4)</f>
        <v>#DIV/0!</v>
      </c>
      <c r="J122" s="3364" t="e">
        <f t="shared" si="35"/>
        <v>#DIV/0!</v>
      </c>
      <c r="K122" s="3364" t="e">
        <f t="shared" si="35"/>
        <v>#DIV/0!</v>
      </c>
      <c r="L122" s="3364" t="e">
        <f t="shared" si="35"/>
        <v>#DIV/0!</v>
      </c>
      <c r="M122" s="3387" t="e">
        <f t="shared" si="35"/>
        <v>#DIV/0!</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18.739999999999998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36434</v>
      </c>
      <c r="C2" s="1387" t="s">
        <v>805</v>
      </c>
      <c r="D2" s="1387"/>
      <c r="E2" s="1388"/>
      <c r="F2" s="1389"/>
      <c r="G2" s="2682"/>
      <c r="H2" s="2671"/>
      <c r="I2" s="2671"/>
      <c r="J2" s="2671"/>
      <c r="K2" s="2672"/>
      <c r="L2" s="2671"/>
      <c r="M2" s="2671"/>
    </row>
    <row r="3" spans="1:37" ht="18" customHeight="1" thickBot="1">
      <c r="A3" s="1390" t="s">
        <v>806</v>
      </c>
      <c r="B3" s="1391">
        <f ca="1">IF(ISERROR(B2*10000/F43),0,ROUND(B2*10000/F43,0))</f>
        <v>27752</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3023</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3019</v>
      </c>
      <c r="D6" s="155" t="s">
        <v>2093</v>
      </c>
      <c r="E6" s="302" t="s">
        <v>696</v>
      </c>
      <c r="F6" s="303">
        <f ca="1">INDIRECT("'数据-取费表'!u"&amp;$G$1)</f>
        <v>7</v>
      </c>
      <c r="G6" s="1384"/>
      <c r="H6" s="1069" t="s">
        <v>398</v>
      </c>
      <c r="I6" s="3684" t="s">
        <v>694</v>
      </c>
      <c r="J6" s="301">
        <f ca="1">ROUND(M6*M8*M7*(1-M9)/10000,0)</f>
        <v>0</v>
      </c>
      <c r="K6" s="155" t="s">
        <v>2092</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13128.449999999992</v>
      </c>
      <c r="G7" s="1384"/>
      <c r="H7" s="304"/>
      <c r="I7" s="3685"/>
      <c r="J7" s="306"/>
      <c r="K7" s="307"/>
      <c r="L7" s="302" t="s">
        <v>697</v>
      </c>
      <c r="M7" s="303">
        <f ca="1">F7</f>
        <v>13128.449999999992</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2101</v>
      </c>
      <c r="E10" s="313" t="s">
        <v>701</v>
      </c>
      <c r="F10" s="1116" t="s">
        <v>3389</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8224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7221</v>
      </c>
      <c r="D14" s="1345" t="s">
        <v>708</v>
      </c>
      <c r="E14" s="1342"/>
      <c r="F14" s="319"/>
      <c r="G14" s="1384"/>
      <c r="H14" s="982" t="s">
        <v>398</v>
      </c>
      <c r="I14" s="302" t="s">
        <v>709</v>
      </c>
      <c r="J14" s="21">
        <f ca="1">C29</f>
        <v>10410</v>
      </c>
      <c r="K14" s="12"/>
      <c r="L14" s="807"/>
      <c r="M14" s="808"/>
    </row>
    <row r="15" spans="1:37" s="1397" customFormat="1" ht="18" customHeight="1" thickBot="1">
      <c r="A15" s="982" t="s">
        <v>399</v>
      </c>
      <c r="B15" s="302" t="s">
        <v>710</v>
      </c>
      <c r="C15" s="21">
        <f ca="1">ROUND(C14*F15,0)</f>
        <v>361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52</v>
      </c>
      <c r="K16" s="1087" t="s">
        <v>715</v>
      </c>
      <c r="L16" s="1088"/>
      <c r="M16" s="1072"/>
    </row>
    <row r="17" spans="1:37" s="1397" customFormat="1" ht="18" customHeight="1">
      <c r="A17" s="982" t="s">
        <v>681</v>
      </c>
      <c r="B17" s="302" t="s">
        <v>716</v>
      </c>
      <c r="C17" s="21">
        <f ca="1">ROUND(F17*(F43+INDIRECT("'数据-取费表'!S"&amp;$G$1))/10000,0)</f>
        <v>263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7953</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159</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52.05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-52</v>
      </c>
      <c r="K25" s="1095" t="s">
        <v>753</v>
      </c>
      <c r="L25" s="1096"/>
      <c r="M25" s="1097"/>
    </row>
    <row r="26" spans="1:37">
      <c r="A26" s="982" t="s">
        <v>397</v>
      </c>
      <c r="B26" s="302" t="s">
        <v>754</v>
      </c>
      <c r="C26" s="21">
        <f ca="1">ROUND((C19+C20)*F26,0)</f>
        <v>1217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10410</v>
      </c>
      <c r="D29" s="1092"/>
      <c r="E29" s="1090"/>
      <c r="F29" s="1093"/>
      <c r="G29" s="1396"/>
      <c r="H29" s="334" t="s">
        <v>396</v>
      </c>
      <c r="I29" s="335" t="s">
        <v>768</v>
      </c>
      <c r="J29" s="336">
        <f ca="1">ROUND(J26/(1+F40)^F41,0)</f>
        <v>0</v>
      </c>
      <c r="K29" s="337" t="s">
        <v>769</v>
      </c>
      <c r="L29" s="338"/>
      <c r="M29" s="339">
        <f ca="1">INDIRECT("'数据-取费表'!k"&amp;$G$1)</f>
        <v>13128.449999999992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581</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ROUND(IF(AND(项目基本情况!B11="自然人",项目基本情况!B10="北京市"),C6*F31/(1+'数据-取费表'!C42),C32+C33+C34),2)</f>
        <v>506.04</v>
      </c>
      <c r="D31" s="1345" t="s">
        <v>720</v>
      </c>
      <c r="E31" s="1344" t="s">
        <v>770</v>
      </c>
      <c r="F31" s="2315" t="str">
        <f>IF(项目基本情况!B11="企业","——",IF(M47="住宅",IF(F6*F7*F8/12/(1+'数据-取费表'!F30)&gt;100000,4%,2.5%),IF(F6*F7*F8/12/(1+'数据-取费表'!F30)&gt;100000,12%,7%)))</f>
        <v>——</v>
      </c>
      <c r="G31" s="1384"/>
      <c r="H31" s="2784" t="s">
        <v>2290</v>
      </c>
      <c r="I31" s="1398"/>
      <c r="J31" s="1399"/>
      <c r="K31" s="2472"/>
      <c r="L31" s="2674"/>
      <c r="M31" s="2675"/>
    </row>
    <row r="32" spans="1:37" ht="18" customHeight="1">
      <c r="A32" s="982" t="s">
        <v>397</v>
      </c>
      <c r="B32" s="302" t="s">
        <v>723</v>
      </c>
      <c r="C32" s="21">
        <f ca="1">IF(项目基本情况!B11="自然人","——",ROUND(C6*F32/(1+'数据-取费表'!C42),2))</f>
        <v>161.01</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345.03</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12</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52.05</v>
      </c>
      <c r="D36" s="1344" t="s">
        <v>771</v>
      </c>
      <c r="E36" s="302" t="s">
        <v>712</v>
      </c>
      <c r="F36" s="328">
        <f ca="1">INDIRECT("'数据-取费表'!Ak"&amp;$G$1)</f>
        <v>5.0000000000000001E-3</v>
      </c>
      <c r="G36" s="1384"/>
      <c r="H36" s="2676"/>
      <c r="I36" s="1398"/>
      <c r="J36" s="1399"/>
      <c r="K36" s="2522"/>
      <c r="L36" s="2676"/>
      <c r="M36" s="2676"/>
    </row>
    <row r="37" spans="1:18" ht="18" customHeight="1">
      <c r="A37" s="982" t="s">
        <v>437</v>
      </c>
      <c r="B37" s="302" t="s">
        <v>742</v>
      </c>
      <c r="C37" s="21">
        <f ca="1">ROUND(C13*F37,2)</f>
        <v>8.2200000000000006</v>
      </c>
      <c r="D37" s="1344" t="s">
        <v>743</v>
      </c>
      <c r="E37" s="302" t="s">
        <v>744</v>
      </c>
      <c r="F37" s="330">
        <f ca="1">INDIRECT("'数据-取费表'!Al"&amp;$G$1)</f>
        <v>1E-3</v>
      </c>
      <c r="G37" s="1384"/>
      <c r="H37" s="2676"/>
      <c r="I37" s="1398"/>
      <c r="J37" s="1399"/>
      <c r="K37" s="2522"/>
      <c r="L37" s="2676"/>
      <c r="M37" s="2676"/>
    </row>
    <row r="38" spans="1:18" ht="18" customHeight="1" thickBot="1">
      <c r="A38" s="1089" t="s">
        <v>684</v>
      </c>
      <c r="B38" s="1090" t="s">
        <v>728</v>
      </c>
      <c r="C38" s="1091">
        <f ca="1">ROUND(C5*F38,2)</f>
        <v>15.12</v>
      </c>
      <c r="D38" s="1092" t="s">
        <v>748</v>
      </c>
      <c r="E38" s="1090" t="s">
        <v>744</v>
      </c>
      <c r="F38" s="1086">
        <f ca="1">INDIRECT("'数据-取费表'!Am"&amp;$G$1)</f>
        <v>5.0000000000000001E-3</v>
      </c>
      <c r="G38" s="1384"/>
      <c r="H38" s="2676"/>
      <c r="I38" s="1398"/>
      <c r="J38" s="1399"/>
      <c r="K38" s="2680"/>
      <c r="L38" s="2676"/>
      <c r="M38" s="2676"/>
    </row>
    <row r="39" spans="1:18" ht="24.6" customHeight="1" thickTop="1">
      <c r="A39" s="1079" t="s">
        <v>394</v>
      </c>
      <c r="B39" s="1094" t="s">
        <v>772</v>
      </c>
      <c r="C39" s="310">
        <f ca="1">C5-C30</f>
        <v>2442</v>
      </c>
      <c r="D39" s="1095" t="s">
        <v>773</v>
      </c>
      <c r="E39" s="1096"/>
      <c r="F39" s="1097"/>
      <c r="G39" s="1384"/>
      <c r="H39" s="2676"/>
      <c r="I39" s="1398"/>
      <c r="J39" s="1399"/>
      <c r="K39" s="2680"/>
      <c r="L39" s="2676"/>
      <c r="M39" s="2676"/>
    </row>
    <row r="40" spans="1:18" ht="18" customHeight="1">
      <c r="A40" s="299" t="s">
        <v>395</v>
      </c>
      <c r="B40" s="300" t="s">
        <v>774</v>
      </c>
      <c r="C40" s="301">
        <f ca="1">ROUND(C39*(1-((1+F42)/(1+F40))^F41)/(F40-F42),0)</f>
        <v>35360</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18.739999999999998</v>
      </c>
      <c r="G41" s="1384"/>
      <c r="H41" s="1191"/>
      <c r="I41" s="1398"/>
      <c r="J41" s="1399"/>
      <c r="K41" s="2522"/>
      <c r="L41" s="1191"/>
      <c r="M41" s="1191"/>
    </row>
    <row r="42" spans="1:18" ht="18" customHeight="1">
      <c r="A42" s="308"/>
      <c r="B42" s="309"/>
      <c r="C42" s="310"/>
      <c r="D42" s="327"/>
      <c r="E42" s="302" t="s">
        <v>766</v>
      </c>
      <c r="F42" s="312">
        <f ca="1">INDIRECT("'数据-取费表'!v"&amp;$G$1)</f>
        <v>0.03</v>
      </c>
      <c r="G42" s="1384"/>
      <c r="H42" s="1191"/>
      <c r="I42" s="1398"/>
      <c r="J42" s="1399"/>
      <c r="K42" s="2522"/>
      <c r="L42" s="1191"/>
      <c r="M42" s="1191"/>
    </row>
    <row r="43" spans="1:18" ht="18" customHeight="1" thickBot="1">
      <c r="A43" s="334" t="s">
        <v>396</v>
      </c>
      <c r="B43" s="335" t="s">
        <v>776</v>
      </c>
      <c r="C43" s="336">
        <f ca="1">ROUND(C40*10000/F43,0)</f>
        <v>26934</v>
      </c>
      <c r="D43" s="337" t="s">
        <v>777</v>
      </c>
      <c r="E43" s="338" t="s">
        <v>778</v>
      </c>
      <c r="F43" s="339">
        <f ca="1">INDIRECT("'数据-取费表'!k"&amp;$G$1)</f>
        <v>13128.449999999992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-36051</v>
      </c>
      <c r="D46" s="1406" t="str">
        <f>C2</f>
        <v>万元</v>
      </c>
      <c r="E46" s="1400"/>
      <c r="F46" s="1400"/>
      <c r="I46" s="1407" t="s">
        <v>810</v>
      </c>
      <c r="J46" s="1408"/>
      <c r="K46" s="1409"/>
      <c r="L46" s="1410">
        <f ca="1">IF(M47="住宅",0,IF(L48&gt;J51,L60,J60))</f>
        <v>1074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35360</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18.739999999999998</v>
      </c>
      <c r="O48" s="1418" t="s">
        <v>404</v>
      </c>
      <c r="P48" s="1419" t="s">
        <v>821</v>
      </c>
      <c r="Q48" s="1420">
        <f ca="1">J60</f>
        <v>1074</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2004</v>
      </c>
      <c r="K49" s="1423" t="s">
        <v>824</v>
      </c>
      <c r="L49" s="1427"/>
      <c r="O49" s="1428" t="s">
        <v>405</v>
      </c>
      <c r="P49" s="1419" t="s">
        <v>825</v>
      </c>
      <c r="Q49" s="1420">
        <f ca="1">C29</f>
        <v>10410</v>
      </c>
      <c r="R49" s="1420" t="s">
        <v>818</v>
      </c>
    </row>
    <row r="50" spans="1:18" s="1384" customFormat="1" ht="13.5" thickBot="1">
      <c r="A50" s="976"/>
      <c r="B50" s="979"/>
      <c r="C50" s="1118"/>
      <c r="D50" s="953"/>
      <c r="E50" s="1056" t="s">
        <v>697</v>
      </c>
      <c r="F50" s="1057">
        <f ca="1">F7</f>
        <v>13128.449999999992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32277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18.739999999999998</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18.739999999999998</v>
      </c>
      <c r="K53" s="3687" t="s">
        <v>837</v>
      </c>
      <c r="L53" s="3688"/>
      <c r="O53" s="1418" t="s">
        <v>409</v>
      </c>
      <c r="P53" s="1419" t="s">
        <v>838</v>
      </c>
      <c r="Q53" s="1420">
        <f ca="1">Q47+Q48</f>
        <v>36434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0.371</v>
      </c>
      <c r="K55" s="1445" t="s">
        <v>841</v>
      </c>
      <c r="L55" s="1446"/>
      <c r="O55" s="1411" t="s">
        <v>811</v>
      </c>
      <c r="P55" s="1412" t="s">
        <v>812</v>
      </c>
      <c r="Q55" s="1413" t="s">
        <v>813</v>
      </c>
      <c r="R55" s="1413" t="s">
        <v>814</v>
      </c>
    </row>
    <row r="56" spans="1:18" s="1384" customFormat="1" ht="25.5" thickTop="1" thickBot="1">
      <c r="A56" s="957">
        <v>2</v>
      </c>
      <c r="B56" s="958" t="s">
        <v>704</v>
      </c>
      <c r="C56" s="232">
        <f ca="1">C13</f>
        <v>8224</v>
      </c>
      <c r="D56" s="1447"/>
      <c r="E56" s="1448"/>
      <c r="F56" s="1440"/>
      <c r="I56" s="1449" t="s">
        <v>842</v>
      </c>
      <c r="J56" s="1450" t="s">
        <v>3392</v>
      </c>
      <c r="K56" s="1421" t="s">
        <v>843</v>
      </c>
      <c r="L56" s="1424" t="str">
        <f ca="1">IF(L48&lt;J51,"——",L48-J53)</f>
        <v>——</v>
      </c>
      <c r="O56" s="1418" t="s">
        <v>403</v>
      </c>
      <c r="P56" s="1419" t="s">
        <v>817</v>
      </c>
      <c r="Q56" s="1420">
        <f ca="1">C40+J29</f>
        <v>35360</v>
      </c>
      <c r="R56" s="1420" t="s">
        <v>818</v>
      </c>
    </row>
    <row r="57" spans="1:18" s="1384" customFormat="1" ht="24.75" thickBot="1">
      <c r="A57" s="1451"/>
      <c r="B57" s="950" t="s">
        <v>767</v>
      </c>
      <c r="C57" s="238">
        <f ca="1">C29</f>
        <v>10410</v>
      </c>
      <c r="D57" s="1452"/>
      <c r="E57" s="1453"/>
      <c r="F57" s="1454"/>
      <c r="I57" s="1455" t="s">
        <v>844</v>
      </c>
      <c r="J57" s="1456">
        <f ca="1">IF(OR(M47="住宅",J51&lt;L48,J56="是"),"——",J51-L48)</f>
        <v>22.26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35360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52.05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8.2200000000000006</v>
      </c>
      <c r="D65" s="964" t="s">
        <v>743</v>
      </c>
      <c r="E65" s="950" t="s">
        <v>744</v>
      </c>
      <c r="F65" s="330">
        <f t="shared" ca="1" si="0"/>
        <v>1E-3</v>
      </c>
      <c r="I65" s="1462" t="s">
        <v>867</v>
      </c>
      <c r="J65" s="1463">
        <v>40</v>
      </c>
      <c r="K65" s="1463">
        <v>30</v>
      </c>
      <c r="L65" s="1463">
        <v>50</v>
      </c>
      <c r="M65" s="1465">
        <v>0.02</v>
      </c>
      <c r="O65" s="1418" t="s">
        <v>403</v>
      </c>
      <c r="P65" s="1419" t="s">
        <v>868</v>
      </c>
      <c r="Q65" s="1420">
        <f ca="1">C40+J29</f>
        <v>35360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-60</v>
      </c>
      <c r="D67" s="963" t="s">
        <v>753</v>
      </c>
      <c r="E67" s="968"/>
      <c r="F67" s="969"/>
      <c r="O67" s="1428" t="s">
        <v>405</v>
      </c>
      <c r="P67" s="1419" t="s">
        <v>850</v>
      </c>
      <c r="Q67" s="1466">
        <f ca="1">L51</f>
        <v>32277</v>
      </c>
      <c r="R67" s="1420" t="s">
        <v>870</v>
      </c>
    </row>
    <row r="68" spans="1:18" s="1384" customFormat="1" ht="16.5" thickBot="1">
      <c r="A68" s="947" t="s">
        <v>395</v>
      </c>
      <c r="B68" s="948" t="s">
        <v>774</v>
      </c>
      <c r="C68" s="301">
        <f ca="1">ROUND(C67*(1-((1+F70)/(1+F68))^F69)/(F68-F70),0)</f>
        <v>-691</v>
      </c>
      <c r="D68" s="965" t="s">
        <v>758</v>
      </c>
      <c r="E68" s="950" t="s">
        <v>759</v>
      </c>
      <c r="F68" s="312">
        <f ca="1">F40</f>
        <v>5.5E-2</v>
      </c>
      <c r="O68" s="1428" t="s">
        <v>406</v>
      </c>
      <c r="P68" s="1467" t="s">
        <v>871</v>
      </c>
      <c r="Q68" s="1420">
        <f ca="1">ROUND(Q69-Q70*Q71,0)</f>
        <v>1866</v>
      </c>
      <c r="R68" s="1420" t="s">
        <v>414</v>
      </c>
    </row>
    <row r="69" spans="1:18" s="1384" customFormat="1" ht="13.5" thickBot="1">
      <c r="A69" s="951"/>
      <c r="B69" s="952"/>
      <c r="C69" s="306"/>
      <c r="D69" s="970" t="s">
        <v>762</v>
      </c>
      <c r="E69" s="950" t="s">
        <v>763</v>
      </c>
      <c r="F69" s="333">
        <f ca="1">F41</f>
        <v>18.739999999999998</v>
      </c>
      <c r="O69" s="1428" t="s">
        <v>411</v>
      </c>
      <c r="P69" s="1467" t="s">
        <v>872</v>
      </c>
      <c r="Q69" s="1420">
        <f ca="1">C39</f>
        <v>2442</v>
      </c>
      <c r="R69" s="1420" t="s">
        <v>818</v>
      </c>
    </row>
    <row r="70" spans="1:18" s="1384" customFormat="1" ht="13.5" thickBot="1">
      <c r="A70" s="954"/>
      <c r="B70" s="955"/>
      <c r="C70" s="310"/>
      <c r="D70" s="966"/>
      <c r="E70" s="950" t="s">
        <v>766</v>
      </c>
      <c r="F70" s="1054"/>
      <c r="O70" s="1428" t="s">
        <v>412</v>
      </c>
      <c r="P70" s="1467" t="s">
        <v>873</v>
      </c>
      <c r="Q70" s="1420">
        <f ca="1">C13</f>
        <v>8224</v>
      </c>
      <c r="R70" s="1420" t="s">
        <v>818</v>
      </c>
    </row>
    <row r="71" spans="1:18" s="1384" customFormat="1" ht="13.5" thickBot="1">
      <c r="A71" s="971" t="s">
        <v>396</v>
      </c>
      <c r="B71" s="972" t="s">
        <v>776</v>
      </c>
      <c r="C71" s="336">
        <f ca="1">ROUND(C68*10000/F71,0)</f>
        <v>-526</v>
      </c>
      <c r="D71" s="973" t="s">
        <v>777</v>
      </c>
      <c r="E71" s="974" t="s">
        <v>778</v>
      </c>
      <c r="F71" s="339">
        <f ca="1">F43</f>
        <v>13128.449999999992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576</v>
      </c>
      <c r="D75" s="1384"/>
      <c r="E75" s="1384"/>
      <c r="F75" s="1384"/>
      <c r="K75" s="1402"/>
      <c r="L75" s="1384"/>
      <c r="O75" s="1418" t="s">
        <v>409</v>
      </c>
      <c r="P75" s="1419" t="s">
        <v>838</v>
      </c>
      <c r="Q75" s="1420">
        <f ca="1">Q65+Q66</f>
        <v>35360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7" sqref="R3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5" t="str">
        <f>IF(项目基本情况!B9="房地产市场价值","估价结果一览表","结果表-2")</f>
        <v>估价结果一览表</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在建建筑物价值</v>
      </c>
      <c r="G2" s="3516"/>
      <c r="H2" s="3516" t="str">
        <f>IF(项目基本情况!B9="房地产市场价值","房地产市场价值","房地产价值")</f>
        <v>房地产市场价值</v>
      </c>
      <c r="I2" s="3516"/>
    </row>
    <row r="3" spans="1:9" ht="15">
      <c r="A3" s="3511"/>
      <c r="B3" s="3511"/>
      <c r="C3" s="3511"/>
      <c r="D3" s="854" t="s">
        <v>925</v>
      </c>
      <c r="E3" s="854" t="s">
        <v>931</v>
      </c>
      <c r="F3" s="854" t="s">
        <v>925</v>
      </c>
      <c r="G3" s="854" t="s">
        <v>926</v>
      </c>
      <c r="H3" s="854" t="s">
        <v>925</v>
      </c>
      <c r="I3" s="854" t="s">
        <v>926</v>
      </c>
    </row>
    <row r="4" spans="1:9" ht="30">
      <c r="A4" s="1505" t="str">
        <f>项目基本情况!S2</f>
        <v>北京市海淀区西三环北路89号4层A-01等56套房地产</v>
      </c>
      <c r="B4" s="854">
        <f>项目基本情况!C17</f>
        <v>13128.449999999992</v>
      </c>
      <c r="C4" s="854">
        <f>项目基本情况!C18</f>
        <v>0</v>
      </c>
      <c r="D4" s="854" t="e">
        <f ca="1">结果表!D118</f>
        <v>#REF!</v>
      </c>
      <c r="E4" s="854" t="e">
        <f ca="1">结果表!E118</f>
        <v>#REF!</v>
      </c>
      <c r="F4" s="854" t="e">
        <f ca="1">结果表!F118</f>
        <v>#REF!</v>
      </c>
      <c r="G4" s="854" t="e">
        <f ca="1">结果表!G118</f>
        <v>#REF!</v>
      </c>
      <c r="H4" s="854">
        <f ca="1">结果表!H118</f>
        <v>62290</v>
      </c>
      <c r="I4" s="854">
        <f ca="1">结果表!I118</f>
        <v>47447</v>
      </c>
    </row>
    <row r="5" spans="1:9" ht="30" customHeight="1">
      <c r="A5" s="3511" t="s">
        <v>927</v>
      </c>
      <c r="B5" s="3511"/>
      <c r="C5" s="3511"/>
      <c r="D5" s="3511" t="e">
        <f ca="1">结果表!D119</f>
        <v>#REF!</v>
      </c>
      <c r="E5" s="3511"/>
      <c r="F5" s="3511" t="e">
        <f ca="1">结果表!F119</f>
        <v>#REF!</v>
      </c>
      <c r="G5" s="3511"/>
      <c r="H5" s="3511" t="str">
        <f ca="1">结果表!H119</f>
        <v>陆亿贰仟贰佰玖拾万元整</v>
      </c>
      <c r="I5" s="3511"/>
    </row>
    <row r="6" spans="1:9" ht="15.75">
      <c r="A6" s="3510" t="str">
        <f>结果表!A120</f>
        <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
      </c>
      <c r="B8" s="3510"/>
      <c r="C8" s="3510"/>
      <c r="D8" s="3510">
        <f ca="1">结果表!D122</f>
        <v>62290</v>
      </c>
      <c r="E8" s="3510"/>
      <c r="F8" s="3510"/>
      <c r="G8" s="3510"/>
      <c r="H8" s="3510"/>
      <c r="I8" s="3510"/>
    </row>
    <row r="9" spans="1:9" ht="15">
      <c r="A9" s="3511" t="s">
        <v>927</v>
      </c>
      <c r="B9" s="3511"/>
      <c r="C9" s="3511"/>
      <c r="D9" s="3511" t="str">
        <f ca="1">结果表!D123</f>
        <v>陆亿贰仟贰佰玖拾万元整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0"/>
  <sheetViews>
    <sheetView zoomScale="85" zoomScaleNormal="85" zoomScaleSheetLayoutView="30" workbookViewId="0">
      <pane xSplit="5" ySplit="1" topLeftCell="F2" activePane="bottomRight" state="frozen"/>
      <selection pane="topRight" activeCell="F1" sqref="F1"/>
      <selection pane="bottomLeft" activeCell="A3" sqref="A3"/>
      <selection pane="bottomRight" activeCell="G41" sqref="G41"/>
    </sheetView>
  </sheetViews>
  <sheetFormatPr defaultColWidth="9" defaultRowHeight="14.25"/>
  <cols>
    <col min="1" max="1" width="11.875" style="3437" bestFit="1" customWidth="1"/>
    <col min="2" max="3" width="17.125" style="3442" bestFit="1" customWidth="1"/>
    <col min="4" max="4" width="12" style="3438" customWidth="1"/>
    <col min="5" max="5" width="33.375" style="3438" customWidth="1"/>
    <col min="6" max="6" width="12.75" style="3439" bestFit="1" customWidth="1"/>
    <col min="7" max="7" width="16.25" style="3437" customWidth="1"/>
    <col min="8" max="8" width="13.125" style="3437" bestFit="1" customWidth="1"/>
    <col min="9" max="9" width="21.625" style="3437" hidden="1" customWidth="1"/>
    <col min="10" max="10" width="16.375" style="3441" hidden="1" customWidth="1"/>
    <col min="11" max="12" width="14.375" style="3437" bestFit="1" customWidth="1"/>
    <col min="13" max="13" width="14.375" style="3437" hidden="1" customWidth="1"/>
    <col min="14" max="14" width="14" style="3437" bestFit="1" customWidth="1"/>
    <col min="15" max="15" width="22.375" style="3437" customWidth="1"/>
    <col min="16" max="16" width="16.375" style="3437" bestFit="1" customWidth="1"/>
    <col min="17" max="17" width="16.5" style="3437" customWidth="1"/>
    <col min="18" max="18" width="20.125" style="3437" customWidth="1"/>
    <col min="19" max="19" width="23.125" style="3437" customWidth="1"/>
    <col min="20" max="21" width="14.375" style="3437" bestFit="1" customWidth="1"/>
    <col min="22" max="22" width="18.625" style="3437" bestFit="1" customWidth="1"/>
    <col min="23" max="24" width="23.125" style="3437" customWidth="1"/>
    <col min="25" max="25" width="18.125" style="3437" bestFit="1" customWidth="1"/>
    <col min="26" max="27" width="20.5" style="3437" customWidth="1"/>
    <col min="28" max="28" width="18.125" style="3437" bestFit="1" customWidth="1"/>
    <col min="29" max="29" width="14.375" style="3442" bestFit="1" customWidth="1"/>
    <col min="30" max="16384" width="9" style="3437"/>
  </cols>
  <sheetData>
    <row r="1" spans="2:8">
      <c r="B1" s="3442" t="s">
        <v>3459</v>
      </c>
      <c r="C1" s="3442" t="s">
        <v>3460</v>
      </c>
    </row>
    <row r="2" spans="2:8">
      <c r="B2" s="3442">
        <v>1082.52</v>
      </c>
      <c r="C2" s="3442">
        <v>4.9000000000000004</v>
      </c>
      <c r="D2" s="3438">
        <f>C2*B2</f>
        <v>5304.348</v>
      </c>
      <c r="G2" s="3440"/>
    </row>
    <row r="3" spans="2:8">
      <c r="B3" s="3442">
        <v>114.56</v>
      </c>
      <c r="C3" s="3442">
        <v>5.7</v>
      </c>
      <c r="D3" s="3438">
        <f t="shared" ref="D3:D39" si="0">C3*B3</f>
        <v>652.99200000000008</v>
      </c>
      <c r="G3" s="3440"/>
      <c r="H3" s="3440"/>
    </row>
    <row r="4" spans="2:8">
      <c r="B4" s="3442">
        <v>359.47</v>
      </c>
      <c r="C4" s="3442">
        <v>6.5</v>
      </c>
      <c r="D4" s="3438">
        <f t="shared" si="0"/>
        <v>2336.5550000000003</v>
      </c>
      <c r="G4" s="3443"/>
      <c r="H4" s="3444"/>
    </row>
    <row r="5" spans="2:8">
      <c r="B5" s="3442">
        <v>311.93</v>
      </c>
      <c r="C5" s="3442">
        <v>7.9</v>
      </c>
      <c r="D5" s="3438">
        <f t="shared" si="0"/>
        <v>2464.2470000000003</v>
      </c>
    </row>
    <row r="6" spans="2:8">
      <c r="B6" s="3442">
        <v>146.69</v>
      </c>
      <c r="C6" s="3442">
        <v>5.7</v>
      </c>
      <c r="D6" s="3438">
        <f t="shared" si="0"/>
        <v>836.13300000000004</v>
      </c>
      <c r="G6" s="3440"/>
    </row>
    <row r="7" spans="2:8">
      <c r="B7" s="3442">
        <v>108.33</v>
      </c>
      <c r="C7" s="3442">
        <v>4.9000000000000004</v>
      </c>
      <c r="D7" s="3438">
        <f t="shared" si="0"/>
        <v>530.81700000000001</v>
      </c>
    </row>
    <row r="8" spans="2:8">
      <c r="B8" s="3442">
        <v>50</v>
      </c>
      <c r="C8" s="3442">
        <v>5.4</v>
      </c>
      <c r="D8" s="3438">
        <f t="shared" si="0"/>
        <v>270</v>
      </c>
    </row>
    <row r="9" spans="2:8">
      <c r="B9" s="3442">
        <v>424.03</v>
      </c>
      <c r="C9" s="3442">
        <v>5.4</v>
      </c>
      <c r="D9" s="3438">
        <f t="shared" si="0"/>
        <v>2289.7620000000002</v>
      </c>
    </row>
    <row r="10" spans="2:8">
      <c r="B10" s="3442">
        <v>474.03</v>
      </c>
      <c r="C10" s="3442">
        <v>6.7</v>
      </c>
      <c r="D10" s="3438">
        <f t="shared" si="0"/>
        <v>3176.0009999999997</v>
      </c>
    </row>
    <row r="11" spans="2:8">
      <c r="B11" s="3442">
        <v>76.7</v>
      </c>
      <c r="C11" s="3442">
        <v>5.9</v>
      </c>
      <c r="D11" s="3438">
        <f t="shared" si="0"/>
        <v>452.53000000000003</v>
      </c>
    </row>
    <row r="12" spans="2:8">
      <c r="B12" s="3442">
        <v>69.989999999999995</v>
      </c>
      <c r="C12" s="3442">
        <v>6.1</v>
      </c>
      <c r="D12" s="3438">
        <f t="shared" si="0"/>
        <v>426.93899999999996</v>
      </c>
    </row>
    <row r="13" spans="2:8">
      <c r="B13" s="3442">
        <v>108.33</v>
      </c>
      <c r="C13" s="3442">
        <v>6.9</v>
      </c>
      <c r="D13" s="3438">
        <f t="shared" si="0"/>
        <v>747.47699999999998</v>
      </c>
    </row>
    <row r="14" spans="2:8">
      <c r="B14" s="3442">
        <v>311.93</v>
      </c>
      <c r="C14" s="3442">
        <v>6.4</v>
      </c>
      <c r="D14" s="3438">
        <f t="shared" si="0"/>
        <v>1996.3520000000001</v>
      </c>
    </row>
    <row r="15" spans="2:8">
      <c r="B15" s="3442">
        <v>770.25</v>
      </c>
      <c r="C15" s="3442">
        <v>5.2</v>
      </c>
      <c r="D15" s="3438">
        <f t="shared" si="0"/>
        <v>4005.3</v>
      </c>
    </row>
    <row r="16" spans="2:8">
      <c r="B16" s="3442">
        <v>255.02</v>
      </c>
      <c r="C16" s="3442">
        <v>8.5</v>
      </c>
      <c r="D16" s="3438">
        <f t="shared" si="0"/>
        <v>2167.67</v>
      </c>
    </row>
    <row r="17" spans="2:4">
      <c r="B17" s="3442">
        <v>311.93</v>
      </c>
      <c r="C17" s="3442">
        <v>6.3</v>
      </c>
      <c r="D17" s="3438">
        <f t="shared" si="0"/>
        <v>1965.1589999999999</v>
      </c>
    </row>
    <row r="18" spans="2:4">
      <c r="B18" s="3442">
        <v>474.03</v>
      </c>
      <c r="C18" s="3442">
        <v>5.9</v>
      </c>
      <c r="D18" s="3438">
        <f t="shared" si="0"/>
        <v>2796.777</v>
      </c>
    </row>
    <row r="19" spans="2:4">
      <c r="B19" s="3442">
        <v>770.59</v>
      </c>
      <c r="C19" s="3442">
        <v>6.4</v>
      </c>
      <c r="D19" s="3438">
        <f t="shared" si="0"/>
        <v>4931.7760000000007</v>
      </c>
    </row>
    <row r="20" spans="2:4">
      <c r="B20" s="3442">
        <v>878.88</v>
      </c>
      <c r="C20" s="3442">
        <v>7.4</v>
      </c>
      <c r="D20" s="3438">
        <f t="shared" si="0"/>
        <v>6503.7120000000004</v>
      </c>
    </row>
    <row r="21" spans="2:4">
      <c r="B21" s="3442">
        <v>479.21</v>
      </c>
      <c r="C21" s="3442">
        <v>4.4000000000000004</v>
      </c>
      <c r="D21" s="3438">
        <f t="shared" si="0"/>
        <v>2108.5239999999999</v>
      </c>
    </row>
    <row r="22" spans="2:4">
      <c r="B22" s="3442">
        <v>299.58999999999997</v>
      </c>
      <c r="C22" s="3442">
        <v>4.4000000000000004</v>
      </c>
      <c r="D22" s="3438">
        <f t="shared" si="0"/>
        <v>1318.1959999999999</v>
      </c>
    </row>
    <row r="23" spans="2:4">
      <c r="B23" s="3442">
        <v>479.21</v>
      </c>
      <c r="C23" s="3442">
        <v>4.4000000000000004</v>
      </c>
      <c r="D23" s="3438">
        <f t="shared" si="0"/>
        <v>2108.5239999999999</v>
      </c>
    </row>
    <row r="24" spans="2:4">
      <c r="B24" s="3442">
        <v>218.03</v>
      </c>
      <c r="C24" s="3442">
        <v>5.7</v>
      </c>
      <c r="D24" s="3438">
        <f t="shared" si="0"/>
        <v>1242.771</v>
      </c>
    </row>
    <row r="25" spans="2:4">
      <c r="B25" s="3442">
        <v>76.61</v>
      </c>
      <c r="C25" s="3442">
        <v>5.7</v>
      </c>
      <c r="D25" s="3438">
        <f t="shared" si="0"/>
        <v>436.67700000000002</v>
      </c>
    </row>
    <row r="26" spans="2:4">
      <c r="B26" s="3442">
        <v>141.41999999999999</v>
      </c>
      <c r="C26" s="3442">
        <v>5.7</v>
      </c>
      <c r="D26" s="3438">
        <f t="shared" si="0"/>
        <v>806.09399999999994</v>
      </c>
    </row>
    <row r="27" spans="2:4">
      <c r="B27" s="3442">
        <v>38.729999999999997</v>
      </c>
      <c r="C27" s="3442">
        <v>4.4000000000000004</v>
      </c>
      <c r="D27" s="3438">
        <f t="shared" si="0"/>
        <v>170.41200000000001</v>
      </c>
    </row>
    <row r="28" spans="2:4">
      <c r="B28" s="3442">
        <v>309.51</v>
      </c>
      <c r="C28" s="3442">
        <v>5.9</v>
      </c>
      <c r="D28" s="3438">
        <f t="shared" si="0"/>
        <v>1826.1090000000002</v>
      </c>
    </row>
    <row r="29" spans="2:4">
      <c r="B29" s="3442">
        <v>479.21</v>
      </c>
      <c r="C29" s="3442">
        <v>4.4000000000000004</v>
      </c>
      <c r="D29" s="3438">
        <f t="shared" si="0"/>
        <v>2108.5239999999999</v>
      </c>
    </row>
    <row r="30" spans="2:4">
      <c r="B30" s="3442">
        <v>299.58999999999997</v>
      </c>
      <c r="C30" s="3442">
        <v>4.4000000000000004</v>
      </c>
      <c r="D30" s="3438">
        <f t="shared" si="0"/>
        <v>1318.1959999999999</v>
      </c>
    </row>
    <row r="31" spans="2:4">
      <c r="B31" s="3442">
        <v>479.21</v>
      </c>
      <c r="C31" s="3442">
        <v>4.4000000000000004</v>
      </c>
      <c r="D31" s="3438">
        <f t="shared" si="0"/>
        <v>2108.5239999999999</v>
      </c>
    </row>
    <row r="32" spans="2:4">
      <c r="B32" s="3442">
        <v>309.51</v>
      </c>
      <c r="C32" s="3442">
        <v>4.4000000000000004</v>
      </c>
      <c r="D32" s="3438">
        <f t="shared" si="0"/>
        <v>1361.8440000000001</v>
      </c>
    </row>
    <row r="33" spans="2:4">
      <c r="B33" s="3442">
        <v>38.729999999999997</v>
      </c>
      <c r="C33" s="3442">
        <v>4.4000000000000004</v>
      </c>
      <c r="D33" s="3438">
        <f t="shared" si="0"/>
        <v>170.41200000000001</v>
      </c>
    </row>
    <row r="34" spans="2:4">
      <c r="B34" s="3442">
        <v>70.709999999999994</v>
      </c>
      <c r="C34" s="3442">
        <v>4.4000000000000004</v>
      </c>
      <c r="D34" s="3438">
        <f t="shared" si="0"/>
        <v>311.12400000000002</v>
      </c>
    </row>
    <row r="35" spans="2:4">
      <c r="B35" s="3442">
        <v>70.709999999999994</v>
      </c>
      <c r="C35" s="3442">
        <v>4.4000000000000004</v>
      </c>
      <c r="D35" s="3438">
        <f t="shared" si="0"/>
        <v>311.12400000000002</v>
      </c>
    </row>
    <row r="36" spans="2:4">
      <c r="B36" s="3442">
        <v>38.729999999999997</v>
      </c>
      <c r="C36" s="3442">
        <v>4.4000000000000004</v>
      </c>
      <c r="D36" s="3438">
        <f t="shared" si="0"/>
        <v>170.41200000000001</v>
      </c>
    </row>
    <row r="37" spans="2:4">
      <c r="B37" s="3442">
        <v>309.51</v>
      </c>
      <c r="C37" s="3442">
        <v>4.4000000000000004</v>
      </c>
      <c r="D37" s="3438">
        <f t="shared" si="0"/>
        <v>1361.8440000000001</v>
      </c>
    </row>
    <row r="38" spans="2:4">
      <c r="B38" s="3442">
        <v>250.34</v>
      </c>
      <c r="C38" s="3442">
        <v>4.4000000000000004</v>
      </c>
      <c r="D38" s="3438">
        <f t="shared" si="0"/>
        <v>1101.4960000000001</v>
      </c>
    </row>
    <row r="39" spans="2:4">
      <c r="B39" s="3442">
        <v>154.41</v>
      </c>
      <c r="C39" s="3442">
        <v>4.4000000000000004</v>
      </c>
      <c r="D39" s="3438">
        <f t="shared" si="0"/>
        <v>679.404</v>
      </c>
    </row>
    <row r="40" spans="2:4">
      <c r="B40" s="3442">
        <f>SUM(B2:B39)</f>
        <v>11642.179999999997</v>
      </c>
      <c r="C40" s="3442">
        <f>D40/B40</f>
        <v>5.5723891917149526</v>
      </c>
      <c r="D40" s="3438">
        <f>SUM(D2:D39)</f>
        <v>64874.757999999973</v>
      </c>
    </row>
  </sheetData>
  <phoneticPr fontId="134" type="noConversion"/>
  <pageMargins left="0.28000000000000003" right="0.69930555555555596" top="0.3" bottom="0.75" header="0.3" footer="0.3"/>
  <pageSetup paperSize="9" scale="26"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3" t="s">
        <v>949</v>
      </c>
      <c r="B1" s="3523"/>
      <c r="C1" s="3523"/>
      <c r="D1" s="3523"/>
    </row>
    <row r="2" spans="1:4" ht="18">
      <c r="A2" s="3524" t="s">
        <v>933</v>
      </c>
      <c r="B2" s="3524"/>
      <c r="C2" s="3524"/>
      <c r="D2" s="352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24" t="s">
        <v>939</v>
      </c>
      <c r="B6" s="3524"/>
      <c r="C6" s="3524"/>
      <c r="D6" s="352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1" t="s">
        <v>956</v>
      </c>
      <c r="B15" s="3526" t="s">
        <v>109</v>
      </c>
      <c r="C15" s="3527"/>
    </row>
    <row r="16" spans="1:7" ht="13.5">
      <c r="A16" s="3532"/>
      <c r="B16" s="3526" t="s">
        <v>42</v>
      </c>
      <c r="C16" s="3527"/>
    </row>
    <row r="17" spans="1:3" ht="13.5">
      <c r="A17" s="3532"/>
      <c r="B17" s="3529" t="s">
        <v>957</v>
      </c>
      <c r="C17" s="1532" t="s">
        <v>956</v>
      </c>
    </row>
    <row r="18" spans="1:3" ht="13.5">
      <c r="A18" s="3532"/>
      <c r="B18" s="3529"/>
      <c r="C18" s="1532" t="s">
        <v>958</v>
      </c>
    </row>
    <row r="19" spans="1:3" ht="13.5">
      <c r="A19" s="3532"/>
      <c r="B19" s="3529"/>
      <c r="C19" s="1532" t="s">
        <v>959</v>
      </c>
    </row>
    <row r="20" spans="1:3" ht="13.5">
      <c r="A20" s="3533"/>
      <c r="B20" s="3528" t="s">
        <v>960</v>
      </c>
      <c r="C20" s="3527"/>
    </row>
    <row r="21" spans="1:3" ht="13.5">
      <c r="A21" s="1533" t="s">
        <v>961</v>
      </c>
      <c r="B21" s="1534"/>
      <c r="C21" s="1535"/>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32" t="s">
        <v>967</v>
      </c>
    </row>
    <row r="26" spans="1:3" ht="13.5">
      <c r="A26" s="3530"/>
      <c r="B26" s="3529"/>
      <c r="C26" s="1532" t="s">
        <v>968</v>
      </c>
    </row>
    <row r="27" spans="1:3" ht="13.5">
      <c r="A27" s="3530"/>
      <c r="B27" s="3529"/>
      <c r="C27" s="1532" t="s">
        <v>969</v>
      </c>
    </row>
    <row r="28" spans="1:3" ht="13.5">
      <c r="A28" s="3530"/>
      <c r="B28" s="3529"/>
      <c r="C28" s="1532" t="s">
        <v>970</v>
      </c>
    </row>
    <row r="29" spans="1:3" ht="13.5">
      <c r="A29" s="3530"/>
      <c r="B29" s="3529"/>
      <c r="C29" s="1532" t="s">
        <v>971</v>
      </c>
    </row>
    <row r="30" spans="1:3" ht="13.5">
      <c r="A30" s="3530"/>
      <c r="B30" s="3529"/>
      <c r="C30" s="1532" t="s">
        <v>972</v>
      </c>
    </row>
    <row r="31" spans="1:3" ht="13.5">
      <c r="A31" s="3530"/>
      <c r="B31" s="3529"/>
      <c r="C31" s="1532" t="s">
        <v>973</v>
      </c>
    </row>
    <row r="32" spans="1:3" ht="13.5">
      <c r="A32" s="3530"/>
      <c r="B32" s="3529"/>
      <c r="C32" s="1532" t="s">
        <v>974</v>
      </c>
    </row>
    <row r="33" spans="1:3" ht="13.5">
      <c r="A33" s="3530"/>
      <c r="B33" s="352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45285</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4" t="s">
        <v>2144</v>
      </c>
      <c r="B17" s="3534"/>
      <c r="C17" s="3534"/>
      <c r="D17" s="3534"/>
      <c r="E17" s="3534"/>
      <c r="F17" s="3534"/>
      <c r="G17" s="3534"/>
      <c r="H17" s="3534"/>
    </row>
    <row r="18" spans="1:8" ht="24" customHeight="1">
      <c r="A18" s="3535" t="s">
        <v>2145</v>
      </c>
      <c r="B18" s="3535"/>
      <c r="C18" s="3535"/>
      <c r="D18" s="2343"/>
      <c r="E18" s="3536" t="s">
        <v>2146</v>
      </c>
      <c r="F18" s="3535"/>
      <c r="G18" s="3535"/>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收益法（汇总）</vt:lpstr>
      <vt:lpstr>比较法-住宅</vt:lpstr>
      <vt:lpstr>比较法-商业</vt:lpstr>
      <vt:lpstr>比较法-工业</vt:lpstr>
      <vt:lpstr>比较法-车位</vt:lpstr>
      <vt:lpstr>比较法-仓储</vt:lpstr>
      <vt:lpstr>土地比较法-工业</vt:lpstr>
      <vt:lpstr>典型户型修正</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2021</vt:lpstr>
      <vt:lpstr>成本法</vt:lpstr>
      <vt:lpstr>土地比较法-住宅、综合</vt:lpstr>
      <vt:lpstr>土地案例</vt:lpstr>
      <vt:lpstr>基准地价修正</vt:lpstr>
      <vt:lpstr>收益法-地上</vt:lpstr>
      <vt:lpstr>信息</vt:lpstr>
      <vt:lpstr>租约汇总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2023-12-25T09:00:46Z</dcterms:modified>
</cp:coreProperties>
</file>