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4535" windowHeight="1185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0" r:id="rId19"/>
    <sheet name="土地案例" sheetId="82" r:id="rId20"/>
    <sheet name="成本法" sheetId="68" r:id="rId21"/>
    <sheet name="成本法 (元)" sheetId="69" state="hidden" r:id="rId22"/>
    <sheet name="假设开发法" sheetId="12" state="hidden" r:id="rId23"/>
    <sheet name="土地比较法-住宅、综合" sheetId="39" r:id="rId24"/>
    <sheet name="收益法-办公" sheetId="81" r:id="rId25"/>
    <sheet name="收益法-车库" sheetId="15"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8">'收益法（汇总）'!$A$1:$F$13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H41" i="79" l="1"/>
  <c r="AH38" i="79"/>
  <c r="AH34" i="79"/>
  <c r="AF33" i="79"/>
  <c r="AF34" i="79" s="1"/>
  <c r="AF35" i="79" s="1"/>
  <c r="AF36" i="79" s="1"/>
  <c r="AF37" i="79" s="1"/>
  <c r="AF38" i="79" s="1"/>
  <c r="AF39" i="79" s="1"/>
  <c r="AF40" i="79" s="1"/>
  <c r="AF41" i="79" s="1"/>
  <c r="AF42" i="79" s="1"/>
  <c r="AF43" i="79" s="1"/>
  <c r="AF44" i="79" s="1"/>
  <c r="AF45" i="79" s="1"/>
  <c r="AF46" i="79" s="1"/>
  <c r="AF32" i="79"/>
  <c r="AG44" i="79" l="1"/>
  <c r="AG45" i="79"/>
  <c r="AG31" i="79"/>
  <c r="AG34" i="79"/>
  <c r="K70" i="39" l="1"/>
  <c r="G70" i="39"/>
  <c r="N70" i="39"/>
  <c r="U3" i="82"/>
  <c r="G38" i="39" l="1"/>
  <c r="E38" i="39"/>
  <c r="E7" i="39" l="1"/>
  <c r="I7" i="39" l="1"/>
  <c r="AG43" i="79"/>
  <c r="AG42" i="79" s="1"/>
  <c r="AG41" i="79" s="1"/>
  <c r="AG40" i="79" s="1"/>
  <c r="AG39" i="79" s="1"/>
  <c r="AG38" i="79" s="1"/>
  <c r="AG37" i="79" s="1"/>
  <c r="AG36" i="79" s="1"/>
  <c r="AG35" i="79" s="1"/>
  <c r="AG33" i="79" s="1"/>
  <c r="AG32" i="79" s="1"/>
  <c r="I38" i="39"/>
  <c r="I5" i="39"/>
  <c r="Q20" i="82"/>
  <c r="P20" i="82"/>
  <c r="AH6" i="1" l="1"/>
  <c r="G39" i="6"/>
  <c r="F39" i="6"/>
  <c r="E39" i="6" s="1"/>
  <c r="E38" i="6" s="1"/>
  <c r="L14" i="1"/>
  <c r="G19" i="6"/>
  <c r="O18" i="1" l="1"/>
  <c r="K15" i="78" l="1"/>
  <c r="F13" i="78"/>
  <c r="B14" i="78"/>
  <c r="B6" i="78"/>
  <c r="G7" i="39"/>
  <c r="G5" i="39"/>
  <c r="E5" i="39"/>
  <c r="G19" i="43" l="1"/>
  <c r="E19" i="43"/>
  <c r="J49" i="81"/>
  <c r="J49" i="15"/>
  <c r="Q72" i="81"/>
  <c r="Q59" i="81"/>
  <c r="K59" i="81"/>
  <c r="P74" i="81" s="1"/>
  <c r="F59" i="81"/>
  <c r="Q58" i="81"/>
  <c r="Q51" i="81"/>
  <c r="J50" i="81"/>
  <c r="M47" i="81"/>
  <c r="D46" i="81"/>
  <c r="F33" i="81"/>
  <c r="F61" i="81" s="1"/>
  <c r="F31" i="81"/>
  <c r="F23" i="81"/>
  <c r="D23" i="81" s="1"/>
  <c r="F21" i="81"/>
  <c r="F20" i="81"/>
  <c r="M19" i="81"/>
  <c r="F18" i="81"/>
  <c r="M17" i="81"/>
  <c r="F17" i="81"/>
  <c r="F15" i="81"/>
  <c r="G1" i="81"/>
  <c r="N6" i="1"/>
  <c r="N14" i="1" s="1"/>
  <c r="L20" i="1"/>
  <c r="M20" i="1"/>
  <c r="M21" i="1"/>
  <c r="N21" i="1"/>
  <c r="M22" i="1"/>
  <c r="N22" i="1"/>
  <c r="L23" i="1"/>
  <c r="N23" i="1"/>
  <c r="L24" i="1"/>
  <c r="N24" i="1"/>
  <c r="L19" i="1"/>
  <c r="K19" i="1"/>
  <c r="F19" i="6"/>
  <c r="AL13" i="3"/>
  <c r="K13" i="3"/>
  <c r="I10" i="80"/>
  <c r="I9" i="80" s="1"/>
  <c r="N19" i="1" s="1"/>
  <c r="I6" i="80"/>
  <c r="I8" i="80"/>
  <c r="I7" i="80"/>
  <c r="B33" i="80"/>
  <c r="B31" i="80"/>
  <c r="B29" i="80"/>
  <c r="B30" i="80"/>
  <c r="D26" i="80"/>
  <c r="C26" i="80"/>
  <c r="B26" i="80"/>
  <c r="I13" i="4"/>
  <c r="H13" i="4"/>
  <c r="D3" i="4"/>
  <c r="C76" i="81"/>
  <c r="Y6" i="1" l="1"/>
  <c r="Q71" i="81"/>
  <c r="D24" i="81"/>
  <c r="P61" i="81"/>
  <c r="D22" i="81"/>
  <c r="N20" i="1"/>
  <c r="M24" i="81"/>
  <c r="F42" i="81"/>
  <c r="J15" i="81"/>
  <c r="F8" i="81"/>
  <c r="F26" i="81"/>
  <c r="F36" i="81"/>
  <c r="M9" i="81"/>
  <c r="M26" i="81"/>
  <c r="F38" i="81"/>
  <c r="M23" i="81"/>
  <c r="F37" i="81"/>
  <c r="F13" i="81"/>
  <c r="F16" i="81"/>
  <c r="M8" i="81"/>
  <c r="M6" i="81"/>
  <c r="F40" i="81"/>
  <c r="F9" i="81"/>
  <c r="M22" i="81"/>
  <c r="M28" i="81"/>
  <c r="F6" i="81"/>
  <c r="M27" i="81"/>
  <c r="F66" i="81" l="1"/>
  <c r="F68" i="81"/>
  <c r="F51" i="81"/>
  <c r="C27" i="81"/>
  <c r="F64" i="81"/>
  <c r="F65" i="8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6"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P33" i="79"/>
  <c r="P40" i="79"/>
  <c r="P42" i="79"/>
  <c r="P44" i="79"/>
  <c r="P39" i="79"/>
  <c r="P41" i="79"/>
  <c r="P43" i="79"/>
  <c r="P45" i="79"/>
  <c r="E25" i="78"/>
  <c r="E24" i="78"/>
  <c r="F23" i="78"/>
  <c r="F24" i="78" s="1"/>
  <c r="F25" i="78" s="1"/>
  <c r="E23" i="78"/>
  <c r="F12" i="78"/>
  <c r="F11" i="78"/>
  <c r="D7" i="78"/>
  <c r="D6" i="78"/>
  <c r="D5" i="78"/>
  <c r="C18" i="78" l="1"/>
  <c r="F93" i="43"/>
  <c r="H94" i="43" s="1"/>
  <c r="G94" i="43" s="1"/>
  <c r="C15" i="78"/>
  <c r="S2" i="82" s="1"/>
  <c r="R2" i="82" s="1"/>
  <c r="G23" i="78"/>
  <c r="G24" i="78"/>
  <c r="G25" i="78"/>
  <c r="B15" i="78"/>
  <c r="B18" i="78"/>
  <c r="G19" i="73"/>
  <c r="F19" i="73"/>
  <c r="E19" i="73"/>
  <c r="K94" i="43" l="1"/>
  <c r="J94" i="43" s="1"/>
  <c r="M94" i="43"/>
  <c r="N94" i="43" s="1"/>
  <c r="H101" i="43"/>
  <c r="G101" i="43" s="1"/>
  <c r="H95" i="43"/>
  <c r="G95" i="43" s="1"/>
  <c r="H93" i="43"/>
  <c r="G93" i="43" s="1"/>
  <c r="H97" i="43"/>
  <c r="G97" i="43" s="1"/>
  <c r="H100" i="43"/>
  <c r="G100" i="43" s="1"/>
  <c r="H96" i="43"/>
  <c r="G96" i="43" s="1"/>
  <c r="H98" i="43"/>
  <c r="G98" i="43" s="1"/>
  <c r="H99" i="43"/>
  <c r="G99" i="43" s="1"/>
  <c r="G20" i="73"/>
  <c r="F20" i="73"/>
  <c r="E20" i="73"/>
  <c r="K96" i="43" l="1"/>
  <c r="J96" i="43" s="1"/>
  <c r="M96" i="43"/>
  <c r="N96" i="43" s="1"/>
  <c r="M95" i="43"/>
  <c r="N95" i="43" s="1"/>
  <c r="K95" i="43"/>
  <c r="K100" i="43"/>
  <c r="J100" i="43" s="1"/>
  <c r="D100" i="43" s="1"/>
  <c r="M100" i="43"/>
  <c r="N100" i="43" s="1"/>
  <c r="M101" i="43"/>
  <c r="N101" i="43" s="1"/>
  <c r="K101" i="43"/>
  <c r="M99" i="43"/>
  <c r="N99" i="43" s="1"/>
  <c r="K99" i="43"/>
  <c r="J99" i="43" s="1"/>
  <c r="M97" i="43"/>
  <c r="K97" i="43"/>
  <c r="J97" i="43" s="1"/>
  <c r="K98" i="43"/>
  <c r="M98" i="43"/>
  <c r="N98" i="43" s="1"/>
  <c r="M93" i="43"/>
  <c r="N93" i="43" s="1"/>
  <c r="K93" i="43"/>
  <c r="G21" i="73"/>
  <c r="F21" i="73"/>
  <c r="E21" i="73"/>
  <c r="J93" i="43" l="1"/>
  <c r="D93" i="43"/>
  <c r="J101" i="43"/>
  <c r="D101" i="43"/>
  <c r="J95" i="43"/>
  <c r="D95" i="43"/>
  <c r="N97" i="43"/>
  <c r="D97" i="43"/>
  <c r="J98" i="43"/>
  <c r="D98" i="43"/>
  <c r="G13" i="73"/>
  <c r="F13" i="73"/>
  <c r="E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1"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C18" i="9" s="1"/>
  <c r="D18" i="9" s="1"/>
  <c r="D17" i="9"/>
  <c r="I55" i="9"/>
  <c r="F55" i="9"/>
  <c r="O53" i="9" s="1"/>
  <c r="D89" i="9"/>
  <c r="C89" i="9" s="1"/>
  <c r="C87" i="9" s="1"/>
  <c r="J55" i="9"/>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4" i="39"/>
  <c r="H34" i="39"/>
  <c r="U34" i="39" s="1"/>
  <c r="E108" i="39"/>
  <c r="F31" i="39"/>
  <c r="AA31" i="39" s="1"/>
  <c r="E100" i="39"/>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7" i="39"/>
  <c r="J27" i="39"/>
  <c r="AC27" i="39" s="1"/>
  <c r="F27" i="39"/>
  <c r="AA27" i="39" s="1"/>
  <c r="F11" i="21"/>
  <c r="S11" i="21" s="1"/>
  <c r="S40" i="21"/>
  <c r="U34" i="21"/>
  <c r="C25"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U13" i="39" s="1"/>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H21" i="39"/>
  <c r="U21" i="39" s="1"/>
  <c r="S17" i="39"/>
  <c r="AA12"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S14" i="39"/>
  <c r="AA14" i="39"/>
  <c r="U43" i="39"/>
  <c r="AB43"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0" i="31"/>
  <c r="E7" i="76"/>
  <c r="M23" i="15"/>
  <c r="C76" i="67"/>
  <c r="B8" i="76"/>
  <c r="M28" i="67"/>
  <c r="B11" i="76"/>
  <c r="F7" i="81"/>
  <c r="F9" i="67"/>
  <c r="F7" i="15"/>
  <c r="F37" i="15"/>
  <c r="F43" i="81"/>
  <c r="J15" i="15"/>
  <c r="F13" i="67"/>
  <c r="F26" i="67"/>
  <c r="F5" i="73"/>
  <c r="B13" i="76"/>
  <c r="M28" i="15"/>
  <c r="M24" i="67"/>
  <c r="B10" i="76"/>
  <c r="F38" i="67"/>
  <c r="M6" i="67"/>
  <c r="F8" i="15"/>
  <c r="B12" i="76"/>
  <c r="M9" i="15"/>
  <c r="F42" i="15"/>
  <c r="M8" i="15"/>
  <c r="F7" i="67"/>
  <c r="F40" i="67"/>
  <c r="B9" i="76"/>
  <c r="C76" i="15"/>
  <c r="F43" i="15"/>
  <c r="F16" i="15"/>
  <c r="F6" i="15"/>
  <c r="E10" i="76"/>
  <c r="M23" i="67"/>
  <c r="M24" i="15"/>
  <c r="F4" i="73"/>
  <c r="E8" i="76"/>
  <c r="M8" i="67"/>
  <c r="F8" i="67"/>
  <c r="F37" i="67"/>
  <c r="E9" i="76"/>
  <c r="J15" i="67"/>
  <c r="F6" i="67"/>
  <c r="F43" i="67"/>
  <c r="F36" i="67"/>
  <c r="F16" i="67"/>
  <c r="L48" i="15"/>
  <c r="D6" i="73"/>
  <c r="M26" i="67"/>
  <c r="L47" i="15"/>
  <c r="F6" i="73"/>
  <c r="M9" i="67"/>
  <c r="L48" i="81"/>
  <c r="M29" i="67"/>
  <c r="M29" i="81"/>
  <c r="M6" i="15"/>
  <c r="E12" i="76"/>
  <c r="E11" i="76"/>
  <c r="M22" i="67"/>
  <c r="M22" i="15"/>
  <c r="AO13" i="1"/>
  <c r="F26" i="15"/>
  <c r="F38" i="15"/>
  <c r="F40" i="15"/>
  <c r="F13" i="15"/>
  <c r="F9" i="15"/>
  <c r="L47" i="67"/>
  <c r="F7" i="73"/>
  <c r="M26" i="15"/>
  <c r="F36" i="15"/>
  <c r="B7" i="76"/>
  <c r="F3" i="73"/>
  <c r="E2" i="68"/>
  <c r="M29" i="15"/>
  <c r="E13" i="76"/>
  <c r="E2" i="69"/>
  <c r="F42" i="67"/>
  <c r="L59" i="81" l="1"/>
  <c r="N59" i="81"/>
  <c r="F11" i="1"/>
  <c r="G11" i="1" s="1"/>
  <c r="C22" i="78"/>
  <c r="E22" i="78" s="1"/>
  <c r="G22" i="78" s="1"/>
  <c r="G44" i="43"/>
  <c r="E18" i="43"/>
  <c r="G18" i="43" s="1"/>
  <c r="F19" i="39"/>
  <c r="AA19" i="39" s="1"/>
  <c r="J19" i="39"/>
  <c r="AC19" i="39" s="1"/>
  <c r="H19" i="39"/>
  <c r="AB19" i="39" s="1"/>
  <c r="F71" i="81"/>
  <c r="D33" i="43"/>
  <c r="D1" i="43" s="1"/>
  <c r="M7" i="81"/>
  <c r="J6" i="81" s="1"/>
  <c r="J19" i="81" s="1"/>
  <c r="C6" i="81"/>
  <c r="C33" i="81" s="1"/>
  <c r="F50" i="81"/>
  <c r="C49" i="81" s="1"/>
  <c r="C61" i="81" s="1"/>
  <c r="AP6" i="1"/>
  <c r="AC38" i="39"/>
  <c r="H123" i="39"/>
  <c r="I123" i="39" s="1"/>
  <c r="J123" i="39" s="1"/>
  <c r="K123" i="39" s="1"/>
  <c r="L123" i="39" s="1"/>
  <c r="M123" i="39" s="1"/>
  <c r="H41" i="39"/>
  <c r="AB41" i="39" s="1"/>
  <c r="S38" i="39"/>
  <c r="W9" i="39"/>
  <c r="W27" i="39"/>
  <c r="W29" i="39"/>
  <c r="U29" i="39"/>
  <c r="AC25" i="39"/>
  <c r="U25" i="39"/>
  <c r="S23" i="39"/>
  <c r="W23" i="39"/>
  <c r="AB21" i="39"/>
  <c r="S21" i="39"/>
  <c r="S15" i="39"/>
  <c r="W19" i="39"/>
  <c r="AC41" i="39"/>
  <c r="AA41" i="39"/>
  <c r="AC32" i="39"/>
  <c r="U32" i="39"/>
  <c r="S32" i="39"/>
  <c r="AA13" i="39"/>
  <c r="AB13" i="39"/>
  <c r="AC13" i="39"/>
  <c r="S9" i="39"/>
  <c r="U9" i="39"/>
  <c r="J53" i="81"/>
  <c r="J57" i="81"/>
  <c r="J55" i="81" s="1"/>
  <c r="J58" i="81" s="1"/>
  <c r="Q50" i="81" s="1"/>
  <c r="I54" i="81"/>
  <c r="L56" i="81"/>
  <c r="L58" i="81"/>
  <c r="K85" i="43"/>
  <c r="D85" i="43" s="1"/>
  <c r="M20" i="15"/>
  <c r="F34" i="81"/>
  <c r="F62" i="81" s="1"/>
  <c r="M20" i="81"/>
  <c r="D93" i="9"/>
  <c r="B41" i="1"/>
  <c r="F48" i="9" s="1"/>
  <c r="O52" i="9" s="1"/>
  <c r="C24" i="12"/>
  <c r="F28" i="81"/>
  <c r="C28" i="81" s="1"/>
  <c r="M18" i="81"/>
  <c r="C21" i="68"/>
  <c r="F34" i="68"/>
  <c r="C36" i="68" s="1"/>
  <c r="M59" i="81"/>
  <c r="F29" i="6"/>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F30" i="6"/>
  <c r="G30" i="6"/>
  <c r="G31" i="6" s="1"/>
  <c r="E28" i="6"/>
  <c r="L19" i="6"/>
  <c r="L27" i="6" s="1"/>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D9" i="69"/>
  <c r="C36" i="69"/>
  <c r="D9" i="68"/>
  <c r="D4" i="73"/>
  <c r="C16" i="67"/>
  <c r="D5" i="73"/>
  <c r="L48" i="67"/>
  <c r="D7" i="73"/>
  <c r="D3" i="73"/>
  <c r="C16" i="81"/>
  <c r="C16" i="15"/>
  <c r="U41" i="39" l="1"/>
  <c r="I54" i="67"/>
  <c r="L58" i="67"/>
  <c r="Q60" i="67" s="1"/>
  <c r="J57" i="67"/>
  <c r="J55" i="67" s="1"/>
  <c r="J58" i="67" s="1"/>
  <c r="Q50" i="67" s="1"/>
  <c r="L56" i="67"/>
  <c r="J53" i="67"/>
  <c r="Q52" i="67" s="1"/>
  <c r="G8" i="1"/>
  <c r="J7" i="36"/>
  <c r="Q61" i="81"/>
  <c r="Q74" i="81"/>
  <c r="S19" i="39"/>
  <c r="J18" i="81"/>
  <c r="U19" i="39"/>
  <c r="O6" i="1"/>
  <c r="Q73" i="81"/>
  <c r="Q60" i="81"/>
  <c r="F1" i="81"/>
  <c r="Q52" i="81"/>
  <c r="M89" i="43"/>
  <c r="N89" i="43" s="1"/>
  <c r="K89" i="43"/>
  <c r="K90" i="43"/>
  <c r="M90" i="43"/>
  <c r="N90" i="43" s="1"/>
  <c r="M83" i="43"/>
  <c r="N83" i="43" s="1"/>
  <c r="K83" i="43"/>
  <c r="K84" i="43"/>
  <c r="M84" i="43"/>
  <c r="N84" i="43" s="1"/>
  <c r="M87" i="43"/>
  <c r="N87" i="43" s="1"/>
  <c r="K87" i="43"/>
  <c r="K88" i="43"/>
  <c r="J88" i="43" s="1"/>
  <c r="D88" i="43" s="1"/>
  <c r="M88" i="43"/>
  <c r="N88" i="43" s="1"/>
  <c r="K86" i="43"/>
  <c r="M86" i="43"/>
  <c r="N86" i="43" s="1"/>
  <c r="F32" i="81"/>
  <c r="F60" i="81" s="1"/>
  <c r="F30" i="11"/>
  <c r="M18" i="67"/>
  <c r="M18" i="15"/>
  <c r="F32" i="15"/>
  <c r="F60" i="15" s="1"/>
  <c r="F54" i="9"/>
  <c r="F28" i="67"/>
  <c r="C28" i="67" s="1"/>
  <c r="F32" i="67"/>
  <c r="F60" i="67" s="1"/>
  <c r="F28" i="15"/>
  <c r="C28" i="15" s="1"/>
  <c r="F52" i="9"/>
  <c r="F31" i="12"/>
  <c r="C31" i="12" s="1"/>
  <c r="F30" i="69"/>
  <c r="D68" i="9"/>
  <c r="F30" i="68"/>
  <c r="F11" i="81"/>
  <c r="M11" i="81"/>
  <c r="J10" i="81" s="1"/>
  <c r="J5" i="81" s="1"/>
  <c r="K16" i="1"/>
  <c r="D20" i="53"/>
  <c r="B40" i="72" s="1"/>
  <c r="G16" i="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8" i="1"/>
  <c r="AE12" i="1"/>
  <c r="AE10" i="1"/>
  <c r="AE7" i="1"/>
  <c r="F41" i="67"/>
  <c r="AE6" i="1"/>
  <c r="G1" i="73"/>
  <c r="F1" i="67" l="1"/>
  <c r="Q73" i="67"/>
  <c r="AA10" i="39"/>
  <c r="T2" i="82"/>
  <c r="D84" i="43"/>
  <c r="J84" i="43"/>
  <c r="D90" i="43"/>
  <c r="J90" i="43"/>
  <c r="D87" i="43"/>
  <c r="J87" i="43"/>
  <c r="J83" i="43"/>
  <c r="D83" i="43"/>
  <c r="D89" i="43"/>
  <c r="J89" i="43"/>
  <c r="D86" i="43"/>
  <c r="J86" i="43"/>
  <c r="C32" i="81"/>
  <c r="F48" i="69"/>
  <c r="C48" i="69"/>
  <c r="C30" i="69"/>
  <c r="F48" i="68"/>
  <c r="C30" i="68"/>
  <c r="C48" i="68"/>
  <c r="C48" i="11"/>
  <c r="C30" i="11"/>
  <c r="J26" i="81"/>
  <c r="J24" i="81"/>
  <c r="C53" i="81"/>
  <c r="C48" i="81" s="1"/>
  <c r="C10" i="81"/>
  <c r="C5" i="81" s="1"/>
  <c r="H6" i="3"/>
  <c r="E6" i="3" s="1"/>
  <c r="S10" i="39"/>
  <c r="U10" i="39"/>
  <c r="E3" i="6"/>
  <c r="W10" i="39"/>
  <c r="J10" i="40"/>
  <c r="AC10" i="40" s="1"/>
  <c r="F10" i="40"/>
  <c r="S10" i="40" s="1"/>
  <c r="H10" i="40"/>
  <c r="AB10" i="40"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L18" i="9"/>
  <c r="C17" i="4"/>
  <c r="B4" i="52" s="1"/>
  <c r="B43" i="72" s="1"/>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C17" i="81"/>
  <c r="F41" i="81"/>
  <c r="M27" i="15"/>
  <c r="T20" i="82" l="1"/>
  <c r="U20" i="82" s="1"/>
  <c r="I46" i="39" s="1"/>
  <c r="T3" i="82"/>
  <c r="G46" i="39" s="1"/>
  <c r="T5" i="82"/>
  <c r="U5" i="82" s="1"/>
  <c r="U2" i="82"/>
  <c r="E46" i="39" s="1"/>
  <c r="B14" i="74"/>
  <c r="B1" i="74" s="1"/>
  <c r="AA10" i="40"/>
  <c r="F69" i="81"/>
  <c r="J29" i="81"/>
  <c r="E83" i="43"/>
  <c r="B81" i="43" s="1"/>
  <c r="C28" i="43" s="1"/>
  <c r="L36" i="43"/>
  <c r="L37" i="43" s="1"/>
  <c r="M37" i="43" s="1"/>
  <c r="F24" i="81"/>
  <c r="C38" i="81"/>
  <c r="C66" i="81"/>
  <c r="C60" i="81"/>
  <c r="AB10" i="39"/>
  <c r="F22" i="69"/>
  <c r="F41" i="69" s="1"/>
  <c r="F25" i="12"/>
  <c r="C26" i="12" s="1"/>
  <c r="D25" i="12" s="1"/>
  <c r="AC10" i="39"/>
  <c r="U10" i="40"/>
  <c r="W10" i="40"/>
  <c r="F24" i="15"/>
  <c r="C24" i="15" s="1"/>
  <c r="F22" i="68"/>
  <c r="C26" i="68" s="1"/>
  <c r="D22" i="68" s="1"/>
  <c r="F22" i="11"/>
  <c r="C44" i="11" s="1"/>
  <c r="D41" i="11" s="1"/>
  <c r="F24" i="67"/>
  <c r="C24" i="67" s="1"/>
  <c r="E49" i="34"/>
  <c r="E54" i="34" s="1"/>
  <c r="F54" i="34" s="1"/>
  <c r="C17" i="71"/>
  <c r="D18"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D10" i="11"/>
  <c r="C10" i="11" s="1"/>
  <c r="D20" i="12"/>
  <c r="C20" i="12" s="1"/>
  <c r="D25" i="6"/>
  <c r="D15" i="6"/>
  <c r="D22" i="6"/>
  <c r="D21" i="6"/>
  <c r="D24" i="6"/>
  <c r="D20" i="6"/>
  <c r="M19" i="9"/>
  <c r="C118" i="9"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81"/>
  <c r="C14" i="67"/>
  <c r="E53" i="39" l="1"/>
  <c r="F53" i="39" s="1"/>
  <c r="R46" i="39"/>
  <c r="T46" i="39"/>
  <c r="G53" i="39"/>
  <c r="H53" i="39" s="1"/>
  <c r="I53" i="39"/>
  <c r="J53" i="39" s="1"/>
  <c r="V46" i="39"/>
  <c r="C14" i="74"/>
  <c r="B2" i="74" s="1"/>
  <c r="C18" i="81"/>
  <c r="C15" i="81"/>
  <c r="T9" i="43"/>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O37" i="43"/>
  <c r="Q37" i="43"/>
  <c r="M36" i="43"/>
  <c r="P37" i="43"/>
  <c r="N36" i="43"/>
  <c r="N37" i="43"/>
  <c r="Q36" i="43"/>
  <c r="C24" i="81"/>
  <c r="P36" i="43"/>
  <c r="O36" i="43"/>
  <c r="H22" i="6"/>
  <c r="H25" i="6"/>
  <c r="C44" i="69"/>
  <c r="D41" i="69" s="1"/>
  <c r="C26" i="69"/>
  <c r="D22" i="69" s="1"/>
  <c r="C44" i="68"/>
  <c r="D41" i="68" s="1"/>
  <c r="F41" i="68"/>
  <c r="C23" i="11"/>
  <c r="C26" i="11"/>
  <c r="D22" i="11" s="1"/>
  <c r="I54" i="34"/>
  <c r="J54" i="34"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8" i="74" l="1"/>
  <c r="D7" i="74"/>
  <c r="C19" i="81"/>
  <c r="C20" i="81" s="1"/>
  <c r="C26" i="81" s="1"/>
  <c r="G41" i="43"/>
  <c r="I41" i="43" s="1"/>
  <c r="E41" i="43"/>
  <c r="E40" i="43"/>
  <c r="G40" i="43"/>
  <c r="I40" i="43" s="1"/>
  <c r="G38" i="43"/>
  <c r="I38" i="43" s="1"/>
  <c r="E38" i="43"/>
  <c r="E37" i="43"/>
  <c r="G37" i="43"/>
  <c r="I37" i="43" s="1"/>
  <c r="G39" i="43"/>
  <c r="I39" i="43" s="1"/>
  <c r="E39" i="43"/>
  <c r="E42" i="43"/>
  <c r="G42" i="43"/>
  <c r="I42" i="43" s="1"/>
  <c r="C18" i="12"/>
  <c r="E17" i="12"/>
  <c r="C17" i="12" s="1"/>
  <c r="B31" i="1"/>
  <c r="C15" i="71"/>
  <c r="T16" i="71"/>
  <c r="D16" i="71"/>
  <c r="U16" i="71" s="1"/>
  <c r="C19" i="67"/>
  <c r="C20" i="67" s="1"/>
  <c r="C26" i="67" s="1"/>
  <c r="T16" i="1"/>
  <c r="C18" i="15"/>
  <c r="C15" i="15"/>
  <c r="C38" i="68"/>
  <c r="C35" i="68"/>
  <c r="C36" i="11"/>
  <c r="C37" i="11"/>
  <c r="C34" i="11"/>
  <c r="C23" i="12"/>
  <c r="C14" i="12"/>
  <c r="C16" i="12" s="1"/>
  <c r="H19" i="6"/>
  <c r="S19" i="6"/>
  <c r="S27" i="6" s="1"/>
  <c r="I27" i="6"/>
  <c r="D37" i="68"/>
  <c r="C37" i="68" s="1"/>
  <c r="D37" i="69"/>
  <c r="C37" i="69" s="1"/>
  <c r="C33" i="69" s="1"/>
  <c r="I5" i="6"/>
  <c r="I6" i="6"/>
  <c r="C23" i="69"/>
  <c r="I69" i="39"/>
  <c r="J67" i="39"/>
  <c r="I63" i="40"/>
  <c r="H65" i="40"/>
  <c r="I58" i="21"/>
  <c r="J58" i="21" s="1"/>
  <c r="K58" i="21" s="1"/>
  <c r="L58" i="21" s="1"/>
  <c r="M58" i="21" s="1"/>
  <c r="N58" i="21" s="1"/>
  <c r="O58" i="21" s="1"/>
  <c r="H7" i="21" s="1"/>
  <c r="J48" i="35"/>
  <c r="C11" i="39" l="1"/>
  <c r="G3" i="43"/>
  <c r="C23" i="81"/>
  <c r="C29" i="81" s="1"/>
  <c r="C13" i="81" s="1"/>
  <c r="C75" i="81" s="1"/>
  <c r="C21" i="12"/>
  <c r="C22" i="12" s="1"/>
  <c r="E19" i="68"/>
  <c r="C19" i="68" s="1"/>
  <c r="E19" i="11"/>
  <c r="C19" i="11" s="1"/>
  <c r="E19" i="69"/>
  <c r="C19" i="69" s="1"/>
  <c r="C24" i="69" s="1"/>
  <c r="C14" i="71"/>
  <c r="D15" i="7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J69" i="39"/>
  <c r="K67" i="39"/>
  <c r="U7" i="21"/>
  <c r="AB7" i="21"/>
  <c r="T48" i="21" s="1"/>
  <c r="G48" i="21" s="1"/>
  <c r="J63" i="40"/>
  <c r="I65" i="40"/>
  <c r="K48" i="35"/>
  <c r="L48" i="35" s="1"/>
  <c r="M48" i="35" s="1"/>
  <c r="N48" i="35" s="1"/>
  <c r="O48" i="35" s="1"/>
  <c r="H7" i="35" s="1"/>
  <c r="H26" i="43" l="1"/>
  <c r="N94" i="46"/>
  <c r="N370" i="46"/>
  <c r="G26" i="43"/>
  <c r="Z7" i="43"/>
  <c r="J26" i="43"/>
  <c r="E26" i="43"/>
  <c r="D26" i="43" s="1"/>
  <c r="C25" i="43" s="1"/>
  <c r="F26" i="43"/>
  <c r="B116" i="43"/>
  <c r="H11" i="39"/>
  <c r="J11" i="39"/>
  <c r="F11" i="39"/>
  <c r="C56" i="81"/>
  <c r="C65" i="81" s="1"/>
  <c r="C37" i="81"/>
  <c r="J59" i="81"/>
  <c r="J60" i="81" s="1"/>
  <c r="Q48" i="81" s="1"/>
  <c r="C36" i="81"/>
  <c r="Q70" i="81"/>
  <c r="Q49" i="81"/>
  <c r="C57" i="81"/>
  <c r="C64" i="81" s="1"/>
  <c r="J14" i="81"/>
  <c r="J13" i="81" s="1"/>
  <c r="J23" i="81" s="1"/>
  <c r="C30" i="12"/>
  <c r="C28" i="12" s="1"/>
  <c r="C20" i="69"/>
  <c r="C28" i="69" s="1"/>
  <c r="C27" i="69" s="1"/>
  <c r="C27" i="12"/>
  <c r="C25" i="12" s="1"/>
  <c r="C24" i="68"/>
  <c r="C20" i="11"/>
  <c r="C24" i="1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E48" i="21"/>
  <c r="G52" i="21"/>
  <c r="H52" i="21" s="1"/>
  <c r="G53" i="21"/>
  <c r="H53" i="21" s="1"/>
  <c r="F7" i="35"/>
  <c r="M21" i="15"/>
  <c r="F35" i="81"/>
  <c r="M21" i="67"/>
  <c r="F35" i="15"/>
  <c r="F35" i="67"/>
  <c r="M21" i="81"/>
  <c r="C32" i="12" l="1"/>
  <c r="B2" i="12" s="1"/>
  <c r="B3" i="12" s="1"/>
  <c r="S11" i="39"/>
  <c r="AA11" i="39"/>
  <c r="C33" i="43"/>
  <c r="W11" i="39"/>
  <c r="AC11" i="39"/>
  <c r="U11" i="39"/>
  <c r="AB11" i="39"/>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J22" i="81"/>
  <c r="C25" i="69"/>
  <c r="C22" i="69" s="1"/>
  <c r="C31" i="69" s="1"/>
  <c r="C34" i="81"/>
  <c r="C31" i="81" s="1"/>
  <c r="C30" i="81" s="1"/>
  <c r="C39" i="81" s="1"/>
  <c r="H39" i="81" s="1"/>
  <c r="F63" i="81"/>
  <c r="C62" i="81" s="1"/>
  <c r="C59" i="81" s="1"/>
  <c r="C58" i="81" s="1"/>
  <c r="C67" i="81" s="1"/>
  <c r="C68" i="81" s="1"/>
  <c r="C71" i="81" s="1"/>
  <c r="J20" i="81"/>
  <c r="J17" i="81" s="1"/>
  <c r="C28" i="11"/>
  <c r="C27" i="11" s="1"/>
  <c r="C25" i="11"/>
  <c r="C22" i="11" s="1"/>
  <c r="C31" i="1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118" i="43" l="1"/>
  <c r="D116" i="43"/>
  <c r="E33" i="43"/>
  <c r="C34" i="43"/>
  <c r="E34" i="43" s="1"/>
  <c r="C31" i="43" s="1"/>
  <c r="J16" i="81"/>
  <c r="J25" i="81" s="1"/>
  <c r="C52" i="69"/>
  <c r="B2" i="69" s="1"/>
  <c r="L57" i="81"/>
  <c r="L60" i="81" s="1"/>
  <c r="L46" i="81" s="1"/>
  <c r="Q69" i="81"/>
  <c r="Q68" i="81" s="1"/>
  <c r="C40" i="81"/>
  <c r="C80" i="81"/>
  <c r="C79" i="8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1"/>
  <c r="Q67" i="81" l="1"/>
  <c r="C30" i="43"/>
  <c r="B2" i="43" s="1"/>
  <c r="B3" i="69"/>
  <c r="C57" i="69"/>
  <c r="C56" i="69" s="1"/>
  <c r="Q66" i="81"/>
  <c r="Q57" i="81"/>
  <c r="Q47" i="81"/>
  <c r="Q53" i="81" s="1"/>
  <c r="C43" i="81"/>
  <c r="B2" i="81"/>
  <c r="B3" i="81" s="1"/>
  <c r="C83" i="81"/>
  <c r="C82" i="81" s="1"/>
  <c r="Q65" i="81"/>
  <c r="C46" i="81"/>
  <c r="Q56"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N69" i="39"/>
  <c r="C39" i="35"/>
  <c r="C38" i="35"/>
  <c r="N63" i="40"/>
  <c r="M65" i="40"/>
  <c r="E43" i="35"/>
  <c r="F43" i="35" s="1"/>
  <c r="E42" i="35"/>
  <c r="F42" i="35" s="1"/>
  <c r="I43" i="35"/>
  <c r="J43" i="35" s="1"/>
  <c r="B6" i="76"/>
  <c r="E6" i="76"/>
  <c r="D2" i="33"/>
  <c r="L51" i="67"/>
  <c r="O69" i="39" l="1"/>
  <c r="P67" i="39"/>
  <c r="E2" i="76"/>
  <c r="B2" i="76"/>
  <c r="B3" i="43"/>
  <c r="Q75" i="81"/>
  <c r="Q62" i="81"/>
  <c r="D10" i="71"/>
  <c r="C9" i="71"/>
  <c r="L57" i="67"/>
  <c r="L60" i="67" s="1"/>
  <c r="L46" i="67" s="1"/>
  <c r="D2" i="67" s="1"/>
  <c r="B2" i="67" s="1"/>
  <c r="Q67" i="67"/>
  <c r="Q65" i="67"/>
  <c r="B2" i="33"/>
  <c r="B3" i="33" s="1"/>
  <c r="C83" i="67"/>
  <c r="C82" i="67" s="1"/>
  <c r="Q47" i="67"/>
  <c r="Q53" i="67" s="1"/>
  <c r="C46" i="67"/>
  <c r="Q56" i="67"/>
  <c r="C43" i="67"/>
  <c r="C80" i="15"/>
  <c r="C79" i="15" s="1"/>
  <c r="C40" i="15"/>
  <c r="O63" i="40"/>
  <c r="O65" i="40" s="1"/>
  <c r="N65" i="40"/>
  <c r="D2" i="35"/>
  <c r="D2" i="36"/>
  <c r="D2" i="37"/>
  <c r="L51" i="15"/>
  <c r="D2" i="34"/>
  <c r="Q67" i="39" l="1"/>
  <c r="P69" i="39"/>
  <c r="B3" i="76"/>
  <c r="C46" i="1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12" i="1"/>
  <c r="AO6" i="1"/>
  <c r="AO10" i="1"/>
  <c r="AO11" i="1"/>
  <c r="AO9" i="1"/>
  <c r="AO8" i="1"/>
  <c r="R67" i="39" l="1"/>
  <c r="Q69" i="39"/>
  <c r="C7" i="71"/>
  <c r="D8" i="71"/>
  <c r="L46" i="15"/>
  <c r="B2" i="15" s="1"/>
  <c r="Q66" i="15"/>
  <c r="Q75" i="15" s="1"/>
  <c r="Q62" i="15"/>
  <c r="B9" i="70"/>
  <c r="B11" i="70"/>
  <c r="B10" i="70"/>
  <c r="B12" i="70"/>
  <c r="B6" i="70"/>
  <c r="B8" i="70"/>
  <c r="U7" i="40"/>
  <c r="AB7" i="40"/>
  <c r="T42" i="40" s="1"/>
  <c r="G42" i="40" s="1"/>
  <c r="AA7" i="40"/>
  <c r="R42" i="40" s="1"/>
  <c r="S7" i="40"/>
  <c r="AC7" i="40"/>
  <c r="V42" i="40" s="1"/>
  <c r="I42" i="40" s="1"/>
  <c r="W7" i="40"/>
  <c r="AO7" i="1"/>
  <c r="S67" i="39" l="1"/>
  <c r="R69" i="39"/>
  <c r="B7" i="70"/>
  <c r="B2" i="70" s="1"/>
  <c r="B3" i="15"/>
  <c r="D7" i="71"/>
  <c r="C6" i="71"/>
  <c r="I46" i="40"/>
  <c r="J46" i="40" s="1"/>
  <c r="R43" i="40"/>
  <c r="E42" i="40"/>
  <c r="G47" i="40"/>
  <c r="H47" i="40" s="1"/>
  <c r="G46" i="40"/>
  <c r="H46" i="40" s="1"/>
  <c r="D19" i="9"/>
  <c r="T67" i="39" l="1"/>
  <c r="T69" i="39" s="1"/>
  <c r="S69" i="39"/>
  <c r="D102" i="9"/>
  <c r="D21" i="9"/>
  <c r="B3" i="70"/>
  <c r="D6" i="71"/>
  <c r="C5" i="71"/>
  <c r="D5" i="71" s="1"/>
  <c r="M24" i="43" s="1"/>
  <c r="C42" i="40"/>
  <c r="C43" i="40"/>
  <c r="E47" i="40"/>
  <c r="F47" i="40" s="1"/>
  <c r="E46" i="40"/>
  <c r="F46" i="40" s="1"/>
  <c r="I47" i="40"/>
  <c r="J47" i="40" s="1"/>
  <c r="D20" i="9"/>
  <c r="F7" i="39" l="1"/>
  <c r="H7" i="39"/>
  <c r="J7" i="39"/>
  <c r="D103" i="9"/>
  <c r="B58" i="40"/>
  <c r="F58" i="40" s="1"/>
  <c r="B54" i="40"/>
  <c r="F54" i="40" s="1"/>
  <c r="B53" i="40"/>
  <c r="F53" i="40" s="1"/>
  <c r="B59" i="40"/>
  <c r="F59" i="40" s="1"/>
  <c r="B52" i="40"/>
  <c r="F52" i="40" s="1"/>
  <c r="B56" i="40"/>
  <c r="F56" i="40" s="1"/>
  <c r="B60" i="40"/>
  <c r="F60" i="40" s="1"/>
  <c r="B57" i="40"/>
  <c r="F57" i="40" s="1"/>
  <c r="B51" i="40"/>
  <c r="F51" i="40" s="1"/>
  <c r="F61" i="40"/>
  <c r="B2" i="40" s="1"/>
  <c r="B3" i="40" s="1"/>
  <c r="W7" i="39" l="1"/>
  <c r="AC7" i="39"/>
  <c r="V47" i="39" s="1"/>
  <c r="I47" i="39" s="1"/>
  <c r="U7" i="39"/>
  <c r="AB7" i="39"/>
  <c r="T47" i="39" s="1"/>
  <c r="G47" i="39" s="1"/>
  <c r="S7" i="39"/>
  <c r="AA7" i="39"/>
  <c r="R47" i="39" s="1"/>
  <c r="E47" i="39" l="1"/>
  <c r="R48" i="39"/>
  <c r="G51" i="39"/>
  <c r="H51" i="39" s="1"/>
  <c r="G52" i="39"/>
  <c r="H52" i="39" s="1"/>
  <c r="I52" i="39"/>
  <c r="J52" i="39" s="1"/>
  <c r="I51" i="39"/>
  <c r="J51" i="39" s="1"/>
  <c r="C47" i="39" l="1"/>
  <c r="C48" i="39"/>
  <c r="E52" i="39"/>
  <c r="F52" i="39" s="1"/>
  <c r="E51" i="39"/>
  <c r="F51" i="39" s="1"/>
  <c r="B60" i="39" l="1"/>
  <c r="F60" i="39" s="1"/>
  <c r="B57" i="39"/>
  <c r="F57" i="39" s="1"/>
  <c r="B56" i="39"/>
  <c r="F56" i="39" s="1"/>
  <c r="B64" i="39"/>
  <c r="F64" i="39" s="1"/>
  <c r="B61" i="39"/>
  <c r="F61" i="39" s="1"/>
  <c r="B63" i="39"/>
  <c r="F63" i="39" s="1"/>
  <c r="B62" i="39"/>
  <c r="F62" i="39" s="1"/>
  <c r="B58" i="39"/>
  <c r="F58" i="39" s="1"/>
  <c r="B59" i="39"/>
  <c r="F59" i="39" s="1"/>
  <c r="F65" i="39" l="1"/>
  <c r="B2" i="39" s="1"/>
  <c r="C6" i="68" l="1"/>
  <c r="C7" i="68" s="1"/>
  <c r="C5" i="68" s="1"/>
  <c r="B3" i="39"/>
  <c r="C23" i="68" l="1"/>
  <c r="C20" i="68"/>
  <c r="C25" i="68" s="1"/>
  <c r="C28" i="68" l="1"/>
  <c r="C27" i="68" s="1"/>
  <c r="C22" i="68"/>
  <c r="C31" i="68" l="1"/>
  <c r="C52" i="68" s="1"/>
  <c r="C57" i="68" s="1"/>
  <c r="C56" i="68" s="1"/>
  <c r="B2" i="68" l="1"/>
  <c r="C19" i="9"/>
  <c r="G19" i="9" l="1"/>
  <c r="C32" i="9" s="1"/>
  <c r="C21" i="9"/>
  <c r="C102" i="9"/>
  <c r="D22" i="9"/>
  <c r="B3" i="68"/>
  <c r="C20" i="9"/>
  <c r="D35" i="9"/>
  <c r="D34" i="9"/>
  <c r="G21" i="9" l="1"/>
  <c r="C103" i="9"/>
  <c r="G20" i="9"/>
  <c r="F34" i="9"/>
  <c r="C35" i="9"/>
  <c r="H118" i="9"/>
  <c r="H4" i="52" l="1"/>
  <c r="C104" i="9"/>
  <c r="C109" i="9" s="1"/>
  <c r="H119" i="9"/>
  <c r="H5" i="52" s="1"/>
  <c r="H101" i="9"/>
  <c r="D14" i="74"/>
  <c r="I118" i="9"/>
  <c r="C34" i="9"/>
  <c r="D118" i="9" s="1"/>
  <c r="F118" i="9"/>
  <c r="F119" i="9" l="1"/>
  <c r="F5" i="52" s="1"/>
  <c r="B53" i="72" s="1"/>
  <c r="G118" i="9"/>
  <c r="G4" i="52" s="1"/>
  <c r="B52" i="72" s="1"/>
  <c r="F4" i="52"/>
  <c r="B51" i="72" s="1"/>
  <c r="D5" i="53"/>
  <c r="M48" i="9"/>
  <c r="H107" i="9"/>
  <c r="D45" i="9"/>
  <c r="D119" i="9"/>
  <c r="D5" i="52" s="1"/>
  <c r="B49" i="72" s="1"/>
  <c r="D4" i="52"/>
  <c r="B47" i="72" s="1"/>
  <c r="H102" i="9"/>
  <c r="D7" i="53" s="1"/>
  <c r="B21" i="72" s="1"/>
  <c r="C105" i="9"/>
  <c r="I4" i="52"/>
  <c r="G14" i="74"/>
  <c r="B6" i="74" s="1"/>
  <c r="D6" i="74" s="1"/>
  <c r="E14" i="74"/>
  <c r="F14" i="74"/>
  <c r="B5" i="74"/>
  <c r="E118" i="9" l="1"/>
  <c r="E4" i="52" s="1"/>
  <c r="B48" i="72" s="1"/>
  <c r="D6" i="53"/>
  <c r="B22" i="72" s="1"/>
  <c r="B20" i="72"/>
  <c r="D52" i="9"/>
  <c r="C64" i="9"/>
  <c r="C63" i="9" s="1"/>
  <c r="C67" i="9" s="1"/>
  <c r="C85" i="9"/>
  <c r="C72" i="9"/>
  <c r="D53" i="9"/>
  <c r="D55" i="9"/>
  <c r="M53" i="9" s="1"/>
  <c r="C93" i="9"/>
  <c r="C86" i="9" s="1"/>
  <c r="C78" i="9"/>
  <c r="C73" i="9" s="1"/>
  <c r="M49" i="9"/>
  <c r="D13" i="53"/>
  <c r="D122" i="9"/>
  <c r="H108" i="9"/>
  <c r="D5" i="74"/>
  <c r="C5" i="74"/>
  <c r="B30" i="72" l="1"/>
  <c r="D14" i="53"/>
  <c r="B32" i="72" s="1"/>
  <c r="D59" i="9"/>
  <c r="M55" i="9" s="1"/>
  <c r="C68" i="9"/>
  <c r="D54" i="9" s="1"/>
  <c r="L63" i="9"/>
  <c r="M63" i="9" s="1"/>
  <c r="L66" i="9"/>
  <c r="M66" i="9" s="1"/>
  <c r="L65" i="9"/>
  <c r="M65" i="9" s="1"/>
  <c r="L67" i="9"/>
  <c r="M67" i="9" s="1"/>
  <c r="L68" i="9"/>
  <c r="M68" i="9" s="1"/>
  <c r="L64" i="9"/>
  <c r="M64" i="9" s="1"/>
  <c r="C6" i="74"/>
  <c r="D15" i="53"/>
  <c r="B31" i="72" s="1"/>
  <c r="C79" i="9"/>
  <c r="D8" i="52"/>
  <c r="D123" i="9"/>
  <c r="D9" i="52" s="1"/>
  <c r="C95" i="9"/>
  <c r="C96" i="9" l="1"/>
  <c r="E96" i="9" s="1"/>
  <c r="E97" i="9" s="1"/>
  <c r="C80" i="9"/>
  <c r="E80" i="9" s="1"/>
  <c r="E81" i="9" s="1"/>
  <c r="M69" i="9"/>
  <c r="N69" i="9" s="1"/>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<sst xmlns="http://schemas.openxmlformats.org/spreadsheetml/2006/main" count="8547" uniqueCount="3593">
  <si>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</si>
  <si>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</si>
  <si>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</si>
  <si>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</si>
  <si>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</si>
  <si>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</si>
  <si>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</si>
  <si>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</si>
  <si>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</si>
  <si>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</si>
  <si>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</si>
  <si>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</si>
  <si>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</si>
  <si>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</si>
  <si>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</si>
  <si>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</si>
  <si>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</si>
  <si>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</si>
  <si>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</si>
  <si>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</si>
  <si>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</si>
  <si>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</si>
  <si>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</si>
  <si>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</si>
  <si>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</si>
  <si>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</si>
  <si>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</si>
  <si>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</si>
  <si>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</si>
  <si>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</si>
  <si>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</si>
  <si>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</si>
  <si>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</si>
  <si>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</si>
  <si>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</si>
  <si>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</si>
  <si>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</si>
  <si>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</si>
  <si>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</si>
  <si>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</si>
  <si>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</si>
  <si>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</si>
  <si>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</si>
  <si>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</si>
  <si>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</si>
  <si>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</si>
  <si>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</si>
  <si>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</si>
  <si>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</si>
  <si>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</si>
  <si>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</si>
  <si>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</si>
  <si>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</si>
  <si>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</si>
  <si>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</si>
  <si>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</si>
  <si>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</si>
  <si>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</si>
  <si>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</si>
  <si>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</si>
  <si>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</si>
  <si>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</si>
  <si>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</si>
  <si>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</si>
  <si>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</si>
  <si>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</si>
  <si>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</si>
  <si>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</si>
  <si>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</si>
  <si>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</si>
  <si>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</si>
  <si>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</si>
  <si>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</si>
  <si>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</si>
  <si>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</si>
  <si>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</si>
  <si>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</si>
  <si>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</si>
  <si>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</si>
  <si>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</si>
  <si>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</si>
  <si>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</si>
  <si>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</si>
  <si>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</si>
  <si>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</si>
  <si>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</si>
  <si>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</si>
  <si>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</si>
  <si>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</si>
  <si>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</si>
  <si>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</si>
  <si>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</si>
  <si>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</si>
  <si>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</si>
  <si>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</si>
  <si>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</si>
  <si>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</si>
  <si>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</si>
  <si>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</si>
  <si>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</si>
  <si>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</si>
  <si>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</si>
  <si>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</si>
  <si>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</si>
  <si>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</si>
  <si>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</si>
  <si>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</si>
  <si>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</si>
  <si>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</si>
  <si>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</si>
  <si>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</si>
  <si>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</si>
  <si>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</si>
  <si>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</si>
  <si>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</si>
  <si>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</si>
  <si>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</si>
  <si>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</si>
  <si>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</si>
  <si>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</si>
  <si>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</si>
  <si>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</si>
  <si>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</si>
  <si>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</si>
  <si>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</si>
  <si>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</si>
  <si>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</si>
  <si>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</si>
  <si>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</si>
  <si>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</si>
  <si>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</si>
  <si>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</si>
  <si>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</si>
  <si>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</si>
  <si>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</si>
  <si>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</si>
  <si>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</si>
  <si>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</si>
  <si>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</si>
  <si>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</si>
  <si>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</si>
  <si>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</si>
  <si>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</si>
  <si>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</si>
  <si>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</si>
  <si>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</si>
  <si>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</si>
  <si>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</si>
  <si>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</si>
  <si>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</si>
  <si>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</si>
  <si>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</si>
  <si>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</si>
  <si>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</si>
  <si>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</si>
  <si>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</si>
  <si>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</si>
  <si>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</si>
  <si>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</si>
  <si>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</si>
  <si>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</si>
  <si>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</si>
  <si>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</si>
  <si>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</si>
  <si>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</si>
  <si>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</si>
  <si>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</si>
  <si>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</si>
  <si>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</si>
  <si>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</si>
  <si>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</si>
  <si>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</si>
  <si>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</si>
  <si>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</si>
  <si>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</si>
  <si>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</si>
  <si>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</si>
  <si>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</si>
  <si>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</si>
  <si>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</si>
  <si>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</si>
  <si>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</si>
  <si>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</si>
  <si>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</si>
  <si>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</si>
  <si>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</si>
  <si>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</si>
  <si>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</si>
  <si>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</si>
  <si>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</si>
  <si>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</si>
  <si>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</si>
  <si>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</si>
  <si>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</si>
  <si>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</si>
  <si>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</si>
  <si>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</si>
  <si>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</si>
  <si>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</si>
  <si>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</si>
  <si>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</si>
  <si>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</si>
  <si>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</si>
  <si>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</si>
  <si>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</si>
  <si>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</si>
  <si>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</si>
  <si>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</si>
  <si>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</si>
  <si>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</si>
  <si>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</si>
  <si>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</si>
  <si>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</si>
  <si>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</si>
  <si>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</si>
  <si>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</si>
  <si>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</si>
  <si>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</si>
  <si>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</si>
  <si>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</si>
  <si>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</si>
  <si>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</si>
  <si>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</si>
  <si>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</si>
  <si>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</si>
  <si>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</si>
  <si>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</si>
  <si>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</si>
  <si>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</si>
  <si>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</si>
  <si>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</si>
  <si>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</si>
  <si>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</si>
  <si>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</si>
  <si>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</si>
  <si>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</si>
  <si>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</si>
  <si>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</si>
  <si>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</si>
  <si>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</si>
  <si>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</si>
  <si>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</si>
  <si>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</si>
  <si>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</si>
  <si>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</si>
  <si>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</si>
  <si>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</si>
  <si>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</si>
  <si>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</si>
  <si>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</si>
  <si>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</si>
  <si>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</si>
  <si>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</si>
  <si>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</si>
  <si>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</si>
  <si>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</si>
  <si>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</si>
  <si>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</si>
  <si>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</si>
  <si>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</si>
  <si>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</si>
  <si>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</si>
  <si>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</si>
  <si>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</si>
  <si>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</si>
  <si>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</si>
  <si>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</si>
  <si>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</si>
  <si>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</si>
  <si>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</si>
  <si>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</si>
  <si>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</si>
  <si>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</si>
  <si>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</si>
  <si>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</si>
  <si>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</si>
  <si>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</si>
  <si>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</si>
  <si>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</si>
  <si>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</si>
  <si>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</si>
  <si>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</si>
  <si>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</si>
  <si>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</si>
  <si>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</si>
  <si>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</si>
  <si>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</si>
  <si>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</si>
  <si>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</si>
  <si>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</si>
  <si>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</si>
  <si>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</si>
  <si>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</si>
  <si>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</si>
  <si>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</si>
  <si>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</si>
  <si>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</si>
  <si>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</si>
  <si>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</si>
  <si>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</si>
  <si>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</si>
  <si>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</si>
  <si>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</si>
  <si>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</si>
  <si>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</si>
  <si>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</si>
  <si>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</si>
  <si>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</si>
  <si>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</si>
  <si>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</si>
  <si>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</si>
  <si>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</si>
  <si>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</si>
  <si>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</si>
  <si>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</si>
  <si>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</si>
  <si>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</si>
  <si>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</si>
  <si>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</si>
  <si>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</si>
  <si>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</si>
  <si>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</si>
  <si>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</si>
  <si>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</si>
  <si>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</si>
  <si>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</si>
  <si>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</si>
  <si>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</si>
  <si>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</si>
  <si>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</si>
  <si>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</si>
  <si>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</si>
  <si>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</si>
  <si>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</si>
  <si>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</si>
  <si>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</si>
  <si>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</si>
  <si>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</si>
  <si>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</si>
  <si>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</si>
  <si>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</si>
  <si>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</si>
  <si>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</si>
  <si>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</si>
  <si>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</si>
  <si>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</si>
  <si>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</si>
  <si>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</si>
  <si>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</si>
  <si>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</si>
  <si>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</si>
  <si>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</si>
  <si>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</si>
  <si>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</si>
  <si>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</si>
  <si>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</si>
  <si>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</si>
  <si>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</si>
  <si>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</si>
  <si>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</si>
  <si>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</si>
  <si>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</si>
  <si>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</si>
  <si>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</si>
  <si>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</si>
  <si>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</si>
  <si>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</si>
  <si>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</si>
  <si>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</si>
  <si>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</si>
  <si>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</si>
  <si>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</si>
  <si>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</si>
  <si>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</si>
  <si>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</si>
  <si>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</si>
  <si>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</si>
  <si>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</si>
  <si>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</si>
  <si>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</si>
  <si>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</si>
  <si>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</si>
  <si>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</si>
  <si>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</si>
  <si>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</si>
  <si>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</si>
  <si>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</si>
  <si>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</si>
  <si>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</si>
  <si>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</si>
  <si>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</si>
  <si>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</si>
  <si>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</si>
  <si>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</si>
  <si>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</si>
  <si>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</si>
  <si>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</si>
  <si>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</si>
  <si>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</si>
  <si>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</si>
  <si>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</si>
  <si>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</si>
  <si>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</si>
  <si>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</si>
  <si>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</si>
  <si>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</si>
  <si>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</si>
  <si>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</si>
  <si>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</si>
  <si>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</si>
  <si>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</si>
  <si>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</si>
  <si>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</si>
  <si>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</si>
  <si>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</si>
  <si>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</si>
  <si>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</si>
  <si>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</si>
  <si>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</si>
  <si>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</si>
  <si>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</si>
  <si>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</si>
  <si>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</si>
  <si>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</si>
  <si>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</si>
  <si>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</si>
  <si>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</si>
  <si>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</si>
  <si>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</si>
  <si>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</si>
  <si>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</si>
  <si>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</si>
  <si>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</si>
  <si>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</si>
  <si>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</si>
  <si>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</si>
  <si>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</si>
  <si>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</si>
  <si>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</si>
  <si>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</si>
  <si>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</si>
  <si>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</si>
  <si>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</si>
  <si>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</si>
  <si>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</si>
  <si>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</si>
  <si>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</si>
  <si>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</si>
  <si>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</si>
  <si>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</si>
  <si>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</si>
  <si>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</si>
  <si>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</si>
  <si>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</si>
  <si>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</si>
  <si>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</si>
  <si>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</si>
  <si>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</si>
  <si>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</si>
  <si>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</si>
  <si>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</si>
  <si>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</si>
  <si>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</si>
  <si>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</si>
  <si>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</si>
  <si>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</si>
  <si>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</si>
  <si>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</si>
  <si>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</si>
  <si>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</si>
  <si>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</si>
  <si>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</si>
  <si>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</si>
  <si>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</si>
  <si>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</si>
  <si>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</si>
  <si>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</si>
  <si>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</si>
  <si>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</si>
  <si>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</si>
  <si>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</si>
  <si>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</si>
  <si>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</si>
  <si>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</si>
  <si>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</si>
  <si>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</si>
  <si>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</si>
  <si>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</si>
  <si>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</si>
  <si>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</si>
  <si>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</si>
  <si>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</si>
  <si>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</si>
  <si>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</si>
  <si>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</si>
  <si>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</si>
  <si>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</si>
  <si>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</si>
  <si>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</si>
  <si>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</si>
  <si>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</si>
  <si>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</si>
  <si>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</si>
  <si>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</si>
  <si>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</si>
  <si>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</si>
  <si>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</si>
  <si>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</si>
  <si>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</si>
  <si>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</si>
  <si>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</si>
  <si>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</si>
  <si>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</si>
  <si>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</si>
  <si>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</si>
  <si>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</si>
  <si>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</si>
  <si>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</si>
  <si>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</si>
  <si>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</si>
  <si>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</si>
  <si>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</si>
  <si>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</si>
  <si>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</si>
  <si>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</si>
  <si>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</si>
  <si>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</si>
  <si>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</si>
  <si>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</si>
  <si>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</si>
  <si>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</si>
  <si>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</si>
  <si>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</si>
  <si>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</si>
  <si>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</si>
  <si>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</si>
  <si>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</si>
  <si>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</si>
  <si>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</si>
  <si>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</si>
  <si>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</si>
  <si>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</si>
  <si>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</si>
  <si>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</si>
  <si>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</si>
  <si>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</si>
  <si>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</si>
  <si>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</si>
  <si>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</si>
  <si>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</si>
  <si>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</si>
  <si>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</si>
  <si>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</si>
  <si>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</si>
  <si>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</si>
  <si>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</si>
  <si>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</si>
  <si>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</si>
  <si>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</si>
  <si>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</si>
  <si>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</si>
  <si>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</si>
  <si>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</si>
  <si>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</si>
  <si>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</si>
  <si>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</si>
  <si>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</si>
  <si>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</si>
  <si>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</si>
  <si>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</si>
  <si>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</si>
  <si>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</si>
  <si>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</si>
  <si>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</si>
  <si>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</si>
  <si>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</si>
  <si>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</si>
  <si>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</si>
  <si>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</si>
  <si>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</si>
  <si>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</si>
  <si>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</si>
  <si>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</si>
  <si>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</si>
  <si>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</si>
  <si>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</si>
  <si>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</si>
  <si>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</si>
  <si>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</si>
  <si>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</si>
  <si>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</si>
  <si>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</si>
  <si>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</si>
  <si>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</si>
  <si>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</si>
  <si>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</si>
  <si>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</si>
  <si>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</si>
  <si>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</si>
  <si>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</si>
  <si>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</si>
  <si>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</si>
  <si>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</si>
  <si>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</si>
  <si>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</si>
  <si>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</si>
  <si>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</si>
  <si>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</si>
  <si>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</si>
  <si>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</si>
  <si>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</si>
  <si>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</si>
  <si>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</si>
  <si>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</si>
  <si>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</si>
  <si>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</si>
  <si>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</si>
  <si>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</si>
  <si>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</si>
  <si>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</si>
  <si>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</si>
  <si>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</si>
  <si>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</si>
  <si>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</si>
  <si>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</si>
  <si>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</si>
  <si>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</si>
  <si>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</si>
  <si>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</si>
  <si>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</si>
  <si>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</si>
  <si>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</si>
  <si>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</si>
  <si>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</si>
  <si>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</si>
  <si>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</si>
  <si>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</si>
  <si>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</si>
  <si>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</si>
  <si>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</si>
  <si>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</si>
  <si>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</si>
  <si>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</si>
  <si>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</si>
  <si>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</si>
  <si>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</si>
  <si>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</si>
  <si>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</si>
  <si>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</si>
  <si>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</si>
  <si>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</si>
  <si>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</si>
  <si>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</si>
  <si>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</si>
  <si>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</si>
  <si>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</si>
  <si>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</si>
  <si>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</si>
  <si>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</si>
  <si>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</si>
  <si>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</si>
  <si>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</si>
  <si>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</si>
  <si>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</si>
  <si>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</si>
  <si>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</si>
  <si>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</si>
  <si>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</si>
  <si>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</si>
  <si>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</si>
  <si>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</si>
  <si>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</si>
  <si>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</si>
  <si>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</si>
  <si>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</si>
  <si>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</si>
  <si>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</si>
  <si>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</si>
  <si>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</si>
  <si>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</si>
  <si>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</si>
  <si>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</si>
  <si>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</si>
  <si>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</si>
  <si>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</si>
  <si>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</si>
  <si>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</si>
  <si>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</si>
  <si>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</si>
  <si>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</si>
  <si>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</si>
  <si>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</si>
  <si>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</si>
  <si>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</si>
  <si>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</si>
  <si>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</si>
  <si>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</si>
  <si>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</si>
  <si>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</si>
  <si>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</si>
  <si>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</si>
  <si>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</si>
  <si>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</si>
  <si>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</si>
  <si>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</si>
  <si>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</si>
  <si>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</si>
  <si>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</si>
  <si>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</si>
  <si>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</si>
  <si>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</si>
  <si>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</si>
  <si>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</si>
  <si>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</si>
  <si>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</si>
  <si>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</si>
  <si>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</si>
  <si>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</si>
  <si>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</si>
  <si>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</si>
  <si>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</si>
  <si>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</si>
  <si>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</si>
  <si>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</si>
  <si>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</si>
  <si>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</si>
  <si>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</si>
  <si>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</si>
  <si>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</si>
  <si>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</si>
  <si>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</si>
  <si>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</si>
  <si>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</si>
  <si>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</si>
  <si>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</si>
  <si>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</si>
  <si>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</si>
  <si>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</si>
  <si>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</si>
  <si>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</si>
  <si>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</si>
  <si>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</si>
  <si>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</si>
  <si>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</si>
  <si>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</si>
  <si>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</si>
  <si>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</si>
  <si>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</si>
  <si>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</si>
  <si>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</si>
  <si>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</si>
  <si>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</si>
  <si>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</si>
  <si>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</si>
  <si>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</si>
  <si>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</si>
  <si>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</si>
  <si>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</si>
  <si>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</si>
  <si>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</si>
  <si>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</si>
  <si>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</si>
  <si>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</si>
  <si>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</si>
  <si>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</si>
  <si>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</si>
  <si>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</si>
  <si>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</si>
  <si>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</si>
  <si>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</si>
  <si>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</si>
  <si>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</si>
  <si>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</si>
  <si>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</si>
  <si>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</si>
  <si>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</si>
  <si>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</si>
  <si>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</si>
  <si>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</si>
  <si>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</si>
  <si>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</si>
  <si>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</si>
  <si>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</si>
  <si>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</si>
  <si>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</si>
  <si>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</si>
  <si>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</si>
  <si>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</si>
  <si>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</si>
  <si>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</si>
  <si>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</si>
  <si>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</si>
  <si>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</si>
  <si>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</si>
  <si>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</si>
  <si>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</si>
  <si>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</si>
  <si>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</si>
  <si>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</si>
  <si>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</si>
  <si>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</si>
  <si>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</si>
  <si>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</si>
  <si>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</si>
  <si>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</si>
  <si>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</si>
  <si>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</si>
  <si>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</si>
  <si>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</si>
  <si>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</si>
  <si>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</si>
  <si>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</si>
  <si>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</si>
  <si>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</si>
  <si>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</si>
  <si>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</si>
  <si>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</si>
  <si>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</si>
  <si>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</si>
  <si>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</si>
  <si>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</si>
  <si>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</si>
  <si>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</si>
  <si>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</si>
  <si>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</si>
  <si>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</si>
  <si>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</si>
  <si>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</si>
  <si>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</si>
  <si>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</si>
  <si>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</si>
  <si>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</si>
  <si>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</si>
  <si>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</si>
  <si>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</si>
  <si>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</si>
  <si>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</si>
  <si>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</si>
  <si>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</si>
  <si>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</si>
  <si>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</si>
  <si>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</si>
  <si>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</si>
  <si>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</si>
  <si>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</si>
  <si>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</si>
  <si>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</si>
  <si>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</si>
  <si>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</si>
  <si>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</si>
  <si>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</si>
  <si>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</si>
  <si>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</si>
  <si>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</si>
  <si>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</si>
  <si>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</si>
  <si>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</si>
  <si>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</si>
  <si>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</si>
  <si>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</si>
  <si>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</si>
  <si>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</si>
  <si>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</si>
  <si>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</si>
  <si>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</si>
  <si>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</si>
  <si>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</si>
  <si>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</si>
  <si>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</si>
  <si>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</si>
  <si>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</si>
  <si>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</si>
  <si>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</si>
  <si>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</si>
  <si>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</si>
  <si>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</si>
  <si>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</si>
  <si>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</si>
  <si>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</si>
  <si>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</si>
  <si>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</si>
  <si>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</si>
  <si>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</si>
  <si>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</si>
  <si>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</si>
  <si>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</si>
  <si>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</si>
  <si>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</si>
  <si>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</si>
  <si>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</si>
  <si>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</si>
  <si>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</si>
  <si>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</si>
  <si>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</si>
  <si>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</si>
  <si>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</si>
  <si>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</si>
  <si>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</si>
  <si>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</si>
  <si>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</si>
  <si>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</si>
  <si>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</si>
  <si>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</si>
  <si>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</si>
  <si>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</si>
  <si>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</si>
  <si>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</si>
  <si>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</si>
  <si>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</si>
  <si>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</si>
  <si>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</si>
  <si>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</si>
  <si>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</si>
  <si>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</si>
  <si>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</si>
  <si>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</si>
  <si>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</si>
  <si>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</si>
  <si>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</si>
  <si>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</si>
  <si>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</si>
  <si>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</si>
  <si>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</si>
  <si>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</si>
  <si>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</si>
  <si>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</si>
  <si>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</si>
  <si>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</si>
  <si>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</si>
  <si>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</si>
  <si>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</si>
  <si>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</si>
  <si>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</si>
  <si>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</si>
  <si>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</si>
  <si>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</si>
  <si>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</si>
  <si>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</si>
  <si>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</si>
  <si>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</si>
  <si>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</si>
  <si>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</si>
  <si>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</si>
  <si>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</si>
  <si>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</si>
  <si>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</si>
  <si>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</si>
  <si>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</si>
  <si>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</si>
  <si>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</si>
  <si>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</si>
  <si>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</si>
  <si>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</si>
  <si>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</si>
  <si>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</si>
  <si>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</si>
  <si>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</si>
  <si>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</si>
  <si>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</si>
  <si>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</si>
  <si>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</si>
  <si>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</si>
  <si>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</si>
  <si>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</si>
  <si>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</si>
  <si>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</si>
  <si>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</si>
  <si>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</si>
  <si>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</si>
  <si>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</si>
  <si>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</si>
  <si>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</si>
  <si>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</si>
  <si>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</si>
  <si>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</si>
  <si>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</si>
  <si>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</si>
  <si>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</si>
  <si>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</si>
  <si>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</si>
  <si>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</si>
  <si>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</si>
  <si>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</si>
  <si>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</si>
  <si>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</si>
  <si>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</si>
  <si>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</si>
  <si>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</si>
  <si>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</si>
  <si>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</si>
  <si>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</si>
  <si>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</si>
  <si>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</si>
  <si>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</si>
  <si>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</si>
  <si>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</si>
  <si>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</si>
  <si>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</si>
  <si>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</si>
  <si>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</si>
  <si>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</si>
  <si>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</si>
  <si>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</si>
  <si>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</si>
  <si>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</si>
  <si>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</si>
  <si>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</si>
  <si>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</si>
  <si>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</si>
  <si>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</si>
  <si>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</si>
  <si>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</si>
  <si>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</si>
  <si>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</si>
  <si>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</si>
  <si>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</si>
  <si>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</si>
  <si>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</si>
  <si>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</si>
  <si>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</si>
  <si>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</si>
  <si>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</si>
  <si>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</si>
  <si>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</si>
  <si>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</si>
  <si>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</si>
  <si>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</si>
  <si>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</si>
  <si>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</si>
  <si>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</si>
  <si>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</si>
  <si>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</si>
  <si>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</si>
  <si>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</si>
  <si>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</si>
  <si>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</si>
  <si>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</si>
  <si>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</si>
  <si>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</si>
  <si>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</si>
  <si>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</si>
  <si>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</si>
  <si>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</si>
  <si>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</si>
  <si>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</si>
  <si>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</si>
  <si>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</si>
  <si>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</si>
  <si>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</si>
  <si>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</si>
  <si>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</si>
  <si>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</si>
  <si>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</si>
  <si>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</si>
  <si>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</si>
  <si>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</si>
  <si>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</si>
  <si>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</si>
  <si>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</si>
  <si>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</si>
  <si>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</si>
  <si>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</si>
  <si>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</si>
  <si>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</si>
  <si>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</si>
  <si>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</si>
  <si>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</si>
  <si>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</si>
  <si>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</si>
  <si>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</si>
  <si>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</si>
  <si>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</si>
  <si>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</si>
  <si>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</si>
  <si>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</si>
  <si>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</si>
  <si>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</si>
  <si>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</si>
  <si>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</si>
  <si>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</si>
  <si>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</si>
  <si>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</si>
  <si>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</si>
  <si>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</si>
  <si>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</si>
  <si>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</si>
  <si>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</si>
  <si>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</si>
  <si>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</si>
  <si>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</si>
  <si>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</si>
  <si>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</si>
  <si>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</si>
  <si>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</si>
  <si>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</si>
  <si>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</si>
  <si>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</si>
  <si>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</si>
  <si>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</si>
  <si>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</si>
  <si>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</si>
  <si>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</si>
  <si>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</si>
  <si>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</si>
  <si>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</si>
  <si>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</si>
  <si>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</si>
  <si>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</si>
  <si>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</si>
  <si>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</si>
  <si>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</si>
  <si>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</si>
  <si>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</si>
  <si>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</si>
  <si>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</si>
  <si>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</si>
  <si>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</si>
  <si>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</si>
  <si>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</si>
  <si>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</si>
  <si>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</si>
  <si>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</si>
  <si>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</si>
  <si>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</si>
  <si>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</si>
  <si>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</si>
  <si>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</si>
  <si>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</si>
  <si>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</si>
  <si>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</si>
  <si>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</si>
  <si>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</si>
  <si>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</si>
  <si>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</si>
  <si>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</si>
  <si>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</si>
  <si>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</si>
  <si>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</si>
  <si>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</si>
  <si>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</si>
  <si>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</si>
  <si>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</si>
  <si>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</si>
  <si>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</si>
  <si>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</si>
  <si>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</si>
  <si>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</si>
  <si>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</si>
  <si>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</si>
  <si>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</si>
  <si>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</si>
  <si>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</si>
  <si>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</si>
  <si>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</si>
  <si>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</si>
  <si>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</si>
  <si>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</si>
  <si>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</si>
  <si>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</si>
  <si>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</si>
  <si>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</si>
  <si>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</si>
  <si>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</si>
  <si>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</si>
  <si>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</si>
  <si>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</si>
  <si>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</si>
  <si>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</si>
  <si>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</si>
  <si>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</si>
  <si>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</si>
  <si>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</si>
  <si>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</si>
  <si>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</si>
  <si>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</si>
  <si>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</si>
  <si>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</si>
  <si>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</si>
  <si>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</si>
  <si>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</si>
  <si>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</si>
  <si>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</si>
  <si>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</si>
  <si>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</si>
  <si>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</si>
  <si>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</si>
  <si>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</si>
  <si>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</si>
  <si>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</si>
  <si>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</si>
  <si>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</si>
  <si>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</si>
  <si>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</si>
  <si>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</si>
  <si>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</si>
  <si>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</si>
  <si>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</si>
  <si>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</si>
  <si>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</si>
  <si>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</si>
  <si>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</si>
  <si>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</si>
  <si>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</si>
  <si>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</si>
  <si>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</si>
  <si>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</si>
  <si>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</si>
  <si>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</si>
  <si>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</si>
  <si>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</si>
  <si>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</si>
  <si>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</si>
  <si>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</si>
  <si>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</si>
  <si>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</si>
  <si>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</si>
  <si>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</si>
  <si>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</si>
  <si>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</si>
  <si>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</si>
  <si>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</si>
  <si>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</si>
  <si>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</si>
  <si>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</si>
  <si>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</si>
  <si>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</si>
  <si>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</si>
  <si>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</si>
  <si>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</si>
  <si>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</si>
  <si>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</si>
  <si>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</si>
  <si>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</si>
  <si>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</si>
  <si>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</si>
  <si>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</si>
  <si>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</si>
  <si>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</si>
  <si>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</si>
  <si>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</si>
  <si>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</si>
  <si>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</si>
  <si>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</si>
  <si>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</si>
  <si>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</si>
  <si>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</si>
  <si>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</si>
  <si>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</si>
  <si>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</si>
  <si>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</si>
  <si>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</si>
  <si>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</si>
  <si>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</si>
  <si>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</si>
  <si>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</si>
  <si>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</si>
  <si>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</si>
  <si>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</si>
  <si>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</si>
  <si>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</si>
  <si>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</si>
  <si>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</si>
  <si>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</si>
  <si>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</si>
  <si>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</si>
  <si>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</si>
  <si>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</si>
  <si>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</si>
  <si>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</si>
  <si>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</si>
  <si>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</si>
  <si>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</si>
  <si>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</si>
  <si>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</si>
  <si>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</si>
  <si>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</si>
  <si>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</si>
  <si>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</si>
  <si>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</si>
  <si>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</si>
  <si>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</si>
  <si>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</si>
  <si>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</si>
  <si>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</si>
  <si>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</si>
  <si>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</si>
  <si>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</si>
  <si>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</si>
  <si>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</si>
  <si>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</si>
  <si>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</si>
  <si>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</si>
  <si>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</si>
  <si>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</si>
  <si>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</si>
  <si>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</si>
  <si>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</si>
  <si>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</si>
  <si>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</si>
  <si>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</si>
  <si>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</si>
  <si>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</si>
  <si>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</si>
  <si>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</si>
  <si>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</si>
  <si>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</si>
  <si>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</si>
  <si>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</si>
  <si>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</si>
  <si>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</si>
  <si>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</si>
  <si>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</si>
  <si>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</si>
  <si>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</si>
  <si>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</si>
  <si>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</si>
  <si>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</si>
  <si>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</si>
  <si>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</si>
  <si>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</si>
  <si>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</si>
  <si>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</si>
  <si>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</si>
  <si>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</si>
  <si>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</si>
  <si>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</si>
  <si>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</si>
  <si>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</si>
  <si>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</si>
  <si>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</si>
  <si>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</si>
  <si>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</si>
  <si>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</si>
  <si>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</si>
  <si>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</si>
  <si>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</si>
  <si>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</si>
  <si>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</si>
  <si>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</si>
  <si>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</si>
  <si>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</si>
  <si>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</si>
  <si>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</si>
  <si>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</si>
  <si>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</si>
  <si>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</si>
  <si>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</si>
  <si>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</si>
  <si>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</si>
  <si>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</si>
  <si>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</si>
  <si>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</si>
  <si>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</si>
  <si>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</si>
  <si>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</si>
  <si>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</si>
  <si>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</si>
  <si>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</si>
  <si>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</si>
  <si>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</si>
  <si>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</si>
  <si>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</si>
  <si>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</si>
  <si>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</si>
  <si>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</si>
  <si>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</si>
  <si>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</si>
  <si>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</si>
  <si>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</si>
  <si>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</si>
  <si>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</si>
  <si>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</si>
  <si>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</si>
  <si>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</si>
  <si>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</si>
  <si>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</si>
  <si>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</si>
  <si>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</si>
  <si>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</si>
  <si>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</si>
  <si>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</si>
  <si>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</si>
  <si>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</si>
  <si>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</si>
  <si>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</si>
  <si>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</si>
  <si>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</si>
  <si>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</si>
  <si>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</si>
  <si>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</si>
  <si>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</si>
  <si>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</si>
  <si>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</si>
  <si>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</si>
  <si>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</si>
  <si>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</si>
  <si>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</si>
  <si>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</si>
  <si>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</si>
  <si>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</si>
  <si>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</si>
  <si>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</si>
  <si>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</si>
  <si>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</si>
  <si>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</si>
  <si>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</si>
  <si>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</si>
  <si>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</si>
  <si>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</si>
  <si>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</si>
  <si>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</si>
  <si>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</si>
  <si>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</si>
  <si>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</si>
  <si>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</si>
  <si>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</si>
  <si>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</si>
  <si>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</si>
  <si>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</si>
  <si>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</si>
  <si>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</si>
  <si>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</si>
  <si>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</si>
  <si>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</si>
  <si>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</si>
  <si>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</si>
  <si>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</si>
  <si>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</si>
  <si>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</si>
  <si>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</si>
  <si>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</si>
  <si>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</si>
  <si>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</si>
  <si>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</si>
  <si>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</si>
  <si>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</si>
  <si>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</si>
  <si>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</si>
  <si>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</si>
  <si>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</si>
  <si>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</si>
  <si>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</si>
  <si>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</si>
  <si>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</si>
  <si>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</si>
  <si>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</si>
  <si>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</si>
  <si>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</si>
  <si>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</si>
  <si>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</si>
  <si>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</si>
  <si>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</si>
  <si>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</si>
  <si>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</si>
  <si>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</si>
  <si>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</si>
  <si>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</si>
  <si>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</si>
  <si>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</si>
  <si>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</si>
  <si>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</si>
  <si>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</si>
  <si>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</si>
  <si>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</si>
  <si>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</si>
  <si>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</si>
  <si>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</si>
  <si>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</si>
  <si>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</si>
  <si>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</si>
  <si>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</si>
  <si>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</si>
  <si>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</si>
  <si>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</si>
  <si>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</si>
  <si>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</si>
  <si>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</si>
  <si>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</si>
  <si>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</si>
  <si>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</si>
  <si>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</si>
  <si>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</si>
  <si>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</si>
  <si>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</si>
  <si>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</si>
  <si>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</si>
  <si>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</si>
  <si>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</si>
  <si>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</si>
  <si>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</si>
  <si>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</si>
  <si>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</si>
  <si>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</si>
  <si>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</si>
  <si>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</si>
  <si>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</si>
  <si>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</si>
  <si>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</si>
  <si>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</si>
  <si>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</si>
  <si>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</si>
  <si>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</si>
  <si>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</si>
  <si>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</si>
  <si>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</si>
  <si>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</si>
  <si>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</si>
  <si>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</si>
  <si>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</si>
  <si>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</si>
  <si>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</si>
  <si>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</si>
  <si>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</si>
  <si>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</si>
  <si>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</si>
  <si>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</si>
  <si>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</si>
  <si>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</si>
  <si>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</si>
  <si>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</si>
  <si>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</si>
  <si>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</si>
  <si>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</si>
  <si>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</si>
  <si>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</si>
  <si>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</si>
  <si>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</si>
  <si>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</si>
  <si>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</si>
  <si>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</si>
  <si>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</si>
  <si>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</si>
  <si>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</si>
  <si>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</si>
  <si>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</si>
  <si>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</si>
  <si>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</si>
  <si>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</si>
  <si>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</si>
  <si>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</si>
  <si>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</si>
  <si>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</si>
  <si>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</si>
  <si>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</si>
  <si>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</si>
  <si>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</si>
  <si>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</si>
  <si>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</si>
  <si>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</si>
  <si>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</si>
  <si>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</si>
  <si>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</si>
  <si>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</si>
  <si>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</si>
  <si>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</si>
  <si>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</si>
  <si>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</si>
  <si>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</si>
  <si>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</si>
  <si>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</si>
  <si>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</si>
  <si>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</si>
  <si>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</si>
  <si>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</si>
  <si>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</si>
  <si>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</si>
  <si>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</si>
  <si>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</si>
  <si>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</si>
  <si>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</si>
  <si>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</si>
  <si>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</si>
  <si>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</si>
  <si>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</si>
  <si>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</si>
  <si>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</si>
  <si>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</si>
  <si>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</si>
  <si>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</si>
  <si>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</si>
  <si>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</si>
  <si>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</si>
  <si>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</si>
  <si>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</si>
  <si>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</si>
  <si>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</si>
  <si>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</si>
  <si>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</si>
  <si>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</si>
  <si>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</si>
  <si>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</si>
  <si>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</si>
  <si>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</si>
  <si>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</si>
  <si>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</si>
  <si>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</si>
  <si>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</si>
  <si>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</si>
  <si>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</si>
  <si>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</si>
  <si>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</si>
  <si>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</si>
  <si>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</si>
  <si>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</si>
  <si>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</si>
  <si>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</si>
  <si>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</si>
  <si>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</si>
  <si>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</si>
  <si>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</si>
  <si>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</si>
  <si>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</si>
  <si>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</si>
  <si>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</si>
  <si>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</si>
  <si>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</si>
  <si>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</si>
  <si>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</si>
  <si>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</si>
  <si>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</si>
  <si>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</si>
  <si>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</si>
  <si>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</si>
  <si>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</si>
  <si>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</si>
  <si>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</si>
  <si>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</si>
  <si>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</si>
  <si>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</si>
  <si>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</si>
  <si>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</si>
  <si>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</si>
  <si>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</si>
  <si>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</si>
  <si>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</si>
  <si>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</si>
  <si>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</si>
  <si>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</si>
  <si>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</si>
  <si>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</si>
  <si>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</si>
  <si>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</si>
  <si>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</si>
  <si>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</si>
  <si>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</si>
  <si>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</si>
  <si>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</si>
  <si>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</si>
  <si>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</si>
  <si>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</si>
  <si>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</si>
  <si>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</si>
  <si>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</si>
  <si>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</si>
  <si>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</si>
  <si>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</si>
  <si>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</si>
  <si>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</si>
  <si>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</si>
  <si>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</si>
  <si>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</si>
  <si>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</si>
  <si>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</si>
  <si>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</si>
  <si>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</si>
  <si>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</si>
  <si>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</si>
  <si>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</si>
  <si>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</si>
  <si>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</si>
  <si>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</si>
  <si>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</si>
  <si>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</si>
  <si>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</si>
  <si>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</si>
  <si>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</si>
  <si>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</si>
  <si>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</si>
  <si>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</si>
  <si>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</si>
  <si>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</si>
  <si>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</si>
  <si>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</si>
  <si>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</si>
  <si>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</si>
  <si>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</si>
  <si>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</si>
  <si>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</si>
  <si>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</si>
  <si>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</si>
  <si>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</si>
  <si>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</si>
  <si>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</si>
  <si>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</si>
  <si>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</si>
  <si>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</si>
  <si>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</si>
  <si>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</si>
  <si>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</si>
  <si>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</si>
  <si>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</si>
  <si>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</si>
  <si>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</si>
  <si>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</si>
  <si>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</si>
  <si>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</si>
  <si>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</si>
  <si>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</si>
  <si>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</si>
  <si>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</si>
  <si>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</si>
  <si>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</si>
  <si>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</si>
  <si>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</si>
  <si>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</si>
  <si>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</si>
  <si>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</si>
  <si>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</si>
  <si>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</si>
  <si>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</si>
  <si>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</si>
  <si>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</si>
  <si>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</si>
  <si>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</si>
  <si>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</si>
  <si>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</si>
  <si>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</si>
  <si>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</si>
  <si>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</si>
  <si>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</si>
  <si>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</si>
  <si>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</si>
  <si>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</si>
  <si>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</si>
  <si>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</si>
  <si>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</si>
  <si>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</si>
  <si>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</si>
  <si>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</si>
  <si>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</si>
  <si>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</si>
  <si>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</si>
  <si>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</si>
  <si>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</si>
  <si>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</si>
  <si>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</si>
  <si>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</si>
  <si>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</si>
  <si>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</si>
  <si>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</si>
  <si>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</si>
  <si>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</si>
  <si>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</si>
  <si>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</si>
  <si>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</si>
  <si>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</si>
  <si>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</si>
  <si>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</si>
  <si>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</si>
  <si>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</si>
  <si>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</si>
  <si>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</si>
  <si>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</si>
  <si>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</si>
  <si>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</si>
  <si>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</si>
  <si>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</si>
  <si>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</si>
  <si>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</si>
  <si>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</si>
  <si>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</si>
  <si>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</si>
  <si>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</si>
  <si>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</si>
  <si>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</si>
  <si>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</si>
  <si>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</si>
  <si>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</si>
  <si>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</si>
  <si>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</si>
  <si>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</si>
  <si>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</si>
  <si>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</si>
  <si>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</si>
  <si>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</si>
  <si>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</si>
  <si>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</si>
  <si>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</si>
  <si>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</si>
  <si>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</si>
  <si>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</si>
  <si>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</si>
  <si>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</si>
  <si>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</si>
  <si>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</si>
  <si>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</si>
  <si>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</si>
  <si>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</si>
  <si>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</si>
  <si>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</si>
  <si>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</si>
  <si>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</si>
  <si>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</si>
  <si>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</si>
  <si>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</si>
  <si>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</si>
  <si>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</si>
  <si>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</si>
  <si>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</si>
  <si>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</si>
  <si>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</si>
  <si>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</si>
  <si>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</si>
  <si>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</si>
  <si>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</si>
  <si>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</si>
  <si>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</si>
  <si>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</si>
  <si>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</si>
  <si>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</si>
  <si>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</si>
  <si>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</si>
  <si>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</si>
  <si>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</si>
  <si>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</si>
  <si>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</si>
  <si>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</si>
  <si>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</si>
  <si>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</si>
  <si>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</si>
  <si>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</si>
  <si>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</si>
  <si>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</si>
  <si>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</si>
  <si>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</si>
  <si>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</si>
  <si>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</si>
  <si>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</si>
  <si>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</si>
  <si>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</si>
  <si>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</si>
  <si>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</si>
  <si>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</si>
  <si>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</si>
  <si>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</si>
  <si>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</si>
  <si>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</si>
  <si>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</si>
  <si>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</si>
  <si>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</si>
  <si>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</si>
  <si>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</si>
  <si>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</si>
  <si>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</si>
  <si>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</si>
  <si>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</si>
  <si>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</si>
  <si>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</si>
  <si>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</si>
  <si>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</si>
  <si>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</si>
  <si>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</si>
  <si>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</si>
  <si>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</si>
  <si>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</si>
  <si>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</si>
  <si>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</si>
  <si>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</si>
  <si>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</si>
  <si>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</si>
  <si>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</si>
  <si>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</si>
  <si>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</si>
  <si>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</si>
  <si>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</si>
  <si>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</si>
  <si>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</si>
  <si>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</si>
  <si>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</si>
  <si>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</si>
  <si>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</si>
  <si>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</si>
  <si>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</si>
  <si>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</si>
  <si>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</si>
  <si>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</si>
  <si>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</si>
  <si>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</si>
  <si>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</si>
  <si>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</si>
  <si>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</si>
  <si>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</si>
  <si>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</si>
  <si>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</si>
  <si>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</si>
  <si>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</si>
  <si>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</si>
  <si>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</si>
  <si>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</si>
  <si>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</si>
  <si>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</si>
  <si>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</si>
  <si>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</si>
  <si>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</si>
  <si>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</si>
  <si>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</si>
  <si>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</si>
  <si>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</si>
  <si>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</si>
  <si>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</si>
  <si>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</si>
  <si>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</si>
  <si>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</si>
  <si>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</si>
  <si>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</si>
  <si>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</si>
  <si>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</si>
  <si>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</si>
  <si>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</si>
  <si>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</si>
  <si>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</si>
  <si>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</si>
  <si>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</si>
  <si>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</si>
  <si>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</si>
  <si>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</si>
  <si>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</si>
  <si>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</si>
  <si>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</si>
  <si>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</si>
  <si>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</si>
  <si>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</si>
  <si>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</si>
  <si>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</si>
  <si>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</si>
  <si>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</si>
  <si>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</si>
  <si>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</si>
  <si>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</si>
  <si>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</si>
  <si>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</si>
  <si>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</si>
  <si>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</si>
  <si>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</si>
  <si>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</si>
  <si>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</si>
  <si>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</si>
  <si>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</si>
  <si>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</si>
  <si>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</si>
  <si>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</si>
  <si>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</si>
  <si>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</si>
  <si>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</si>
  <si>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</si>
  <si>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</si>
  <si>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</si>
  <si>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</si>
  <si>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</si>
  <si>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</si>
  <si>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</si>
  <si>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</si>
  <si>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</si>
  <si>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</si>
  <si>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</si>
  <si>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</si>
  <si>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</si>
  <si>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</si>
  <si>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</si>
  <si>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</si>
  <si>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</si>
  <si>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</si>
  <si>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</si>
  <si>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</si>
  <si>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</si>
  <si>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</si>
  <si>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</si>
  <si>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</si>
  <si>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</si>
  <si>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</si>
  <si>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</si>
  <si>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</si>
  <si>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</si>
  <si>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</si>
  <si>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</si>
  <si>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</si>
  <si>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</si>
  <si>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</si>
  <si>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</si>
  <si>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</si>
  <si>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</si>
  <si>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</si>
  <si>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</si>
  <si>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</si>
  <si>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</si>
  <si>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</si>
  <si>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</si>
  <si>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</si>
  <si>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</si>
  <si>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</si>
  <si>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</si>
  <si>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</si>
  <si>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</si>
  <si>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</si>
  <si>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</si>
  <si>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</si>
  <si>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</si>
  <si>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</si>
  <si>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</si>
  <si>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</si>
  <si>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</si>
  <si>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</si>
  <si>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</si>
  <si>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</si>
  <si>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</si>
  <si>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</si>
  <si>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</si>
  <si>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</si>
  <si>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</si>
  <si>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</si>
  <si>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</si>
  <si>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</si>
  <si>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</si>
  <si>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</si>
  <si>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</si>
  <si>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</si>
  <si>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</si>
  <si>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</si>
  <si>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</si>
  <si>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</si>
  <si>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</si>
  <si>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</si>
  <si>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</si>
  <si>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</si>
  <si>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</si>
  <si>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</si>
  <si>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</si>
  <si>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</si>
  <si>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</si>
  <si>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</si>
  <si>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</si>
  <si>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</si>
  <si>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</si>
  <si>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</si>
  <si>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</si>
  <si>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</si>
  <si>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</si>
  <si>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</si>
  <si>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</si>
  <si>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</si>
  <si>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</si>
  <si>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</si>
  <si>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</si>
  <si>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</si>
  <si>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</si>
  <si>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</si>
  <si>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</si>
  <si>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</si>
  <si>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</si>
  <si>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</si>
  <si>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</si>
  <si>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</si>
  <si>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</si>
  <si>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</si>
  <si>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</si>
  <si>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</si>
  <si>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</si>
  <si>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</si>
  <si>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</si>
  <si>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</si>
  <si>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</si>
  <si>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</si>
  <si>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</si>
  <si>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</si>
  <si>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</si>
  <si>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</si>
  <si>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</si>
  <si>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</si>
  <si>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</si>
  <si>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</si>
  <si>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</si>
  <si>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</si>
  <si>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</si>
  <si>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</si>
  <si>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</si>
  <si>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</si>
  <si>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</si>
  <si>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</si>
  <si>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</si>
  <si>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</si>
  <si>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</si>
  <si>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</si>
  <si>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</si>
  <si>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</si>
  <si>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</si>
  <si>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</si>
  <si>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</si>
  <si>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</si>
  <si>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</si>
  <si>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</si>
  <si>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</si>
  <si>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</si>
  <si>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</si>
  <si>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</si>
  <si>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</si>
  <si>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</si>
  <si>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</si>
  <si>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</si>
  <si>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</si>
  <si>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</si>
  <si>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</si>
  <si>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</si>
  <si>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</si>
  <si>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</si>
  <si>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</si>
  <si>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</si>
  <si>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</si>
  <si>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</si>
  <si>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</si>
  <si>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</si>
  <si>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</si>
  <si>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</si>
  <si>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</si>
  <si>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</si>
  <si>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</si>
  <si>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</si>
  <si>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</si>
  <si>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</si>
  <si>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</si>
  <si>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</si>
  <si>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</si>
  <si>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</si>
  <si>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</si>
  <si>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</si>
  <si>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</si>
  <si>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</si>
  <si>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</si>
  <si>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</si>
  <si>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</si>
  <si>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</si>
  <si>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</si>
  <si>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</si>
  <si>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</si>
  <si>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</si>
  <si>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</si>
  <si>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</si>
  <si>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</si>
  <si>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</si>
  <si>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</si>
  <si>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</si>
  <si>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</si>
  <si>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</si>
  <si>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</si>
  <si>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</si>
  <si>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</si>
  <si>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</si>
  <si>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</si>
  <si>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</si>
  <si>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</si>
  <si>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</si>
  <si>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</si>
  <si>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</si>
  <si>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</si>
  <si>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</si>
  <si>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</si>
  <si>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</si>
  <si>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</si>
  <si>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</si>
  <si>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</si>
  <si>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</si>
  <si>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</si>
  <si>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</si>
  <si>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</si>
  <si>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</si>
  <si>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</si>
  <si>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</si>
  <si>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</si>
  <si>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</si>
  <si>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</si>
  <si>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</si>
  <si>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</si>
  <si>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</si>
  <si>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</si>
  <si>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</si>
  <si>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</si>
  <si>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</si>
  <si>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</si>
  <si>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</si>
  <si>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</si>
  <si>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</si>
  <si>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</si>
  <si>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</si>
  <si>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</si>
  <si>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</si>
  <si>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</si>
  <si>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</si>
  <si>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</si>
  <si>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</si>
  <si>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</si>
  <si>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</si>
  <si>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</si>
  <si>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</si>
  <si>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</si>
  <si>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</si>
  <si>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</si>
  <si>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</si>
  <si>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</si>
  <si>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</si>
  <si>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</si>
  <si>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</si>
  <si>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</si>
  <si>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</si>
  <si>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</si>
  <si>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</si>
  <si>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</si>
  <si>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</si>
  <si>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</si>
  <si>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</si>
  <si>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</si>
  <si>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</si>
  <si>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</si>
  <si>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</si>
  <si>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</si>
  <si>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</si>
  <si>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</si>
  <si>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</si>
  <si>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</si>
  <si>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</si>
  <si>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</si>
  <si>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</si>
  <si>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</si>
  <si>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</si>
  <si>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</si>
  <si>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</si>
  <si>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</si>
  <si>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</si>
  <si>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</si>
  <si>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</si>
  <si>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</si>
  <si>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</si>
  <si>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</si>
  <si>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</si>
  <si>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</si>
  <si>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</si>
  <si>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</si>
  <si>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</si>
  <si>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</si>
  <si>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</si>
  <si>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</si>
  <si>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</si>
  <si>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</si>
  <si>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</si>
  <si>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</si>
  <si>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</si>
  <si>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</si>
  <si>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</si>
  <si>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</si>
  <si>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</si>
  <si>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</si>
  <si>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</si>
  <si>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</si>
  <si>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</si>
  <si>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</si>
  <si>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</si>
  <si>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</si>
  <si>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</si>
  <si>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</si>
  <si>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</si>
  <si>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</si>
  <si>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</si>
  <si>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</si>
  <si>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</si>
  <si>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</si>
  <si>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</si>
  <si>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</si>
  <si>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</si>
  <si>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</si>
  <si>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</si>
  <si>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</si>
  <si>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</si>
  <si>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</si>
  <si>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</si>
  <si>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</si>
  <si>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</si>
  <si>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</si>
  <si>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</si>
  <si>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</si>
  <si>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</si>
  <si>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</si>
  <si>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</si>
  <si>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</si>
  <si>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</si>
  <si>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</si>
  <si>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</si>
  <si>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</si>
  <si>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</si>
  <si>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</si>
  <si>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</si>
  <si>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</si>
  <si>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</si>
  <si>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</si>
  <si>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</si>
  <si>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</si>
  <si>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</si>
  <si>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</si>
  <si>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</si>
  <si>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</si>
  <si>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</si>
  <si>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</si>
  <si>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</si>
  <si>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</si>
  <si>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</si>
  <si>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</si>
  <si>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</si>
  <si>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</si>
  <si>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</si>
  <si>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</si>
  <si>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</si>
  <si>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</si>
  <si>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</si>
  <si>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</si>
  <si>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</si>
  <si>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</si>
  <si>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</si>
  <si>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</si>
  <si>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</si>
  <si>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</si>
  <si>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</si>
  <si>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</si>
  <si>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</si>
  <si>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</si>
  <si>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</si>
  <si>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</si>
  <si>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</si>
  <si>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</si>
  <si>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</si>
  <si>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</si>
  <si>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</si>
  <si>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</si>
  <si>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</si>
  <si>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</si>
  <si>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</si>
  <si>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</si>
  <si>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</si>
  <si>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</si>
  <si>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</si>
  <si>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</si>
  <si>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</si>
  <si>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</si>
  <si>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</si>
  <si>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</si>
  <si>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</si>
  <si>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</si>
  <si>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</si>
  <si>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</si>
  <si>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</si>
  <si>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</si>
  <si>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</si>
  <si>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</si>
  <si>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</si>
  <si>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</si>
  <si>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</si>
  <si>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</si>
  <si>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</si>
  <si>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</si>
  <si>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</si>
  <si>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</si>
  <si>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</si>
  <si>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</si>
  <si>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</si>
  <si>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</si>
  <si>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</si>
  <si>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</si>
  <si>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</si>
  <si>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</si>
  <si>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</si>
  <si>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</si>
  <si>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</si>
  <si>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</si>
  <si>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</si>
  <si>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</si>
  <si>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</si>
  <si>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</si>
  <si>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</si>
  <si>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</si>
  <si>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</si>
  <si>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</si>
  <si>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</si>
  <si>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</si>
  <si>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</si>
  <si>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</si>
  <si>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</si>
  <si>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</si>
  <si>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</si>
  <si>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</si>
  <si>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</si>
  <si>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</si>
  <si>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</si>
  <si>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</si>
  <si>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</si>
  <si>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</si>
  <si>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</si>
  <si>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</si>
  <si>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</si>
  <si>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</si>
  <si>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</si>
  <si>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</si>
  <si>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</si>
  <si>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</si>
  <si>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</si>
  <si>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</si>
  <si>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</si>
  <si>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</si>
  <si>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</si>
  <si>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</si>
  <si>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</si>
  <si>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</si>
  <si>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</si>
  <si>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</si>
  <si>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</si>
  <si>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</si>
  <si>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</si>
  <si>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</si>
  <si>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</si>
  <si>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</si>
  <si>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</si>
  <si>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</si>
  <si>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</si>
  <si>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</si>
  <si>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</si>
  <si>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</si>
  <si>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</si>
  <si>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</si>
  <si>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</si>
  <si>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</si>
  <si>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</si>
  <si>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</si>
  <si>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</si>
  <si>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</si>
  <si>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</si>
  <si>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</si>
  <si>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</si>
  <si>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</si>
  <si>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</si>
  <si>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</si>
  <si>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</si>
  <si>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</si>
  <si>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</si>
  <si>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</si>
  <si>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</si>
  <si>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</si>
  <si>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</si>
  <si>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</si>
  <si>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</si>
  <si>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</si>
  <si>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</si>
  <si>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</si>
  <si>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</si>
  <si>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</si>
  <si>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</si>
  <si>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</si>
  <si>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</si>
  <si>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</si>
  <si>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</si>
  <si>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</si>
  <si>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</si>
  <si>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</si>
  <si>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</si>
  <si>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</si>
  <si>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</si>
  <si>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</si>
  <si>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</si>
  <si>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</si>
  <si>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</si>
  <si>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</si>
  <si>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</si>
  <si>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</si>
  <si>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</si>
  <si>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</si>
  <si>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</si>
  <si>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</si>
  <si>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</si>
  <si>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</si>
  <si>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</si>
  <si>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</si>
  <si>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</si>
  <si>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</si>
  <si>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</si>
  <si>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</si>
  <si>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</si>
  <si>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</si>
  <si>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</si>
  <si>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</si>
  <si>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</si>
  <si>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</si>
  <si>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</si>
  <si>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</si>
  <si>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</si>
  <si>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</si>
  <si>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</si>
  <si>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</si>
  <si>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</si>
  <si>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</si>
  <si>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</si>
  <si>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</si>
  <si>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</si>
  <si>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</si>
  <si>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</si>
  <si>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</si>
  <si>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</si>
  <si>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</si>
  <si>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</si>
  <si>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</si>
  <si>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</si>
  <si>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</si>
  <si>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</si>
  <si>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</si>
  <si>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</si>
  <si>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</si>
  <si>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</si>
  <si>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</si>
  <si>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</si>
  <si>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</si>
  <si>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</si>
  <si>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</si>
  <si>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</si>
  <si>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</si>
  <si>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</si>
  <si>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</si>
  <si>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</si>
  <si>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</si>
  <si>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</si>
  <si>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</si>
  <si>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</si>
  <si>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</si>
  <si>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</si>
  <si>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</si>
  <si>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</si>
  <si>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</si>
  <si>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</si>
  <si>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</si>
  <si>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</si>
  <si>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</si>
  <si>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</si>
  <si>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</si>
  <si>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</si>
  <si>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</si>
  <si>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</si>
  <si>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</si>
  <si>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</si>
  <si>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</si>
  <si>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</si>
  <si>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</si>
  <si>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</si>
  <si>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</si>
  <si>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</si>
  <si>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</si>
  <si>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</si>
  <si>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</si>
  <si>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</si>
  <si>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</si>
  <si>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</si>
  <si>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</si>
  <si>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</si>
  <si>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</si>
  <si>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</si>
  <si>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</si>
  <si>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</si>
  <si>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</si>
  <si>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</si>
  <si>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</si>
  <si>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</si>
  <si>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</si>
  <si>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</si>
  <si>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</si>
  <si>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</si>
  <si>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</si>
  <si>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</si>
  <si>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</si>
  <si>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</si>
  <si>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</si>
  <si>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</si>
  <si>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</si>
  <si>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</si>
  <si>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</si>
  <si>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</si>
  <si>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</si>
  <si>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</si>
  <si>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</si>
  <si>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</si>
  <si>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</si>
  <si>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</si>
  <si>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</si>
  <si>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</si>
  <si>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</si>
  <si>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</si>
  <si>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</si>
  <si>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</si>
  <si>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</si>
  <si>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</si>
  <si>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</si>
  <si>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</si>
  <si>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</si>
  <si>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</si>
  <si>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</si>
  <si>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</si>
  <si>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</si>
  <si>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</si>
  <si>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</si>
  <si>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</si>
  <si>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</si>
  <si>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</si>
  <si>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</si>
  <si>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</si>
  <si>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</si>
  <si>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</si>
  <si>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</si>
  <si>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</si>
  <si>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</si>
  <si>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</si>
  <si>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</si>
  <si>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</si>
  <si>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</si>
  <si>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</si>
  <si>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</si>
  <si>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</si>
  <si>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</si>
  <si>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</si>
  <si>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</si>
  <si>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</si>
  <si>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</si>
  <si>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</si>
  <si>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</si>
  <si>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</si>
  <si>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</si>
  <si>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</si>
  <si>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</si>
  <si>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</si>
  <si>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</si>
  <si>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</si>
  <si>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</si>
  <si>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</si>
  <si>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</si>
  <si>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</si>
  <si>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</si>
  <si>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</si>
  <si>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</si>
  <si>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</si>
  <si>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</si>
  <si>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</si>
  <si>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</si>
  <si>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</si>
  <si>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</si>
  <si>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</si>
  <si>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</si>
  <si>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</si>
  <si>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</si>
  <si>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</si>
  <si>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</si>
  <si>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</si>
  <si>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</si>
  <si>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</si>
  <si>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</si>
  <si>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</si>
  <si>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</si>
  <si>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</si>
  <si>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</si>
  <si>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</si>
  <si>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</si>
  <si>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</si>
  <si>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</si>
  <si>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</si>
  <si>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</si>
  <si>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</si>
  <si>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</si>
  <si>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</si>
  <si>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</si>
  <si>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</si>
  <si>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</si>
  <si>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</si>
  <si>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</si>
  <si>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</si>
  <si>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</si>
  <si>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</si>
  <si>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</si>
  <si>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</si>
  <si>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</si>
  <si>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</si>
  <si>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</si>
  <si>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</si>
  <si>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</si>
  <si>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</si>
  <si>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</si>
  <si>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</si>
  <si>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</si>
  <si>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</si>
  <si>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</si>
  <si>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</si>
  <si>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</si>
  <si>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</si>
  <si>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</si>
  <si>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</si>
  <si>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</si>
  <si>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</si>
  <si>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</si>
  <si>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</si>
  <si>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</si>
  <si>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</si>
  <si>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</si>
  <si>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</si>
  <si>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</si>
  <si>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</si>
  <si>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</si>
  <si>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</si>
  <si>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</si>
  <si>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</si>
  <si>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</si>
  <si>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</si>
  <si>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</si>
  <si>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</si>
  <si>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</si>
  <si>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</si>
  <si>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</si>
  <si>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</si>
  <si>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</si>
  <si>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</si>
  <si>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</si>
  <si>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</si>
  <si>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</si>
  <si>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</si>
  <si>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</si>
  <si>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</si>
  <si>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</si>
  <si>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</si>
  <si>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</si>
  <si>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</si>
  <si>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</si>
  <si>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</si>
  <si>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</si>
  <si>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</si>
  <si>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</si>
  <si>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</si>
  <si>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</si>
  <si>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</si>
  <si>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</si>
  <si>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</si>
  <si>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</si>
  <si>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</si>
  <si>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</si>
  <si>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</si>
  <si>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</si>
  <si>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</si>
  <si>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</si>
  <si>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</si>
  <si>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</si>
  <si>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</si>
  <si>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</si>
  <si>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</si>
  <si>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</si>
  <si>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</si>
  <si>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</si>
  <si>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</si>
  <si>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</si>
  <si>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</si>
  <si>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</si>
  <si>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</si>
  <si>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</si>
  <si>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</si>
  <si>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</si>
  <si>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</si>
  <si>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</si>
  <si>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</si>
  <si>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</si>
  <si>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</si>
  <si>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</si>
  <si>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</si>
  <si>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</si>
  <si>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</si>
  <si>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</si>
  <si>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</si>
  <si>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</si>
  <si>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</si>
  <si>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</si>
  <si>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</si>
  <si>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</si>
  <si>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</si>
  <si>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</si>
  <si>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</si>
  <si>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</si>
  <si>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</si>
  <si>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</si>
  <si>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</si>
  <si>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</si>
  <si>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</si>
  <si>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</si>
  <si>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</si>
  <si>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</si>
  <si>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</si>
  <si>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</si>
  <si>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</si>
  <si>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</si>
  <si>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</si>
  <si>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</si>
  <si>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</si>
  <si>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</si>
  <si>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</si>
  <si>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</si>
  <si>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</si>
  <si>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</si>
  <si>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</si>
  <si>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</si>
  <si>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</si>
  <si>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</si>
  <si>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</si>
  <si>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</si>
  <si>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</si>
  <si>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</si>
  <si>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</si>
  <si>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</si>
  <si>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</si>
  <si>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</si>
  <si>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</si>
  <si>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</si>
  <si>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</si>
  <si>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</si>
  <si>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</si>
  <si>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</si>
  <si>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</si>
  <si>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</si>
  <si>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</si>
  <si>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</si>
  <si>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</si>
  <si>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</si>
  <si>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</si>
  <si>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</si>
  <si>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</si>
  <si>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</si>
  <si>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</si>
  <si>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</si>
  <si>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</si>
  <si>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</si>
  <si>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</si>
  <si>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</si>
  <si>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</si>
  <si>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</si>
  <si>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</si>
  <si>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</si>
  <si>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</si>
  <si>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</si>
  <si>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</si>
  <si>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</si>
  <si>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</si>
  <si>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</si>
  <si>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</si>
  <si>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</si>
  <si>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</si>
  <si>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</si>
  <si>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</si>
  <si>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</si>
  <si>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</si>
  <si>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</si>
  <si>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</si>
  <si>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</si>
  <si>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</si>
  <si>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</si>
  <si>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</si>
  <si>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</si>
  <si>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</si>
  <si>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</si>
  <si>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</si>
  <si>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</si>
  <si>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</si>
  <si>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</si>
  <si>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</si>
  <si>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</si>
  <si>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</si>
  <si>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</si>
  <si>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</si>
  <si>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</si>
  <si>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</si>
  <si>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</si>
  <si>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</si>
  <si>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</si>
  <si>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</si>
  <si>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</si>
  <si>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</si>
  <si>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</si>
  <si>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</si>
  <si>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</si>
  <si>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</si>
  <si>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</si>
  <si>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</si>
  <si>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</si>
  <si>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</si>
  <si>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</si>
  <si>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</si>
  <si>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</si>
  <si>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</si>
  <si>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</si>
  <si>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</si>
  <si>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</si>
  <si>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</si>
  <si>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</si>
  <si>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</si>
  <si>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</si>
  <si>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</si>
  <si>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</si>
  <si>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</si>
  <si>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</si>
  <si>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</si>
  <si>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</si>
  <si>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</si>
  <si>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</si>
  <si>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</si>
  <si>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</si>
  <si>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</si>
  <si>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</si>
  <si>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</si>
  <si>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</si>
  <si>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</si>
  <si>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</si>
  <si>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</si>
  <si>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</si>
  <si>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</si>
  <si>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</si>
  <si>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</si>
  <si>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</si>
  <si>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</si>
  <si>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</si>
  <si>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</si>
  <si>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</si>
  <si>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</si>
  <si>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</si>
  <si>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</si>
  <si>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</si>
  <si>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</si>
  <si>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</si>
  <si>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</si>
  <si>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</si>
  <si>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</si>
  <si>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</si>
  <si>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</si>
  <si>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</si>
  <si>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</si>
  <si>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</si>
  <si>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</si>
  <si>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</si>
  <si>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</si>
  <si>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</si>
  <si>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</si>
  <si>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</si>
  <si>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</si>
  <si>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</si>
  <si>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</si>
  <si>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</si>
  <si>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</si>
  <si>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</si>
  <si>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</si>
  <si>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</si>
  <si>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</si>
  <si>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</si>
  <si>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</si>
  <si>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</si>
  <si>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</si>
  <si>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</si>
  <si>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</si>
  <si>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</si>
  <si>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</si>
  <si>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</si>
  <si>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</si>
  <si>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</si>
  <si>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</si>
  <si>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</si>
  <si>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</si>
  <si>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</si>
  <si>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</si>
  <si>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</si>
  <si>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</si>
  <si>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</si>
  <si>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</si>
  <si>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</si>
  <si>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</si>
  <si>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</si>
  <si>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</si>
  <si>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</si>
  <si>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</si>
  <si>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</si>
  <si>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</si>
  <si>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</si>
  <si>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</si>
  <si>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</si>
  <si>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</si>
  <si>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</si>
  <si>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</si>
  <si>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</si>
  <si>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</si>
  <si>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</si>
  <si>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</si>
  <si>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</si>
  <si>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</si>
  <si>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</si>
  <si>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</si>
  <si>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</si>
  <si>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</si>
  <si>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</si>
  <si>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</si>
  <si>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</si>
  <si>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</si>
  <si>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</si>
  <si>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</si>
  <si>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</si>
  <si>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</si>
  <si>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</si>
  <si>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</si>
  <si>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</si>
  <si>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</si>
  <si>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</si>
  <si>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</si>
  <si>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</si>
  <si>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</si>
  <si>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</si>
  <si>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</si>
  <si>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</si>
  <si>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</si>
  <si>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</si>
  <si>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</si>
  <si>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</si>
  <si>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</si>
  <si>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</si>
  <si>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</si>
  <si>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</si>
  <si>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</si>
  <si>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</si>
  <si>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</si>
  <si>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</si>
  <si>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</si>
  <si>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</si>
  <si>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</si>
  <si>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</si>
  <si>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</si>
  <si>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</si>
  <si>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</si>
  <si>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</si>
  <si>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</si>
  <si>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</si>
  <si>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</si>
  <si>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</si>
  <si>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</si>
  <si>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</si>
  <si>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</si>
  <si>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</si>
  <si>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</si>
  <si>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</si>
  <si>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</si>
  <si>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</si>
  <si>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</si>
  <si>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</si>
  <si>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</si>
  <si>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</si>
  <si>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</si>
  <si>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</si>
  <si>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</si>
  <si>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</si>
  <si>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</si>
  <si>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</si>
  <si>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</si>
  <si>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</si>
  <si>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</si>
  <si>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</si>
  <si>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</si>
  <si>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</si>
  <si>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</si>
  <si>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</si>
  <si>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</si>
  <si>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</si>
  <si>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</si>
  <si>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</si>
  <si>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</si>
  <si>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</si>
  <si>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</si>
  <si>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</si>
  <si>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</si>
  <si>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</si>
  <si>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</si>
  <si>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</si>
  <si>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</si>
  <si>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</si>
  <si>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</si>
  <si>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</si>
  <si>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</si>
  <si>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</si>
  <si>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</si>
  <si>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</si>
  <si>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</si>
  <si>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</si>
  <si>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</si>
  <si>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</si>
  <si>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</si>
  <si>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</si>
  <si>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</si>
  <si>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</si>
  <si>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</si>
  <si>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</si>
  <si>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</si>
  <si>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</si>
  <si>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</si>
  <si>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</si>
  <si>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</si>
  <si>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</si>
  <si>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</si>
  <si>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</si>
  <si>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</si>
  <si>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</si>
  <si>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</si>
  <si>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</si>
  <si>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</si>
  <si>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</si>
  <si>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</si>
  <si>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</si>
  <si>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</si>
  <si>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</si>
  <si>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</si>
  <si>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</si>
  <si>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</si>
  <si>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</si>
  <si>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</si>
  <si>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</si>
  <si>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</si>
  <si>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</si>
  <si>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</si>
  <si>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</si>
  <si>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</si>
  <si>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</si>
  <si>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</si>
  <si>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</si>
  <si>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</si>
  <si>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</si>
  <si>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</si>
  <si>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</si>
  <si>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</si>
  <si>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</si>
  <si>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</si>
  <si>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</si>
  <si>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</si>
  <si>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</si>
  <si>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</si>
  <si>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</si>
  <si>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</si>
  <si>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</si>
  <si>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</si>
  <si>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</si>
  <si>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</si>
  <si>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</si>
  <si>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</si>
  <si>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</si>
  <si>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</si>
  <si>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</si>
  <si>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</si>
  <si>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</si>
  <si>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</si>
  <si>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</si>
  <si>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</si>
  <si>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</si>
  <si>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</si>
  <si>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</si>
  <si>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</si>
  <si>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</si>
  <si>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</si>
  <si>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</si>
  <si>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</si>
  <si>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</si>
  <si>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</si>
  <si>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</si>
  <si>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</si>
  <si>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</si>
  <si>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</si>
  <si>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</si>
  <si>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</si>
  <si>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</si>
  <si>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</si>
  <si>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</si>
  <si>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</si>
  <si>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</si>
  <si>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</si>
  <si>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</si>
  <si>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</si>
  <si>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</si>
  <si>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</si>
  <si>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</si>
  <si>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</si>
  <si>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</si>
  <si>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</si>
  <si>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</si>
  <si>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</si>
  <si>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</si>
  <si>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</si>
  <si>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</si>
  <si>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</si>
  <si>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</si>
  <si>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</si>
  <si>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</si>
  <si>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</si>
  <si>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</si>
  <si>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</si>
  <si>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</si>
  <si>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</si>
  <si>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</si>
  <si>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</si>
  <si>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</si>
  <si>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</si>
  <si>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</si>
  <si>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</si>
  <si>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</si>
  <si>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</si>
  <si>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</si>
  <si>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</si>
  <si>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</si>
  <si>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</si>
  <si>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</si>
  <si>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</si>
  <si>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</si>
  <si>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</si>
  <si>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</si>
  <si>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</si>
  <si>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</si>
  <si>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</si>
  <si>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</si>
  <si>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</si>
  <si>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</si>
  <si>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</si>
  <si>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</si>
  <si>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</si>
  <si>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</si>
  <si>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</si>
  <si>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</si>
  <si>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</si>
  <si>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</si>
  <si>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</si>
  <si>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</si>
  <si>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</si>
  <si>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</si>
  <si>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</si>
  <si>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</si>
  <si>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</si>
  <si>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</si>
  <si>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</si>
  <si>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</si>
  <si>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</si>
  <si>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</si>
  <si>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</si>
  <si>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</si>
  <si>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</si>
  <si>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</si>
  <si>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</si>
  <si>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</si>
  <si>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</si>
  <si>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</si>
  <si>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</si>
  <si>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</si>
  <si>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</si>
  <si>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</si>
  <si>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</si>
  <si>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</si>
  <si>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</si>
  <si>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</si>
  <si>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</si>
  <si>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</si>
  <si>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</si>
  <si>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</si>
  <si>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</si>
  <si>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</si>
  <si>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</si>
  <si>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</si>
  <si>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</si>
  <si>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</si>
  <si>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</si>
  <si>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</si>
  <si>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</si>
  <si>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</si>
  <si>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</si>
  <si>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</si>
  <si>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</si>
  <si>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</si>
  <si>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</si>
  <si>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</si>
  <si>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</si>
  <si>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</si>
  <si>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</si>
  <si>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</si>
  <si>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</si>
  <si>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</si>
  <si>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</si>
  <si>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</si>
  <si>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</si>
  <si>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</si>
  <si>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</si>
  <si>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</si>
  <si>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</si>
  <si>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</si>
  <si>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</si>
  <si>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</si>
  <si>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</si>
  <si>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</si>
  <si>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</si>
  <si>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</si>
  <si>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</si>
  <si>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</si>
  <si>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</si>
  <si>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</si>
  <si>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</si>
  <si>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</si>
  <si>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</si>
  <si>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</si>
  <si>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</si>
  <si>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</si>
  <si>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</si>
  <si>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</si>
  <si>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</si>
  <si>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</si>
  <si>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</si>
  <si>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</si>
  <si>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</si>
  <si>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</si>
  <si>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</si>
  <si>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</si>
  <si>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</si>
  <si>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</si>
  <si>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</si>
  <si>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</si>
  <si>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</si>
  <si>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</si>
  <si>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</si>
  <si>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</si>
  <si>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</si>
  <si>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</si>
  <si>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</si>
  <si>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</si>
  <si>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</si>
  <si>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</si>
  <si>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</si>
  <si>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</si>
  <si>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</si>
  <si>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</si>
  <si>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</si>
  <si>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</si>
  <si>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</si>
  <si>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</si>
  <si>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</si>
  <si>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</si>
  <si>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</si>
  <si>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</si>
  <si>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</si>
  <si>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</si>
  <si>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</si>
  <si>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</si>
  <si>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</si>
  <si>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</si>
  <si>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</si>
  <si>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</si>
  <si>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</si>
  <si>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</si>
  <si>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</si>
  <si>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</si>
  <si>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</si>
  <si>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</si>
  <si>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</si>
  <si>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</si>
  <si>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</si>
  <si>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</si>
  <si>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</si>
  <si>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</si>
  <si>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</si>
  <si>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</si>
  <si>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</si>
  <si>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</si>
  <si>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</si>
  <si>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</si>
  <si>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</si>
  <si>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</si>
  <si>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</si>
  <si>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</si>
  <si>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</si>
  <si>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</si>
  <si>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</si>
  <si>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</si>
  <si>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</si>
  <si>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</si>
  <si>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</si>
  <si>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</si>
  <si>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</si>
  <si>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</si>
  <si>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</si>
  <si>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</si>
  <si>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</si>
  <si>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</si>
  <si>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</si>
  <si>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</si>
  <si>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</si>
  <si>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</si>
  <si>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</si>
  <si>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</si>
  <si>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</si>
  <si>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</si>
  <si>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</si>
  <si>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</si>
  <si>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</si>
  <si>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</si>
  <si>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</si>
  <si>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</si>
  <si>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Ⅶ-门1</t>
  </si>
  <si>
    <t>是</t>
  </si>
  <si>
    <t>地上</t>
  </si>
  <si>
    <t>建筑面积</t>
    <phoneticPr fontId="134" type="noConversion"/>
  </si>
  <si>
    <t>人防面积</t>
    <phoneticPr fontId="134" type="noConversion"/>
  </si>
  <si>
    <t>地下3层</t>
    <phoneticPr fontId="134" type="noConversion"/>
  </si>
  <si>
    <t>地下2层</t>
    <phoneticPr fontId="134" type="noConversion"/>
  </si>
  <si>
    <t>地下1层</t>
    <phoneticPr fontId="134" type="noConversion"/>
  </si>
  <si>
    <t>地下1层夹层</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</si>
  <si>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</si>
  <si>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</si>
  <si>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</si>
  <si>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</si>
  <si>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</si>
  <si>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</si>
  <si>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建筑类型</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</si>
  <si>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</si>
  <si>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</si>
  <si>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</si>
  <si>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</si>
  <si>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</si>
  <si>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</si>
  <si>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地上</t>
    <phoneticPr fontId="134" type="noConversion"/>
  </si>
  <si>
    <t>地下</t>
  </si>
  <si>
    <t>地下</t>
    <phoneticPr fontId="134" type="noConversion"/>
  </si>
  <si>
    <t>总</t>
    <phoneticPr fontId="134" type="noConversion"/>
  </si>
  <si>
    <t>高层</t>
    <phoneticPr fontId="134" type="noConversion"/>
  </si>
  <si>
    <t>工业</t>
    <phoneticPr fontId="7" type="noConversion"/>
  </si>
  <si>
    <t>车库</t>
    <phoneticPr fontId="7" type="noConversion"/>
  </si>
  <si>
    <t>成新度</t>
  </si>
  <si>
    <t>收益法-办公</t>
  </si>
  <si>
    <t>收益法-办公</t>
    <phoneticPr fontId="16" type="noConversion"/>
  </si>
  <si>
    <t>收益法-车库</t>
    <phoneticPr fontId="16" type="noConversion"/>
  </si>
  <si>
    <t>押一</t>
  </si>
  <si>
    <t>钢混</t>
  </si>
  <si>
    <t>非生产用房</t>
  </si>
  <si>
    <t>否</t>
  </si>
  <si>
    <t>成本法</t>
  </si>
  <si>
    <t>估价对象容积率</t>
  </si>
  <si>
    <t>不临65条商业街</t>
  </si>
  <si>
    <t>公共服务</t>
  </si>
  <si>
    <t>与级别开发程度一致</t>
  </si>
  <si>
    <t>一般</t>
  </si>
  <si>
    <t>较差</t>
  </si>
  <si>
    <t>好</t>
  </si>
  <si>
    <t>较好</t>
  </si>
  <si>
    <t>未包含在土地购买价格中</t>
  </si>
  <si>
    <t>全部缴纳</t>
  </si>
  <si>
    <t>已包含在土地取得成本中</t>
  </si>
  <si>
    <t>科研用地</t>
    <phoneticPr fontId="30" type="noConversion"/>
  </si>
  <si>
    <t>商业用地</t>
    <phoneticPr fontId="30" type="noConversion"/>
  </si>
  <si>
    <t>研发设计</t>
  </si>
  <si>
    <t>研发设计</t>
    <phoneticPr fontId="30" type="noConversion"/>
  </si>
  <si>
    <t>满年限全自持</t>
    <phoneticPr fontId="30" type="noConversion"/>
  </si>
  <si>
    <t>无自持</t>
    <phoneticPr fontId="30" type="noConversion"/>
  </si>
  <si>
    <t>城市高速路</t>
    <phoneticPr fontId="30" type="noConversion"/>
  </si>
  <si>
    <t>城市快速路</t>
    <phoneticPr fontId="30" type="noConversion"/>
  </si>
  <si>
    <t>主干道</t>
    <phoneticPr fontId="30" type="noConversion"/>
  </si>
  <si>
    <t>次干道</t>
    <phoneticPr fontId="30" type="noConversion"/>
  </si>
  <si>
    <t>支路</t>
    <phoneticPr fontId="30" type="noConversion"/>
  </si>
  <si>
    <t>七通</t>
  </si>
  <si>
    <t>六通</t>
  </si>
  <si>
    <t>五通</t>
  </si>
  <si>
    <t>四通</t>
  </si>
  <si>
    <t>三通</t>
  </si>
  <si>
    <t>正常</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</si>
  <si>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</si>
  <si>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</si>
  <si>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</si>
  <si>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</si>
  <si>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</si>
  <si>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</si>
  <si>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</si>
  <si>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</si>
  <si>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</si>
  <si>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</si>
  <si>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</si>
  <si>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</si>
  <si>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</si>
  <si>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</si>
  <si>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</si>
  <si>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</si>
  <si>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</si>
  <si>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</si>
  <si>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北京市石景山区中关村科技园区石景山园北I区1605-650地块B23研发设计用地</t>
  </si>
  <si>
    <t>京土储挂(石)[2023]072号</t>
  </si>
  <si>
    <t>商业/办公用地</t>
  </si>
  <si>
    <t>B23研发设计用地</t>
  </si>
  <si>
    <t>2.40</t>
  </si>
  <si>
    <t>挂牌</t>
  </si>
  <si>
    <t>2024-01-17</t>
  </si>
  <si>
    <t>已成交</t>
  </si>
  <si>
    <t>北京保恒置业发展有限公司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</si>
  <si>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</si>
  <si>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</si>
  <si>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</si>
  <si>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</si>
  <si>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</si>
  <si>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</si>
  <si>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北京市石景山区苹果园综合交通枢纽土地一级开发项目1604-648、649-1、649-2、650-1、650-2地块S31公交枢纽用地</t>
  </si>
  <si>
    <t>京土储挂(石)[2022]038号</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</si>
  <si>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</si>
  <si>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</si>
  <si>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</si>
  <si>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</si>
  <si>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</si>
  <si>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</si>
  <si>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</si>
  <si>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京土整储挂(石)[2021] 079号</t>
  </si>
  <si>
    <t>B4综合性商业金融服务业用地</t>
  </si>
  <si>
    <t>商业40年,办公50年</t>
  </si>
  <si>
    <t>3.50</t>
  </si>
  <si>
    <t>2021-10-26</t>
  </si>
  <si>
    <t>北京首鹰置业有限公司</t>
  </si>
  <si>
    <t>北京市石景山区中关村科技园石景山园北Ⅱ区西井地块土地一级开发项目1606-034地块B1商业用地</t>
  </si>
  <si>
    <t>京土整储挂(石)[2020]045号</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</si>
  <si>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</si>
  <si>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</si>
  <si>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</si>
  <si>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</si>
  <si>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</si>
  <si>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</si>
  <si>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京土整储挂(石)[2019]037号</t>
  </si>
  <si>
    <t>1612-775≤4,1612-769≤5</t>
  </si>
  <si>
    <t>2019-12-12</t>
  </si>
  <si>
    <t>北京璟鑫达房地产开发有限公司</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</si>
  <si>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</si>
  <si>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</si>
  <si>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</si>
  <si>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</si>
  <si>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北京市门头沟区永定镇MC00-0018-0060、0061地块B4综合性商业金融服务业用地</t>
  </si>
  <si>
    <t>京土整储挂(门)[2018]002号</t>
  </si>
  <si>
    <t>2018-02-28</t>
  </si>
  <si>
    <t>金融街融辰(北京)置业有限公司 、北京市京西置地有限责任公司联合体</t>
  </si>
  <si>
    <t>北京市石景山区中关村科技园区石景山园北I区1605-636地块B23研发设计用地</t>
  </si>
  <si>
    <t>京土整储挂(石)[2017]098号</t>
  </si>
  <si>
    <t>办公50年</t>
  </si>
  <si>
    <t>1.50</t>
  </si>
  <si>
    <t>2018-01-09</t>
  </si>
  <si>
    <t>北京保险产业园投资控股有限责任公司 、北京保汇置业发展有限公司联合体</t>
  </si>
  <si>
    <t>北京市石景山区中关村科技园区石景山园北I区1605-651地块B23研发设计用地</t>
  </si>
  <si>
    <t>京土整储挂(石)[2017]099号</t>
  </si>
  <si>
    <t>2.10</t>
  </si>
  <si>
    <t>北京京石科园置业发展有限公司</t>
  </si>
  <si>
    <t>北京市石景山区鲁谷路1614-631地块(银河商务区L地块)B4综合性商业金融服务业用地</t>
  </si>
  <si>
    <t>京土整储挂(石)[2017]084号</t>
  </si>
  <si>
    <t>5.21</t>
  </si>
  <si>
    <t>2017-11-14</t>
  </si>
  <si>
    <t>天安人寿保险股份有限公司 、北京保险产业园投资控股有限责任公司联合体</t>
  </si>
  <si>
    <t>北京市门头沟区龙泉镇MC00-0010-6004地块B2商务用地</t>
  </si>
  <si>
    <t>京土整储挂(门)[2017]062号</t>
  </si>
  <si>
    <t>B2商务用地</t>
  </si>
  <si>
    <t>2</t>
  </si>
  <si>
    <t>2017-09-07</t>
  </si>
  <si>
    <t>北京象地房地产开发有限公司</t>
  </si>
  <si>
    <t>石景山区实兴大街(中关村科技园区石景山园北I区)1605-639、649地块</t>
  </si>
  <si>
    <t>京土整储挂(石)[2016]025号</t>
  </si>
  <si>
    <t>2016-12-07</t>
  </si>
  <si>
    <t>北京保险产业园投资控股有限责任公司</t>
  </si>
  <si>
    <t>石景山区实兴大街(中关村科技园区石景山园北I区)1605-637、641地块</t>
  </si>
  <si>
    <t>京土整储挂(石)[2016]024号</t>
  </si>
  <si>
    <t>1.69</t>
  </si>
  <si>
    <t>石景山区苹果园交通枢纽M、N地块</t>
  </si>
  <si>
    <t>京土整储挂(石)[2015]061号</t>
  </si>
  <si>
    <t>2015-11-23</t>
  </si>
  <si>
    <t>北京市华远置业有限公司 、北京上同致远房地产开发有限公司联合体</t>
  </si>
  <si>
    <t>是否自持</t>
    <phoneticPr fontId="30" type="noConversion"/>
  </si>
  <si>
    <t>总价</t>
  </si>
  <si>
    <t>万元</t>
  </si>
  <si>
    <t>楼面单价</t>
  </si>
  <si>
    <r>
      <t>2024</t>
    </r>
    <r>
      <rPr>
        <sz val="10"/>
        <color indexed="8"/>
        <rFont val="宋体"/>
        <family val="3"/>
        <charset val="134"/>
      </rPr>
      <t>年</t>
    </r>
    <phoneticPr fontId="8" type="noConversion"/>
  </si>
  <si>
    <t>成本比率</t>
  </si>
  <si>
    <r>
      <t>2024</t>
    </r>
    <r>
      <rPr>
        <sz val="10"/>
        <color indexed="8"/>
        <rFont val="宋体"/>
        <family val="3"/>
        <charset val="134"/>
      </rPr>
      <t>年取租金</t>
    </r>
    <phoneticPr fontId="3" type="noConversion"/>
  </si>
  <si>
    <t>产业项目</t>
    <phoneticPr fontId="30" type="noConversion"/>
  </si>
  <si>
    <t>产业项目</t>
    <phoneticPr fontId="30" type="noConversion"/>
  </si>
  <si>
    <t>年期修正</t>
    <phoneticPr fontId="134" type="noConversion"/>
  </si>
  <si>
    <t>北京大兴国际机场临空经济区 DX12-0105-6006、6009 地块F3其他类多功能用地</t>
  </si>
  <si>
    <t>京土储挂(兴临空)[2022]020号</t>
  </si>
  <si>
    <t>F3其他类多功能用地</t>
  </si>
  <si>
    <t>≤2.2</t>
  </si>
  <si>
    <t>2022-04-29</t>
  </si>
  <si>
    <t>北京新航城建设实业发展有限公司</t>
  </si>
  <si>
    <t>F3</t>
  </si>
  <si>
    <t>F3</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</si>
</sst>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4"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cellStyleXfs>
  <cellXfs count="38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0" fillId="22" borderId="0" xfId="0" applyFill="1">
      <alignment vertical="center"/>
    </xf>
    <xf numFmtId="0" fontId="128" fillId="0" borderId="46"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177" fontId="44" fillId="16" borderId="1" xfId="1" applyNumberFormat="1" applyFont="1" applyFill="1" applyBorder="1" applyAlignment="1" applyProtection="1">
      <alignment horizontal="center" vertical="center"/>
      <protection locked="0"/>
    </xf>
    <xf numFmtId="10" fontId="44" fillId="16" borderId="1" xfId="1" applyNumberFormat="1" applyFont="1" applyFill="1" applyBorder="1" applyAlignment="1" applyProtection="1">
      <alignment horizontal="center" vertical="center"/>
      <protection locked="0"/>
    </xf>
    <xf numFmtId="10" fontId="47" fillId="16" borderId="1" xfId="1" applyNumberFormat="1" applyFont="1" applyFill="1" applyBorder="1" applyAlignment="1" applyProtection="1">
      <alignment horizontal="center" vertical="center"/>
      <protection locked="0"/>
    </xf>
    <xf numFmtId="0" fontId="47" fillId="16" borderId="0" xfId="0" applyFont="1" applyFill="1" applyAlignment="1" applyProtection="1">
      <alignment vertical="center"/>
      <protection locked="0"/>
    </xf>
    <xf numFmtId="0" fontId="61" fillId="16" borderId="3" xfId="0" applyNumberFormat="1"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0" fontId="44" fillId="18" borderId="24" xfId="0" applyNumberFormat="1" applyFont="1" applyFill="1" applyBorder="1" applyAlignment="1" applyProtection="1">
      <alignment horizontal="center" vertical="center" wrapText="1"/>
    </xf>
    <xf numFmtId="0" fontId="0" fillId="0" borderId="0" xfId="0" applyNumberFormat="1" applyAlignment="1"/>
    <xf numFmtId="0" fontId="128" fillId="2" borderId="5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44" fillId="18" borderId="1" xfId="0" applyNumberFormat="1" applyFont="1" applyFill="1" applyBorder="1" applyAlignment="1" applyProtection="1">
      <alignment horizontal="center" vertical="center" wrapText="1"/>
      <protection locked="0"/>
    </xf>
    <xf numFmtId="0" fontId="53" fillId="23" borderId="1" xfId="9" applyNumberFormat="1" applyFont="1" applyFill="1" applyBorder="1" applyAlignment="1" applyProtection="1">
      <alignment horizontal="left" vertical="center" wrapText="1"/>
    </xf>
    <xf numFmtId="0" fontId="143" fillId="23" borderId="125" xfId="9" applyNumberFormat="1" applyFont="1" applyFill="1" applyBorder="1" applyAlignment="1" applyProtection="1">
      <alignment horizontal="left" vertical="center" wrapText="1"/>
    </xf>
    <xf numFmtId="0" fontId="143" fillId="23" borderId="126" xfId="9" applyNumberFormat="1" applyFont="1" applyFill="1" applyBorder="1" applyAlignment="1" applyProtection="1">
      <alignment horizontal="left" vertical="center" wrapText="1"/>
    </xf>
    <xf numFmtId="0" fontId="143" fillId="23" borderId="126" xfId="16" applyNumberFormat="1" applyFont="1" applyFill="1" applyBorder="1" applyAlignment="1" applyProtection="1">
      <alignment horizontal="left" vertical="center" wrapText="1"/>
    </xf>
    <xf numFmtId="0" fontId="143" fillId="23" borderId="135" xfId="16" applyNumberFormat="1" applyFont="1" applyFill="1" applyBorder="1" applyAlignment="1" applyProtection="1">
      <alignment horizontal="left" vertical="center" wrapText="1"/>
    </xf>
    <xf numFmtId="0" fontId="143" fillId="23" borderId="130" xfId="16" applyNumberFormat="1" applyFont="1" applyFill="1" applyBorder="1" applyAlignment="1" applyProtection="1">
      <alignment horizontal="left" vertical="center" wrapText="1"/>
    </xf>
    <xf numFmtId="0" fontId="99" fillId="23" borderId="0" xfId="9" applyNumberFormat="1" applyFont="1" applyFill="1" applyAlignment="1" applyProtection="1">
      <alignment horizontal="left" vertical="center"/>
    </xf>
    <xf numFmtId="10" fontId="99" fillId="23" borderId="121" xfId="9" applyNumberFormat="1" applyFont="1" applyFill="1" applyBorder="1" applyAlignment="1" applyProtection="1">
      <alignment horizontal="left" vertical="center"/>
    </xf>
    <xf numFmtId="10" fontId="99" fillId="23" borderId="0" xfId="9" applyNumberFormat="1" applyFont="1" applyFill="1" applyAlignment="1" applyProtection="1">
      <alignment horizontal="left" vertical="center"/>
    </xf>
    <xf numFmtId="10" fontId="99" fillId="23" borderId="163" xfId="9" applyNumberFormat="1" applyFont="1" applyFill="1" applyBorder="1" applyAlignment="1" applyProtection="1">
      <alignment horizontal="left" vertical="center"/>
    </xf>
    <xf numFmtId="10" fontId="99" fillId="23" borderId="164" xfId="9" applyNumberFormat="1" applyFont="1" applyFill="1" applyBorder="1" applyAlignment="1" applyProtection="1">
      <alignment horizontal="left" vertical="center"/>
    </xf>
    <xf numFmtId="10" fontId="99" fillId="23" borderId="165" xfId="9" applyNumberFormat="1" applyFont="1" applyFill="1" applyBorder="1" applyAlignment="1" applyProtection="1">
      <alignment horizontal="left" vertical="center"/>
    </xf>
    <xf numFmtId="0" fontId="144" fillId="23" borderId="0" xfId="9" applyNumberFormat="1" applyFont="1" applyFill="1" applyAlignment="1" applyProtection="1">
      <alignment horizontal="left" vertical="center"/>
    </xf>
    <xf numFmtId="0" fontId="44" fillId="0" borderId="70" xfId="0" applyNumberFormat="1" applyFont="1" applyFill="1" applyBorder="1" applyAlignment="1" applyProtection="1">
      <alignment horizontal="center" vertical="center" wrapText="1"/>
      <protection locked="0"/>
    </xf>
    <xf numFmtId="0" fontId="44" fillId="0" borderId="26"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16" borderId="1" xfId="0" applyFont="1" applyFill="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4" fillId="16" borderId="13" xfId="0" applyFont="1" applyFill="1" applyBorder="1" applyAlignment="1" applyProtection="1">
      <alignment horizontal="center" vertical="center"/>
      <protection locked="0"/>
    </xf>
    <xf numFmtId="0" fontId="44" fillId="16" borderId="15" xfId="0" applyFont="1" applyFill="1" applyBorder="1" applyAlignment="1" applyProtection="1">
      <alignment horizontal="center" vertical="center"/>
      <protection locked="0"/>
    </xf>
    <xf numFmtId="0" fontId="44" fillId="16" borderId="2" xfId="0" applyFont="1" applyFill="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61" fillId="18" borderId="3"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估价对象为北京市房地产，为所有。根据《国有土地使用证》[]，估价对象（分摊）出让国有建设用地使用权面积为6294.36平方米，建筑面积为39707.96平方米。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估价对象为北京市房地产,属开发建设的，该项目尚在开发建设中。根据《国有土地使用证》[]，估价对象（分摊）出让国有建设用地使用权面积为6294.36平方米，规划建筑面积为39707.96平方米。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2025年3月25日（评估专业人员实地查勘之日）</v>
      </c>
    </row>
    <row r="13" spans="1:2" s="1202" customFormat="1">
      <c r="A13" s="1200" t="s">
        <v>529</v>
      </c>
      <c r="B13" s="1201" t="str">
        <f>'预评函-1'!A18</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60424</v>
      </c>
    </row>
    <row r="21" spans="1:2" s="1202" customFormat="1">
      <c r="A21" s="1200" t="s">
        <v>537</v>
      </c>
      <c r="B21" s="1201">
        <f ca="1">'预评函-2'!D7</f>
        <v>15217</v>
      </c>
    </row>
    <row r="22" spans="1:2" s="1202" customFormat="1">
      <c r="A22" s="1200" t="s">
        <v>538</v>
      </c>
      <c r="B22" s="1201" t="str">
        <f ca="1">'预评函-2'!D6</f>
        <v>陆亿零肆佰贰拾肆万元整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60424</v>
      </c>
    </row>
    <row r="31" spans="1:2" s="1202" customFormat="1">
      <c r="A31" s="1200" t="s">
        <v>576</v>
      </c>
      <c r="B31" s="1201">
        <f ca="1">'预评函-2'!D15</f>
        <v>15217</v>
      </c>
    </row>
    <row r="32" spans="1:2" s="1202" customFormat="1">
      <c r="A32" s="1200" t="s">
        <v>543</v>
      </c>
      <c r="B32" s="1201" t="str">
        <f ca="1">'预评函-2'!D14</f>
        <v>陆亿零肆佰贰拾肆万元整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39707.96</v>
      </c>
    </row>
    <row r="44" spans="1:2" s="1202" customFormat="1">
      <c r="A44" s="1200" t="s">
        <v>575</v>
      </c>
      <c r="B44" s="1201" t="str">
        <f>'预评函-3'!C2</f>
        <v>(分摊)土地面积</v>
      </c>
    </row>
    <row r="45" spans="1:2" s="1202" customFormat="1">
      <c r="A45" s="1200" t="s">
        <v>547</v>
      </c>
      <c r="B45" s="1201">
        <f>'预评函-3'!C4</f>
        <v>6294.36</v>
      </c>
    </row>
    <row r="46" spans="1:2" s="1202" customFormat="1">
      <c r="A46" s="1200" t="s">
        <v>573</v>
      </c>
      <c r="B46" s="1201" t="str">
        <f>'预评函-3'!D2</f>
        <v>出让国有建设用地使用权价值</v>
      </c>
    </row>
    <row r="47" spans="1:2" s="1202" customFormat="1">
      <c r="A47" s="1200" t="s">
        <v>548</v>
      </c>
      <c r="B47" s="1201">
        <f ca="1">'预评函-3'!D4</f>
        <v>34985</v>
      </c>
    </row>
    <row r="48" spans="1:2" s="1202" customFormat="1">
      <c r="A48" s="1200" t="s">
        <v>549</v>
      </c>
      <c r="B48" s="1201">
        <f ca="1">'预评函-3'!E4</f>
        <v>8810</v>
      </c>
    </row>
    <row r="49" spans="1:2" s="1202" customFormat="1">
      <c r="A49" s="1200" t="s">
        <v>550</v>
      </c>
      <c r="B49" s="1201" t="str">
        <f ca="1">'预评函-3'!D5</f>
        <v>叁亿肆仟玖佰捌拾伍万元整</v>
      </c>
    </row>
    <row r="50" spans="1:2" s="1202" customFormat="1">
      <c r="A50" s="1200" t="s">
        <v>574</v>
      </c>
      <c r="B50" s="1201" t="str">
        <f>'预评函-3'!F2</f>
        <v>在建建筑物价值</v>
      </c>
    </row>
    <row r="51" spans="1:2" s="1202" customFormat="1">
      <c r="A51" s="1200" t="s">
        <v>551</v>
      </c>
      <c r="B51" s="1201">
        <f ca="1">'预评函-3'!F4</f>
        <v>25439</v>
      </c>
    </row>
    <row r="52" spans="1:2" s="1202" customFormat="1">
      <c r="A52" s="1200" t="s">
        <v>552</v>
      </c>
      <c r="B52" s="1201">
        <f ca="1">'预评函-3'!G4</f>
        <v>6407</v>
      </c>
    </row>
    <row r="53" spans="1:2" s="1202" customFormat="1">
      <c r="A53" s="1200" t="s">
        <v>580</v>
      </c>
      <c r="B53" s="1201" t="str">
        <f ca="1">'预评函-3'!F5</f>
        <v>贰亿伍仟肆佰叁拾玖万元整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3440</v>
      </c>
      <c r="C19" s="1546"/>
    </row>
    <row r="20" spans="1:3">
      <c r="A20" s="1545" t="s">
        <v>1048</v>
      </c>
      <c r="B20" s="1545" t="s">
        <v>3441</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3" t="s">
        <v>385</v>
      </c>
      <c r="C54" s="1550" t="s">
        <v>583</v>
      </c>
    </row>
    <row r="55" spans="1:4">
      <c r="A55" s="3541"/>
      <c r="B55" s="1553" t="s">
        <v>386</v>
      </c>
      <c r="C55" s="1550" t="s">
        <v>584</v>
      </c>
    </row>
    <row r="56" spans="1:4">
      <c r="A56" s="3541"/>
      <c r="B56" s="1553" t="s">
        <v>387</v>
      </c>
      <c r="C56" s="1550" t="s">
        <v>588</v>
      </c>
    </row>
    <row r="57" spans="1:4">
      <c r="A57" s="354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zoomScale="80" zoomScaleNormal="80" workbookViewId="0">
      <selection activeCell="B15" sqref="B15"/>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42" t="s">
        <v>2580</v>
      </c>
      <c r="J2" s="3542"/>
      <c r="K2" s="3542"/>
      <c r="L2" s="3542"/>
      <c r="M2" s="3542"/>
      <c r="N2" s="3542"/>
      <c r="O2" s="3542"/>
      <c r="P2" s="3542"/>
      <c r="Q2" s="3542"/>
      <c r="R2" s="3542"/>
    </row>
    <row r="3" spans="1:18">
      <c r="A3" s="3019" t="s">
        <v>2501</v>
      </c>
      <c r="B3" s="3020">
        <f>项目基本情况!D3</f>
        <v>45741</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1.73</v>
      </c>
      <c r="D5" s="3024">
        <f>IF(ISERROR(ROUND(POWER(1+E5,A5-C5)*(POWER(1+E5,C5)-1)/(POWER(1+E5,A5)-1),3)),0,ROUND(POWER(1+E5,A5-C5)*(POWER(1+E5,C5)-1)/(POWER(1+E5,A5)-1),4))</f>
        <v>9.4299999999999995E-2</v>
      </c>
      <c r="E5" s="3025">
        <v>0.05</v>
      </c>
      <c r="F5" s="3018"/>
      <c r="I5" s="3438" t="s">
        <v>2582</v>
      </c>
      <c r="J5" s="3438">
        <v>70</v>
      </c>
      <c r="K5" s="3438">
        <v>60</v>
      </c>
      <c r="L5" s="3438">
        <v>15</v>
      </c>
      <c r="M5" s="3438">
        <v>25</v>
      </c>
      <c r="N5" s="3022">
        <v>40</v>
      </c>
      <c r="O5" s="3022">
        <v>50</v>
      </c>
      <c r="P5" s="3022">
        <v>40</v>
      </c>
      <c r="Q5" s="3022">
        <v>15</v>
      </c>
      <c r="R5" s="3022">
        <v>315</v>
      </c>
    </row>
    <row r="6" spans="1:18">
      <c r="A6" s="3023">
        <v>50</v>
      </c>
      <c r="B6" s="3020">
        <f>项目基本情况!H13</f>
        <v>57017</v>
      </c>
      <c r="C6" s="3022">
        <f>ROUNDDOWN(MIN((B6-B3)/365,A6),2)</f>
        <v>30.89</v>
      </c>
      <c r="D6" s="3024">
        <f>IF(ISERROR(ROUND(POWER(1+E6,A6-C6)*(POWER(1+E6,C6)-1)/(POWER(1+E6,A6)-1),3)),0,ROUND(POWER(1+E6,A6-C6)*(POWER(1+E6,C6)-1)/(POWER(1+E6,A6)-1),4))</f>
        <v>0.8528</v>
      </c>
      <c r="E6" s="3025">
        <v>0.05</v>
      </c>
      <c r="F6" s="3018"/>
      <c r="I6" s="3438" t="s">
        <v>2583</v>
      </c>
      <c r="J6" s="3438">
        <v>60</v>
      </c>
      <c r="K6" s="3438">
        <v>50</v>
      </c>
      <c r="L6" s="3438">
        <v>10</v>
      </c>
      <c r="M6" s="3438">
        <v>20</v>
      </c>
      <c r="N6" s="3022">
        <v>35</v>
      </c>
      <c r="O6" s="3022">
        <v>40</v>
      </c>
      <c r="P6" s="3022">
        <v>30</v>
      </c>
      <c r="Q6" s="3022">
        <v>10</v>
      </c>
      <c r="R6" s="3022">
        <v>255</v>
      </c>
    </row>
    <row r="7" spans="1:18">
      <c r="A7" s="3023">
        <v>70</v>
      </c>
      <c r="B7" s="3020">
        <v>67975</v>
      </c>
      <c r="C7" s="3022">
        <f>ROUNDDOWN(MIN((B7-B3)/365,A7),2)</f>
        <v>60.91</v>
      </c>
      <c r="D7" s="3024">
        <f>IF(ISERROR(ROUND(POWER(1+E7,A7-C7)*(POWER(1+E7,C7)-1)/(POWER(1+E7,A7)-1),3)),0,ROUND(POWER(1+E7,A7-C7)*(POWER(1+E7,C7)-1)/(POWER(1+E7,A7)-1),4))</f>
        <v>0.98099999999999998</v>
      </c>
      <c r="E7" s="3025">
        <v>0.05</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20</v>
      </c>
      <c r="C11" s="3022" t="s">
        <v>2510</v>
      </c>
      <c r="D11" s="3028">
        <v>0.05</v>
      </c>
      <c r="E11" s="3022" t="s">
        <v>2511</v>
      </c>
      <c r="F11" s="3029">
        <f>ROUND(1-(1/(POWER(1+D11,B11))),4)</f>
        <v>0.62309999999999999</v>
      </c>
    </row>
    <row r="12" spans="1:18">
      <c r="A12" s="3019" t="s">
        <v>2512</v>
      </c>
      <c r="B12" s="3027">
        <v>50</v>
      </c>
      <c r="C12" s="3022" t="s">
        <v>2513</v>
      </c>
      <c r="D12" s="3028">
        <v>0.05</v>
      </c>
      <c r="E12" s="3022" t="s">
        <v>2514</v>
      </c>
      <c r="F12" s="3029">
        <f>ROUND(1-(1/(POWER(1+D12,B12))),4)</f>
        <v>0.91279999999999994</v>
      </c>
    </row>
    <row r="13" spans="1:18">
      <c r="A13" s="3019" t="s">
        <v>2515</v>
      </c>
      <c r="B13" s="3022"/>
      <c r="C13" s="3022"/>
      <c r="D13" s="3017"/>
      <c r="E13" s="3017"/>
      <c r="F13" s="3018">
        <f>F12/F11</f>
        <v>1.4649333975284866</v>
      </c>
    </row>
    <row r="14" spans="1:18">
      <c r="A14" s="3019" t="s">
        <v>2516</v>
      </c>
      <c r="B14" s="3027">
        <f>土地案例!Q2</f>
        <v>8298</v>
      </c>
      <c r="C14" s="3021"/>
      <c r="D14" s="3017"/>
      <c r="E14" s="3017"/>
      <c r="F14" s="3018"/>
    </row>
    <row r="15" spans="1:18">
      <c r="A15" s="3019" t="s">
        <v>2517</v>
      </c>
      <c r="B15" s="3022">
        <f>ROUND(B14*F12/F11,2)</f>
        <v>12156.02</v>
      </c>
      <c r="C15" s="3022">
        <f>ROUND(F12/F11,4)</f>
        <v>1.4649000000000001</v>
      </c>
      <c r="D15" s="3017"/>
      <c r="E15" s="3017"/>
      <c r="F15" s="3018"/>
      <c r="K15" s="3057">
        <f>50-(2025-2021)</f>
        <v>46</v>
      </c>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3283.43</v>
      </c>
      <c r="C18" s="3031">
        <f>ROUND(F11/F12,4)</f>
        <v>0.68259999999999998</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50</v>
      </c>
      <c r="C22" s="3037">
        <f>项目基本情况!F15</f>
        <v>30.89</v>
      </c>
      <c r="D22" s="3038">
        <v>0.04</v>
      </c>
      <c r="E22" s="3035">
        <f>ROUND(POWER(1+D22,B22-C22)*(POWER(1+D22,C22)-1)/(POWER(1+D22,B22)-1),3)</f>
        <v>0.81699999999999995</v>
      </c>
      <c r="F22" s="3038">
        <v>0.6</v>
      </c>
      <c r="G22" s="3036">
        <f>ROUND(100*(1-(1-E22)*F22),1)</f>
        <v>89</v>
      </c>
      <c r="I22" s="3057">
        <v>10</v>
      </c>
      <c r="J22" s="3057">
        <v>65.400000000000006</v>
      </c>
      <c r="K22" s="3057">
        <f>J22-J21</f>
        <v>11.200000000000003</v>
      </c>
    </row>
    <row r="23" spans="1:14">
      <c r="A23" s="3034" t="s">
        <v>2527</v>
      </c>
      <c r="B23" s="3037">
        <v>20</v>
      </c>
      <c r="C23" s="3037">
        <v>49</v>
      </c>
      <c r="D23" s="3038">
        <v>0.04</v>
      </c>
      <c r="E23" s="3035">
        <f t="shared" ref="E23:E25" si="0">ROUND(POWER(1+D23,B23-C23)*(POWER(1+D23,C23)-1)/(POWER(1+D23,B23)-1),3)</f>
        <v>1.57</v>
      </c>
      <c r="F23" s="3038">
        <f>F22</f>
        <v>0.6</v>
      </c>
      <c r="G23" s="3036">
        <f t="shared" ref="G23:G25" si="1">ROUND(100*(1-(1-E23)*F23),1)</f>
        <v>134.19999999999999</v>
      </c>
      <c r="I23" s="3057">
        <v>15</v>
      </c>
      <c r="J23" s="3057">
        <v>74.099999999999994</v>
      </c>
      <c r="K23" s="3057">
        <f t="shared" ref="K23:K30" si="2">J23-J22</f>
        <v>8.6999999999999886</v>
      </c>
      <c r="L23" s="3057" t="s">
        <v>2567</v>
      </c>
      <c r="N23" s="3456" t="s">
        <v>2568</v>
      </c>
    </row>
    <row r="24" spans="1:14">
      <c r="A24" s="3034" t="s">
        <v>2528</v>
      </c>
      <c r="B24" s="3037">
        <v>50</v>
      </c>
      <c r="C24" s="3037">
        <v>48</v>
      </c>
      <c r="D24" s="3038">
        <v>0.04</v>
      </c>
      <c r="E24" s="3035">
        <f t="shared" si="0"/>
        <v>0.98699999999999999</v>
      </c>
      <c r="F24" s="3038">
        <f>F23</f>
        <v>0.6</v>
      </c>
      <c r="G24" s="3036">
        <f t="shared" si="1"/>
        <v>99.2</v>
      </c>
      <c r="I24" s="3057">
        <v>20</v>
      </c>
      <c r="J24" s="3057">
        <v>81</v>
      </c>
      <c r="K24" s="3057">
        <f t="shared" si="2"/>
        <v>6.9000000000000057</v>
      </c>
      <c r="L24" s="3057" t="s">
        <v>2566</v>
      </c>
      <c r="N24" s="3456">
        <v>10</v>
      </c>
    </row>
    <row r="25" spans="1:14">
      <c r="A25" s="3034" t="s">
        <v>2529</v>
      </c>
      <c r="B25" s="3037">
        <v>50</v>
      </c>
      <c r="C25" s="3037">
        <v>46</v>
      </c>
      <c r="D25" s="3038">
        <v>0.04</v>
      </c>
      <c r="E25" s="3035">
        <f t="shared" si="0"/>
        <v>0.97199999999999998</v>
      </c>
      <c r="F25" s="3038">
        <f>F24</f>
        <v>0.6</v>
      </c>
      <c r="G25" s="3036">
        <f t="shared" si="1"/>
        <v>98.3</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0" sqref="I3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43" t="str">
        <f>IF(B10="北京市","北京市",C10)&amp;F10&amp;IF(结果表!G1="在建","出让国有建设用地使用权及在建建筑物",IF(结果表!G1="土地","出让国有建设用地使用权",))&amp;B9&amp;"预评估"</f>
        <v>北京市房地产抵押价值预评估</v>
      </c>
      <c r="C1" s="3544"/>
      <c r="D1" s="3544"/>
      <c r="E1" s="3544"/>
      <c r="F1" s="3544"/>
      <c r="G1" s="3544"/>
      <c r="H1" s="3544"/>
      <c r="I1" s="354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45741</v>
      </c>
      <c r="C3" s="2373" t="s">
        <v>2171</v>
      </c>
      <c r="D3" s="2372">
        <f>B3</f>
        <v>45741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46"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47"/>
      <c r="E9" s="2393"/>
      <c r="F9" s="2395"/>
      <c r="G9" s="2664"/>
      <c r="H9" s="2664"/>
      <c r="I9" s="2664"/>
      <c r="J9" s="2438"/>
      <c r="K9" s="2615"/>
      <c r="L9" s="2612"/>
      <c r="M9" s="2612"/>
      <c r="N9" s="2438"/>
      <c r="O9" s="2449"/>
      <c r="P9" s="2438"/>
      <c r="Q9" s="2438"/>
      <c r="R9" s="2438"/>
    </row>
    <row r="10" spans="1:30" ht="13.5" thickTop="1">
      <c r="A10" s="2396" t="s">
        <v>2179</v>
      </c>
      <c r="B10" s="2397" t="s">
        <v>3407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c r="E13" s="856"/>
      <c r="F13" s="856">
        <v>57017</v>
      </c>
      <c r="G13" s="856"/>
      <c r="H13" s="856">
        <f>F13</f>
        <v>57017</v>
      </c>
      <c r="I13" s="856">
        <f>H13</f>
        <v>57017</v>
      </c>
      <c r="J13" s="3061"/>
      <c r="K13" s="2612"/>
      <c r="L13" s="2612"/>
      <c r="M13" s="2438"/>
      <c r="N13" s="2449"/>
      <c r="O13" s="2438"/>
      <c r="P13" s="2438"/>
      <c r="Q13" s="2438"/>
      <c r="AD13" s="1744"/>
    </row>
    <row r="14" spans="1:30">
      <c r="A14" s="1081"/>
      <c r="B14" s="2406" t="s">
        <v>2191</v>
      </c>
      <c r="C14" s="2407"/>
      <c r="D14" s="2407"/>
      <c r="E14" s="2407"/>
      <c r="F14" s="2407">
        <v>50</v>
      </c>
      <c r="G14" s="2407"/>
      <c r="H14" s="2407">
        <v>50</v>
      </c>
      <c r="I14" s="2407">
        <v>50</v>
      </c>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30.89</v>
      </c>
      <c r="G15" s="2409" t="str">
        <f>IF(A13="出让",IF(G13="","",ROUNDDOWN(MIN((G13-$D$3)/365,G14),2)),G14)</f>
        <v/>
      </c>
      <c r="H15" s="2409">
        <f>IF(A13="出让",IF(H13="","",ROUNDDOWN(MIN((H13-$D$3)/365,H14),2)),H14)</f>
        <v>30.89</v>
      </c>
      <c r="I15" s="2409">
        <f>IF(A13="出让",IF(I13="","",ROUNDDOWN(MIN((I13-$D$3)/365,I14),2)),I14)</f>
        <v>30.89</v>
      </c>
      <c r="J15" s="3063"/>
      <c r="K15" s="2450"/>
      <c r="L15" s="2450"/>
      <c r="M15" s="2508"/>
      <c r="N15" s="2450"/>
      <c r="O15" s="2508"/>
      <c r="P15" s="2438"/>
      <c r="Q15" s="2438"/>
      <c r="AD15" s="1744"/>
    </row>
    <row r="16" spans="1:30">
      <c r="A16" s="2399" t="s">
        <v>2193</v>
      </c>
      <c r="B16" s="3553"/>
      <c r="C16" s="3554"/>
      <c r="D16" s="3555"/>
      <c r="E16" s="2412" t="s">
        <v>2194</v>
      </c>
      <c r="F16" s="3556"/>
      <c r="G16" s="3557"/>
      <c r="H16" s="3557"/>
      <c r="I16" s="3558"/>
      <c r="J16" s="2438"/>
      <c r="K16" s="2616"/>
      <c r="L16" s="2450"/>
      <c r="M16" s="2450"/>
      <c r="N16" s="2508"/>
      <c r="O16" s="2450"/>
      <c r="P16" s="2508"/>
      <c r="Q16" s="2438"/>
      <c r="R16" s="2438"/>
    </row>
    <row r="17" spans="1:28">
      <c r="A17" s="313" t="s">
        <v>2195</v>
      </c>
      <c r="B17" s="302" t="s">
        <v>2196</v>
      </c>
      <c r="C17" s="8">
        <f>'数据-汇总表'!E3</f>
        <v>39707.96</v>
      </c>
      <c r="D17" s="2321" t="s">
        <v>2197</v>
      </c>
      <c r="E17" s="3559" t="s">
        <v>2198</v>
      </c>
      <c r="F17" s="3560"/>
      <c r="G17" s="3560"/>
      <c r="H17" s="3560"/>
      <c r="I17" s="3561"/>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6294.36</v>
      </c>
      <c r="D18" s="1092" t="s">
        <v>2201</v>
      </c>
      <c r="E18" s="3562" t="s">
        <v>2202</v>
      </c>
      <c r="F18" s="3563"/>
      <c r="G18" s="3563"/>
      <c r="H18" s="3563"/>
      <c r="I18" s="3564"/>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49" t="s">
        <v>2206</v>
      </c>
      <c r="C20" s="3550"/>
      <c r="D20" s="3551" t="s">
        <v>2207</v>
      </c>
      <c r="E20" s="3552"/>
      <c r="F20" s="2646" t="s">
        <v>1056</v>
      </c>
      <c r="G20" s="2663"/>
      <c r="H20" s="2663"/>
      <c r="I20" s="2663"/>
      <c r="J20" s="2438"/>
      <c r="K20" s="354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4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4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7"/>
      <c r="B30" s="302" t="s">
        <v>2218</v>
      </c>
      <c r="C30" s="3568"/>
      <c r="D30" s="3569"/>
      <c r="E30" s="2663"/>
      <c r="F30" s="2663"/>
      <c r="G30" s="2663"/>
      <c r="H30" s="2663"/>
      <c r="I30" s="2663"/>
      <c r="J30" s="2438"/>
      <c r="K30" s="2615"/>
      <c r="L30" s="2612"/>
      <c r="M30" s="2612"/>
      <c r="N30" s="2438"/>
      <c r="O30" s="2449"/>
      <c r="P30" s="2438"/>
      <c r="Q30" s="2438"/>
      <c r="R30" s="2438"/>
      <c r="S30" s="2438"/>
      <c r="T30" s="2438"/>
      <c r="U30" s="2438"/>
      <c r="V30" s="2438"/>
    </row>
    <row r="31" spans="1:28">
      <c r="A31" s="3570"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7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7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65" t="s">
        <v>2228</v>
      </c>
      <c r="T34" s="2427" t="str">
        <f>NUMBERSTRING(7-K34,1)&amp;"通"</f>
        <v>七通</v>
      </c>
      <c r="U34" s="2438"/>
      <c r="V34" s="2438"/>
    </row>
    <row r="35" spans="1:30">
      <c r="A35" s="2428"/>
      <c r="B35" s="3572" t="s">
        <v>2229</v>
      </c>
      <c r="C35" s="3572"/>
      <c r="D35" s="3572"/>
      <c r="E35" s="357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5"/>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304</v>
      </c>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3409</v>
      </c>
      <c r="F38" s="2431" t="s">
        <v>3409</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6294.36</v>
      </c>
      <c r="B3" s="11">
        <f>IF(C3="否",G5-AT5,G5)</f>
        <v>39707.96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39707.96</v>
      </c>
      <c r="H5" s="13">
        <f t="shared" ref="H5:AT5" si="0">SUM(H13:H656)</f>
        <v>39425.99</v>
      </c>
      <c r="I5" s="13">
        <f t="shared" si="0"/>
        <v>32206.959999999999</v>
      </c>
      <c r="J5" s="13">
        <f t="shared" si="0"/>
        <v>0</v>
      </c>
      <c r="K5" s="13">
        <f t="shared" si="0"/>
        <v>7219.0300000000016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39707.96</v>
      </c>
      <c r="BA5" s="15">
        <f t="shared" si="1"/>
        <v>39425.99</v>
      </c>
      <c r="BB5" s="15">
        <f t="shared" si="1"/>
        <v>32206.959999999999</v>
      </c>
      <c r="BC5" s="15">
        <f t="shared" si="1"/>
        <v>7219.0300000000016</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588" customFormat="1" ht="12.75">
      <c r="A6" s="12" t="s">
        <v>1072</v>
      </c>
      <c r="B6" s="1585"/>
      <c r="C6" s="1585"/>
      <c r="D6" s="1586"/>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3411</v>
      </c>
      <c r="J9" s="809"/>
      <c r="K9" s="1602" t="s">
        <v>3432</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3333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车库</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3410</v>
      </c>
      <c r="E13" s="13">
        <f>IF($C$3="是",ROUND($A$3*G13/$B$3,2),ROUND($A$3*(G13-AT13)/$B$3,2))</f>
        <v>6294.36</v>
      </c>
      <c r="F13" s="29"/>
      <c r="G13" s="30">
        <f>H13+AC13+AT13</f>
        <v>39707.96</v>
      </c>
      <c r="H13" s="17">
        <f>SUMIF(I$12:AB$12,"总值",I13:AB13)</f>
        <v>39425.99</v>
      </c>
      <c r="I13" s="1625">
        <v>32206.959999999999</v>
      </c>
      <c r="J13" s="1625"/>
      <c r="K13" s="1625">
        <f>面积!B31</f>
        <v>7219.0300000000016</v>
      </c>
      <c r="L13" s="1625"/>
      <c r="M13" s="1625"/>
      <c r="N13" s="1625"/>
      <c r="O13" s="1625"/>
      <c r="P13" s="1625"/>
      <c r="Q13" s="1625"/>
      <c r="R13" s="1625"/>
      <c r="S13" s="1625"/>
      <c r="T13" s="1625"/>
      <c r="U13" s="1625"/>
      <c r="V13" s="1625"/>
      <c r="W13" s="1625"/>
      <c r="X13" s="1625"/>
      <c r="Y13" s="1625"/>
      <c r="Z13" s="1625"/>
      <c r="AA13" s="1625"/>
      <c r="AB13" s="1625"/>
      <c r="AC13" s="13">
        <f>SUMIF(AD$12:AS$12,"总值",AD13:AS13)</f>
        <v>281.96999999999997</v>
      </c>
      <c r="AD13" s="1626"/>
      <c r="AE13" s="1626"/>
      <c r="AF13" s="1626"/>
      <c r="AG13" s="1626"/>
      <c r="AH13" s="1626"/>
      <c r="AI13" s="1626"/>
      <c r="AJ13" s="1626"/>
      <c r="AK13" s="1626"/>
      <c r="AL13" s="1626">
        <f>面积!B30</f>
        <v>281.96999999999997</v>
      </c>
      <c r="AM13" s="1626"/>
      <c r="AN13" s="1626"/>
      <c r="AO13" s="1626"/>
      <c r="AP13" s="1626"/>
      <c r="AQ13" s="1626"/>
      <c r="AR13" s="1626"/>
      <c r="AS13" s="1626"/>
      <c r="AT13" s="1627"/>
      <c r="AU13" s="1628"/>
      <c r="AV13" s="8">
        <f t="shared" ref="AV13:AX17" si="6">A13</f>
        <v>0</v>
      </c>
      <c r="AW13" s="8">
        <f t="shared" si="6"/>
        <v>0</v>
      </c>
      <c r="AX13" s="8">
        <f t="shared" si="6"/>
        <v>0</v>
      </c>
      <c r="AY13" s="1348">
        <f>ROUND($AY$6*AZ13/$AZ$5,2)</f>
        <v>6294.36</v>
      </c>
      <c r="AZ13" s="13">
        <f>BA13+BL13</f>
        <v>39707.96</v>
      </c>
      <c r="BA13" s="13">
        <f>SUM(BB13:BK13)</f>
        <v>39425.99</v>
      </c>
      <c r="BB13" s="13">
        <f>IF($D13="是",I13-J13,0)</f>
        <v>32206.959999999999</v>
      </c>
      <c r="BC13" s="13">
        <f>IF($D13="是",K13-L13,0)</f>
        <v>7219.0300000000016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5" zoomScaleNormal="100" zoomScaleSheetLayoutView="85" workbookViewId="0">
      <selection activeCell="G39" sqref="G3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82" t="s">
        <v>1131</v>
      </c>
      <c r="B2" s="3582"/>
      <c r="C2" s="3582"/>
      <c r="D2" s="796" t="s">
        <v>1107</v>
      </c>
      <c r="E2" s="1638" t="s">
        <v>1108</v>
      </c>
      <c r="F2" s="2658"/>
      <c r="G2" s="2649"/>
      <c r="H2" s="2650"/>
      <c r="I2" s="2324" t="s">
        <v>1132</v>
      </c>
      <c r="J2" s="2658"/>
      <c r="K2" s="2658"/>
      <c r="L2" s="2658"/>
      <c r="M2" s="2658"/>
      <c r="N2" s="2660"/>
      <c r="O2" s="2658"/>
      <c r="P2" s="2658"/>
    </row>
    <row r="3" spans="1:16" ht="15.75" thickBot="1">
      <c r="A3" s="3583" t="s">
        <v>1105</v>
      </c>
      <c r="B3" s="3583"/>
      <c r="C3" s="3583"/>
      <c r="D3" s="43">
        <f>'数据-基础表'!AY6</f>
        <v>6294.36</v>
      </c>
      <c r="E3" s="43">
        <f>'数据-基础表'!AZ5</f>
        <v>39707.96</v>
      </c>
      <c r="F3" s="2658"/>
      <c r="G3" s="1145"/>
      <c r="H3" s="1026" t="s">
        <v>1106</v>
      </c>
      <c r="I3" s="855">
        <f>ROUND('数据-基础表'!B3/'数据-基础表'!A3,2)</f>
        <v>6.31</v>
      </c>
      <c r="J3" s="2658"/>
      <c r="K3" s="2658"/>
      <c r="L3" s="2658"/>
      <c r="M3" s="2658"/>
      <c r="N3" s="2660"/>
      <c r="O3" s="2658"/>
      <c r="P3" s="2658"/>
    </row>
    <row r="4" spans="1:16" ht="15">
      <c r="A4" s="3584"/>
      <c r="B4" s="3585"/>
      <c r="C4" s="3586"/>
      <c r="D4" s="1640" t="s">
        <v>1107</v>
      </c>
      <c r="E4" s="1641" t="s">
        <v>1108</v>
      </c>
      <c r="F4" s="2658"/>
      <c r="G4" s="2651" t="s">
        <v>1133</v>
      </c>
      <c r="H4" s="1026" t="s">
        <v>1113</v>
      </c>
      <c r="I4" s="855">
        <f>ROUND(SUMIF('数据-基础表'!I9:AS9,"地上",'数据-基础表'!I5:AS5)/'数据-基础表'!A3,2)</f>
        <v>5.16</v>
      </c>
      <c r="J4" s="2658"/>
      <c r="K4" s="2658"/>
      <c r="L4" s="2658"/>
      <c r="M4" s="2658"/>
      <c r="N4" s="2660"/>
      <c r="O4" s="2658"/>
      <c r="P4" s="2658"/>
    </row>
    <row r="5" spans="1:16">
      <c r="A5" s="44" t="s">
        <v>1109</v>
      </c>
      <c r="B5" s="3587" t="s">
        <v>1110</v>
      </c>
      <c r="C5" s="3587"/>
      <c r="D5" s="45">
        <f>ROUND($D$3*E5/$E$3,2)</f>
        <v>0</v>
      </c>
      <c r="E5" s="46">
        <f>SUMIF('数据-基础表'!$11:$11,"住宅",'数据-基础表'!$5:$5)</f>
        <v>0</v>
      </c>
      <c r="F5" s="2658"/>
      <c r="G5" s="1145"/>
      <c r="H5" s="1026" t="s">
        <v>1106</v>
      </c>
      <c r="I5" s="855">
        <f>ROUND(E31/D31,2)</f>
        <v>6.31</v>
      </c>
      <c r="J5" s="2658"/>
      <c r="K5" s="2658"/>
      <c r="L5" s="2658"/>
      <c r="M5" s="2658"/>
      <c r="N5" s="2658"/>
      <c r="O5" s="2658"/>
      <c r="P5" s="2658"/>
    </row>
    <row r="6" spans="1:16" ht="15" thickBot="1">
      <c r="A6" s="1643"/>
      <c r="B6" s="3587" t="s">
        <v>1111</v>
      </c>
      <c r="C6" s="3587"/>
      <c r="D6" s="45">
        <f>ROUND($D$3*E6/$E$3,2)</f>
        <v>6294.36</v>
      </c>
      <c r="E6" s="46">
        <f>E3-E5</f>
        <v>39707.96</v>
      </c>
      <c r="F6" s="2658"/>
      <c r="G6" s="2652" t="s">
        <v>1112</v>
      </c>
      <c r="H6" s="1146" t="s">
        <v>1113</v>
      </c>
      <c r="I6" s="2653">
        <f>ROUND(F31/D31,2)</f>
        <v>5.16</v>
      </c>
      <c r="J6" s="2658"/>
      <c r="K6" s="2658"/>
      <c r="L6" s="2658"/>
      <c r="M6" s="2658"/>
      <c r="N6" s="2658"/>
      <c r="O6" s="2658"/>
      <c r="P6" s="2658"/>
    </row>
    <row r="7" spans="1:16" ht="15.75" thickBot="1">
      <c r="A7" s="3579"/>
      <c r="B7" s="3580"/>
      <c r="C7" s="358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5105.33</v>
      </c>
      <c r="E8" s="48">
        <f>SUMIF('数据-基础表'!BB10:BK10,"地上",'数据-基础表'!BB5:BK5)</f>
        <v>32206.959999999999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1144.33</v>
      </c>
      <c r="E13" s="48">
        <f>SUMPRODUCT(('数据-基础表'!BB10:BK10="地下")*('数据-基础表'!BB11:BK11="车库")*('数据-基础表'!BB5:BK5))</f>
        <v>7219.0300000000016</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6249.66</v>
      </c>
      <c r="E16" s="50">
        <f>SUM(E8:E15)</f>
        <v>39425.99</v>
      </c>
      <c r="F16" s="2658"/>
      <c r="G16" s="2659"/>
      <c r="H16" s="1647" t="s">
        <v>1135</v>
      </c>
      <c r="I16" s="1648"/>
      <c r="J16" s="1139"/>
      <c r="K16" s="3576" t="s">
        <v>1135</v>
      </c>
      <c r="L16" s="3577"/>
      <c r="M16" s="3577"/>
      <c r="N16" s="3577"/>
      <c r="O16" s="3577"/>
      <c r="P16" s="3578"/>
    </row>
    <row r="17" spans="1:19" ht="15">
      <c r="A17" s="1649" t="s">
        <v>1136</v>
      </c>
      <c r="B17" s="1650" t="s">
        <v>1137</v>
      </c>
      <c r="C17" s="1651" t="s">
        <v>1138</v>
      </c>
      <c r="D17" s="1652" t="s">
        <v>1126</v>
      </c>
      <c r="E17" s="1653" t="s">
        <v>1127</v>
      </c>
      <c r="F17" s="1654"/>
      <c r="G17" s="1655"/>
      <c r="H17" s="1656" t="s">
        <v>1139</v>
      </c>
      <c r="I17" s="1657" t="s">
        <v>1124</v>
      </c>
      <c r="J17" s="1139"/>
      <c r="K17" s="3573" t="s">
        <v>1140</v>
      </c>
      <c r="L17" s="3574"/>
      <c r="M17" s="3575"/>
      <c r="N17" s="3573" t="s">
        <v>1141</v>
      </c>
      <c r="O17" s="3574"/>
      <c r="P17" s="3575"/>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3436</v>
      </c>
      <c r="D19" s="45">
        <f>ROUND($D$3*E19/$E$3,2)</f>
        <v>6249.66</v>
      </c>
      <c r="E19" s="53">
        <f t="shared" ref="E19:E26" si="1">SUM(F19:G19)</f>
        <v>39425.99</v>
      </c>
      <c r="F19" s="2794">
        <f>'数据-基础表'!I13</f>
        <v>32206.959999999999</v>
      </c>
      <c r="G19" s="2795">
        <f>'数据-基础表'!K13</f>
        <v>7219.0300000000016</v>
      </c>
      <c r="H19" s="670">
        <f>ROUND($D$3*I19/$E$3,2)</f>
        <v>44.7</v>
      </c>
      <c r="I19" s="48">
        <f t="shared" ref="I19:I26" si="2">IF($I$17="自定义",P19,M19)</f>
        <v>281.97000000000003</v>
      </c>
      <c r="J19" s="1139"/>
      <c r="K19" s="1138">
        <f t="shared" ref="K19:K26" si="3">ROUND(E$28*E19/E$27,2)</f>
        <v>281.97000000000003</v>
      </c>
      <c r="L19" s="1026">
        <f t="shared" ref="L19:L26" si="4">ROUND(IF(COUNTIF(C19,"*住宅*")&gt;0,E$29*E19/E$32,0),2)</f>
        <v>0</v>
      </c>
      <c r="M19" s="1150">
        <f>K19+L19</f>
        <v>281.97000000000003</v>
      </c>
      <c r="N19" s="1667"/>
      <c r="O19" s="1668"/>
      <c r="P19" s="1150">
        <f>N19+O19</f>
        <v>0</v>
      </c>
      <c r="R19" s="1026">
        <f t="shared" ref="R19:S26" si="5">D19+H19</f>
        <v>6294.36</v>
      </c>
      <c r="S19" s="1027">
        <f t="shared" si="5"/>
        <v>39707.96</v>
      </c>
    </row>
    <row r="20" spans="1:19">
      <c r="A20" s="1669"/>
      <c r="B20" s="47" t="s">
        <v>1153</v>
      </c>
      <c r="C20" s="3416" t="s">
        <v>3437</v>
      </c>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6249.66</v>
      </c>
      <c r="E27" s="1141">
        <f>IF(SUM(E19:E26)='数据-基础表'!BA5,SUM(E19:E26),IF(F27="地上面积有误","面积有误","地下面积有误"))</f>
        <v>39425.99</v>
      </c>
      <c r="F27" s="1140">
        <f>IF(SUM(F19:F26)=E8,SUM(F19:F26),"地上面积有误")</f>
        <v>32206.959999999999</v>
      </c>
      <c r="G27" s="1142">
        <f>SUM(G19:G26)</f>
        <v>7219.0300000000016</v>
      </c>
      <c r="H27" s="1143">
        <f>SUM(H19:H26)</f>
        <v>44.7</v>
      </c>
      <c r="I27" s="1144">
        <f>SUM(I19:I26)</f>
        <v>281.97000000000003</v>
      </c>
      <c r="J27" s="1139"/>
      <c r="K27" s="1147">
        <f>SUM(K19:K26)</f>
        <v>281.97000000000003</v>
      </c>
      <c r="L27" s="1148">
        <f>SUM(L19:L26)</f>
        <v>0</v>
      </c>
      <c r="M27" s="1151">
        <f>SUM(M19:M26)</f>
        <v>281.97000000000003</v>
      </c>
      <c r="N27" s="1147">
        <f t="shared" ref="N27:O27" si="10">SUM(N19:N26)</f>
        <v>0</v>
      </c>
      <c r="O27" s="1148">
        <f t="shared" si="10"/>
        <v>0</v>
      </c>
      <c r="P27" s="1149">
        <f>SUM(P19:P26)</f>
        <v>0</v>
      </c>
      <c r="R27" s="1028">
        <f>IF(SUM(R19:R26)=$D$3,SUM(R19:R26),SUM(R19:R26)&amp;"误差"&amp;ROUND(SUM(R19:R26)-$D$3,2))</f>
        <v>6294.36</v>
      </c>
      <c r="S27" s="1026">
        <f>IF(SUM(S19:S26)=$E$3,SUM(S19:S26),SUM(S19:S26)&amp;"误差"&amp;ROUND(SUM(S19:S26)-E3,2))</f>
        <v>39707.96</v>
      </c>
    </row>
    <row r="28" spans="1:19">
      <c r="A28" s="1669"/>
      <c r="B28" s="47" t="s">
        <v>1155</v>
      </c>
      <c r="C28" s="1038" t="s">
        <v>1156</v>
      </c>
      <c r="D28" s="45">
        <f>ROUND($D$3*E28/$E$3,2)</f>
        <v>44.7</v>
      </c>
      <c r="E28" s="53">
        <f>SUM(F28:G28)</f>
        <v>281.96999999999997</v>
      </c>
      <c r="F28" s="56">
        <f>'数据-基础表'!BQ5+'数据-基础表'!BS5</f>
        <v>281.96999999999997</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44.7</v>
      </c>
      <c r="E30" s="1140">
        <f>SUM(E28:E29)</f>
        <v>281.96999999999997</v>
      </c>
      <c r="F30" s="1140">
        <f>SUM(F28:F29)</f>
        <v>281.96999999999997</v>
      </c>
      <c r="G30" s="1142">
        <f>SUM(G28:G29)</f>
        <v>0</v>
      </c>
      <c r="H30" s="2658"/>
      <c r="I30" s="2658"/>
      <c r="J30" s="2658"/>
      <c r="K30" s="2658"/>
      <c r="L30" s="2658"/>
      <c r="M30" s="2658"/>
      <c r="N30" s="2658"/>
      <c r="O30" s="2658"/>
      <c r="P30" s="2658"/>
    </row>
    <row r="31" spans="1:19" ht="15.75" thickBot="1">
      <c r="A31" s="1675"/>
      <c r="B31" s="1676"/>
      <c r="C31" s="835" t="s">
        <v>1158</v>
      </c>
      <c r="D31" s="676">
        <f>D27+D30</f>
        <v>6294.36</v>
      </c>
      <c r="E31" s="676">
        <f>E27+E30</f>
        <v>39707.96</v>
      </c>
      <c r="F31" s="677">
        <f>F27+F30</f>
        <v>32488.93</v>
      </c>
      <c r="G31" s="678">
        <f>G27+G30</f>
        <v>7219.0300000000016</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7">
      <c r="D33" s="1677"/>
    </row>
    <row r="38" spans="4:7">
      <c r="E38" s="1637">
        <f>E39/E27</f>
        <v>2.728507033051041</v>
      </c>
      <c r="F38" s="1637">
        <v>3.2</v>
      </c>
      <c r="G38" s="1637">
        <v>0.5</v>
      </c>
    </row>
    <row r="39" spans="4:7">
      <c r="E39" s="1637">
        <f>F39+G39</f>
        <v>107574.091</v>
      </c>
      <c r="F39" s="1637">
        <f>F38*F31</f>
        <v>103964.576</v>
      </c>
      <c r="G39" s="1637">
        <f>G38*G31</f>
        <v>3609.5150000000008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3" width="7.25" style="1681" customWidth="1"/>
    <col min="34" max="34" width="9.6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45741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3449</v>
      </c>
      <c r="D6" s="858">
        <f>SUMIF(项目基本情况!C$12:I$12,C6,项目基本情况!C$14:I$14)</f>
        <v>50</v>
      </c>
      <c r="E6" s="857">
        <f>IF(B6="","",SUMIF(项目基本情况!C$12:I$12,C6,项目基本情况!C$13:I$13))</f>
        <v>57017</v>
      </c>
      <c r="F6" s="64">
        <f>SUMIF(项目基本情况!C$12:I$12,C6,项目基本情况!C$15:I$15)</f>
        <v>30.89</v>
      </c>
      <c r="G6" s="65">
        <f>IF(ISERROR(ROUND(POWER(1+H6,D6-F6)*(POWER(1+H6,F6)-1)/(POWER(1+H6,D6)-1),3)),0,ROUND(POWER(1+H6,D6-F6)*(POWER(1+H6,F6)-1)/(POWER(1+H6,D6)-1),3))</f>
        <v>0.85299999999999998</v>
      </c>
      <c r="H6" s="732">
        <v>0.05</v>
      </c>
      <c r="I6" s="732">
        <v>5.5E-2</v>
      </c>
      <c r="J6" s="66">
        <v>7.0000000000000007E-2</v>
      </c>
      <c r="K6" s="1030">
        <f>SUMIF('数据-汇总表'!C$19:C$33,A6,'数据-汇总表'!E$19:E$33)</f>
        <v>39425.99</v>
      </c>
      <c r="L6" s="733">
        <v>5400</v>
      </c>
      <c r="M6" s="67">
        <f t="shared" ref="M6:M14" si="0">ROUND(K6*L6/10000,0)</f>
        <v>21290</v>
      </c>
      <c r="N6" s="3477">
        <f>O18</f>
        <v>0.87</v>
      </c>
      <c r="O6" s="67" t="str">
        <f>IF($N$5="成新度","——",ROUND(M6*N6,0))</f>
        <v>——</v>
      </c>
      <c r="P6" s="68" t="str">
        <f>IF($N$5="成新度","——",M6-O6)</f>
        <v>——</v>
      </c>
      <c r="Q6" s="734">
        <v>0.15</v>
      </c>
      <c r="R6" s="69">
        <f ca="1">SUMIF('数据-汇总表'!C$19:C$33,A6,'数据-汇总表'!R$19:R$27)</f>
        <v>6294.36</v>
      </c>
      <c r="S6" s="51">
        <f>IF('数据-汇总表'!$I$17="按面积比例",SUMIF('数据-汇总表'!C$19:C$33,A6,'数据-汇总表'!K$19:K$33),SUMIF('数据-汇总表'!C$19:C$33,A6,'数据-汇总表'!N$19:N$33))</f>
        <v>281.97000000000003</v>
      </c>
      <c r="T6" s="1172">
        <f>ROUND($L$14*S6/10000,0)</f>
        <v>152</v>
      </c>
      <c r="U6" s="3480">
        <v>2.7</v>
      </c>
      <c r="V6" s="70">
        <v>0.02</v>
      </c>
      <c r="W6" s="70">
        <v>0.1</v>
      </c>
      <c r="X6" s="1040"/>
      <c r="Y6" s="71">
        <f>N6</f>
        <v>0.87</v>
      </c>
      <c r="Z6" s="72"/>
      <c r="AA6" s="66"/>
      <c r="AB6" s="66"/>
      <c r="AC6" s="1040"/>
      <c r="AD6" s="73"/>
      <c r="AE6" s="1041">
        <f ca="1">IF(AN6="",0,SUMIF(INDIRECT("'"&amp;AN6&amp;"'"&amp;"!E:E"),$AE$5,INDIRECT("'"&amp;AN6&amp;"'"&amp;"!F:F")))</f>
        <v>30.89</v>
      </c>
      <c r="AF6" s="1347"/>
      <c r="AG6" s="138">
        <f>IF(AF6="",0,AE6-AF6)</f>
        <v>0</v>
      </c>
      <c r="AH6" s="74">
        <f>'数据-汇总表'!E27</f>
        <v>39425.99</v>
      </c>
      <c r="AI6" s="76">
        <v>365</v>
      </c>
      <c r="AJ6" s="77"/>
      <c r="AK6" s="78">
        <v>2E-3</v>
      </c>
      <c r="AL6" s="79">
        <v>1.5E-3</v>
      </c>
      <c r="AM6" s="80">
        <v>5.0000000000000001E-3</v>
      </c>
      <c r="AN6" s="1714" t="s">
        <v>3439</v>
      </c>
      <c r="AO6" s="52">
        <f ca="1">SUMIF(INDIRECT("'"&amp;AN6&amp;"'"&amp;"!A:A"),"总价",INDIRECT("'"&amp;AN6&amp;"'"&amp;"!B:B"))</f>
        <v>53048</v>
      </c>
      <c r="AP6" s="1715">
        <f>IF(C6="住宅",K6*L6,0)</f>
        <v>0</v>
      </c>
      <c r="AQ6" s="52">
        <f>ROUND($L$14*$N$14*S6/10000,0)</f>
        <v>132</v>
      </c>
      <c r="AR6" s="52">
        <f>ROUND($L$14*(1-$N$14)*S6/10000,0)</f>
        <v>20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v>4500</v>
      </c>
      <c r="M7" s="67">
        <f t="shared" si="0"/>
        <v>0</v>
      </c>
      <c r="N7" s="3477"/>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281.96999999999997</v>
      </c>
      <c r="L14" s="3475">
        <f>L6</f>
        <v>5400</v>
      </c>
      <c r="M14" s="67">
        <f t="shared" si="0"/>
        <v>152</v>
      </c>
      <c r="N14" s="3476">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0.85299999999999998</v>
      </c>
      <c r="H16" s="90">
        <f>ROUND(SUMPRODUCT(H6:H13,K6:K13)/SUMPRODUCT((H6:H13&gt;0)*(K6:K13)),3)</f>
        <v>0.05</v>
      </c>
      <c r="I16" s="91"/>
      <c r="J16" s="91"/>
      <c r="K16" s="92">
        <f>SUM(K6:K15)</f>
        <v>39707.96</v>
      </c>
      <c r="L16" s="93">
        <f>ROUND(M16*10000/SUM(K6:K14),0)</f>
        <v>5400</v>
      </c>
      <c r="M16" s="93">
        <f>SUM(M6:M14)</f>
        <v>21442</v>
      </c>
      <c r="N16" s="94">
        <f>ROUND(SUMPRODUCT(M6:M14,N6:N14)/M16,3)</f>
        <v>0.87</v>
      </c>
      <c r="O16" s="93">
        <f>SUM(O6:O14)</f>
        <v>0</v>
      </c>
      <c r="P16" s="93">
        <f>SUM(P6:P14)</f>
        <v>0</v>
      </c>
      <c r="Q16" s="95">
        <f>ROUND(SUMPRODUCT(Q6:Q13,K6:K13)/SUMPRODUCT((Q6:Q13&gt;0)*(K6:K13)),2)</f>
        <v>0.15</v>
      </c>
      <c r="R16" s="1034">
        <f ca="1">SUM(R6:R13)</f>
        <v>6294.36</v>
      </c>
      <c r="S16" s="96">
        <f>SUM(S6:S13)</f>
        <v>281.97000000000003</v>
      </c>
      <c r="T16" s="97">
        <f>IF(SUMIF(T6:T13,"&lt;9E307")=M14,SUMIF(T6:T13,"&lt;9E307"),"有误，请检查")</f>
        <v>152</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v>2017</v>
      </c>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3478">
        <f>ROUND(1-(2025-O17)/60,2)</f>
        <v>0.87</v>
      </c>
      <c r="P18" s="2670"/>
      <c r="Q18" s="2670"/>
      <c r="R18" s="2670"/>
      <c r="S18" s="2670"/>
      <c r="T18" s="2670" t="s">
        <v>3581</v>
      </c>
      <c r="U18" s="2670">
        <v>3.5</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t="str">
        <f>面积!F9</f>
        <v>建安造价</v>
      </c>
      <c r="L19" s="2671" t="str">
        <f>面积!G9</f>
        <v>总造价</v>
      </c>
      <c r="M19" s="2671"/>
      <c r="N19" s="2671">
        <f>面积!I9</f>
        <v>5412</v>
      </c>
      <c r="O19" s="2670"/>
      <c r="P19" s="2670"/>
      <c r="Q19" s="2670"/>
      <c r="R19" s="2670"/>
      <c r="S19" s="2670"/>
      <c r="T19" s="2670"/>
      <c r="U19" s="2670">
        <v>500</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t="str">
        <f>面积!G10</f>
        <v>主体（含屋面、外装）</v>
      </c>
      <c r="M20" s="2671" t="str">
        <f>面积!H10</f>
        <v>总</v>
      </c>
      <c r="N20" s="2671">
        <f>面积!I10</f>
        <v>2254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1" t="str">
        <f>面积!H11</f>
        <v>地上</v>
      </c>
      <c r="N21" s="2671">
        <f>面积!I11</f>
        <v>1670</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1" t="str">
        <f>面积!H12</f>
        <v>地下</v>
      </c>
      <c r="N22" s="2671">
        <f>面积!I12</f>
        <v>4880</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t="str">
        <f>面积!G13</f>
        <v>装修</v>
      </c>
      <c r="M23" s="2671"/>
      <c r="N23" s="2671">
        <f>面积!I13</f>
        <v>800</v>
      </c>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t="str">
        <f>面积!G14</f>
        <v>机电设备</v>
      </c>
      <c r="M24" s="2671"/>
      <c r="N24" s="2671">
        <f>面积!I14</f>
        <v>2358</v>
      </c>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794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88" t="s">
        <v>2286</v>
      </c>
      <c r="B1" s="3589"/>
      <c r="C1" s="3589"/>
      <c r="D1" s="3589"/>
      <c r="E1" s="3589"/>
      <c r="F1" s="3589"/>
      <c r="G1" s="358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39707.96</v>
      </c>
      <c r="C1" s="2685"/>
      <c r="D1" s="2685"/>
      <c r="E1" s="2685"/>
      <c r="F1" s="2685"/>
      <c r="G1" s="2686"/>
      <c r="H1" s="2687"/>
      <c r="I1" s="2687"/>
      <c r="J1" s="2687"/>
      <c r="K1" s="2687"/>
    </row>
    <row r="2" spans="1:11" ht="16.5">
      <c r="A2" s="2511" t="s">
        <v>653</v>
      </c>
      <c r="B2" s="2511">
        <f>SUM(C14:C23)</f>
        <v>6294.36</v>
      </c>
      <c r="C2" s="2685"/>
      <c r="D2" s="2685"/>
      <c r="E2" s="2685"/>
      <c r="F2" s="2685"/>
      <c r="G2" s="2686"/>
      <c r="H2" s="2687"/>
      <c r="I2" s="2687"/>
      <c r="J2" s="2687"/>
      <c r="K2" s="2687"/>
    </row>
    <row r="3" spans="1:11" ht="16.5">
      <c r="A3" s="2511" t="s">
        <v>662</v>
      </c>
      <c r="B3" s="2513">
        <f>项目基本情况!D3</f>
        <v>45741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60424</v>
      </c>
      <c r="C5" s="2511">
        <f ca="1">IF(B5=D14,结果表!H102,ROUND(B5*10000/$B$1,0))</f>
        <v>15217</v>
      </c>
      <c r="D5" s="2511">
        <f ca="1">ROUND(B5*10000/$B$2,0)</f>
        <v>95997</v>
      </c>
      <c r="E5" s="2685"/>
      <c r="F5" s="2686"/>
      <c r="G5" s="2686"/>
      <c r="H5" s="2687"/>
      <c r="I5" s="2687"/>
      <c r="J5" s="2687"/>
      <c r="K5" s="2687"/>
    </row>
    <row r="6" spans="1:11" ht="16.5">
      <c r="A6" s="2511" t="s">
        <v>656</v>
      </c>
      <c r="B6" s="2511">
        <f ca="1">SUM(G14:G23)</f>
        <v>60424</v>
      </c>
      <c r="C6" s="2511">
        <f ca="1">IF(B6=G14,结果表!H108,ROUND(B6*10000/$B$1,0))</f>
        <v>15217</v>
      </c>
      <c r="D6" s="2511">
        <f ca="1">ROUND(B6*10000/$B$2,0)</f>
        <v>95997</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39707.96</v>
      </c>
      <c r="C14" s="2517">
        <f>结果表!C118</f>
        <v>6294.36</v>
      </c>
      <c r="D14" s="2517">
        <f ca="1">结果表!H118</f>
        <v>60424</v>
      </c>
      <c r="E14" s="2517">
        <f ca="1">ROUND(D14*10000/B14,0)</f>
        <v>15217</v>
      </c>
      <c r="F14" s="2517">
        <f ca="1">ROUND(D14*10000/C14,0)</f>
        <v>95997</v>
      </c>
      <c r="G14" s="2517">
        <f ca="1">D14</f>
        <v>60424</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1" zoomScaleNormal="100" zoomScaleSheetLayoutView="100" zoomScalePageLayoutView="80" workbookViewId="0">
      <selection activeCell="D119" sqref="D119:I11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7" t="str">
        <f>项目基本情况!S2</f>
        <v>北京市房地产</v>
      </c>
      <c r="B2" s="3658"/>
      <c r="C2" s="3658"/>
      <c r="D2" s="3658"/>
      <c r="E2" s="3658"/>
      <c r="F2" s="3658"/>
      <c r="G2" s="3658"/>
      <c r="H2" s="3658"/>
      <c r="I2" s="3659"/>
    </row>
    <row r="3" spans="1:12" ht="12.75">
      <c r="A3" s="3662" t="s">
        <v>1264</v>
      </c>
      <c r="B3" s="3663"/>
      <c r="C3" s="3663"/>
      <c r="D3" s="3663"/>
      <c r="E3" s="3663"/>
      <c r="F3" s="3663"/>
      <c r="G3" s="3663"/>
      <c r="H3" s="3663"/>
      <c r="I3" s="3663"/>
    </row>
    <row r="4" spans="1:12" ht="14.25">
      <c r="A4" s="1753" t="s">
        <v>1265</v>
      </c>
      <c r="B4" s="1754" t="s">
        <v>1266</v>
      </c>
      <c r="C4" s="1755" t="s">
        <v>3446</v>
      </c>
      <c r="D4" s="1755" t="s">
        <v>3439</v>
      </c>
      <c r="E4" s="3667" t="s">
        <v>1267</v>
      </c>
      <c r="F4" s="3668"/>
      <c r="G4" s="3668"/>
      <c r="H4" s="3668"/>
      <c r="I4" s="366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5" t="s">
        <v>1268</v>
      </c>
      <c r="B5" s="3660">
        <v>25</v>
      </c>
      <c r="C5" s="3664"/>
      <c r="D5" s="3661"/>
      <c r="E5" s="131" t="s">
        <v>1269</v>
      </c>
      <c r="F5" s="1756"/>
      <c r="G5" s="1756"/>
      <c r="H5" s="1756"/>
      <c r="I5" s="1372"/>
    </row>
    <row r="6" spans="1:12" ht="12.75">
      <c r="A6" s="3605"/>
      <c r="B6" s="3660"/>
      <c r="C6" s="3666"/>
      <c r="D6" s="3661"/>
      <c r="E6" s="131" t="s">
        <v>1270</v>
      </c>
      <c r="F6" s="1756"/>
      <c r="G6" s="1756"/>
      <c r="H6" s="1756"/>
      <c r="I6" s="1372"/>
    </row>
    <row r="7" spans="1:12" ht="12.75">
      <c r="A7" s="3605"/>
      <c r="B7" s="3660"/>
      <c r="C7" s="3665"/>
      <c r="D7" s="3661"/>
      <c r="E7" s="131" t="s">
        <v>1271</v>
      </c>
      <c r="F7" s="1756"/>
      <c r="G7" s="1756"/>
      <c r="H7" s="1756"/>
      <c r="I7" s="1372"/>
    </row>
    <row r="8" spans="1:12" ht="12.75">
      <c r="A8" s="3605" t="s">
        <v>1272</v>
      </c>
      <c r="B8" s="3660">
        <v>15</v>
      </c>
      <c r="C8" s="3664"/>
      <c r="D8" s="3661"/>
      <c r="E8" s="131" t="s">
        <v>1273</v>
      </c>
      <c r="F8" s="1756"/>
      <c r="G8" s="1756"/>
      <c r="H8" s="1756"/>
      <c r="I8" s="1372"/>
    </row>
    <row r="9" spans="1:12" ht="12.75">
      <c r="A9" s="3605"/>
      <c r="B9" s="3660"/>
      <c r="C9" s="3665"/>
      <c r="D9" s="3661"/>
      <c r="E9" s="131" t="s">
        <v>1274</v>
      </c>
      <c r="F9" s="1756"/>
      <c r="G9" s="1756"/>
      <c r="H9" s="1756"/>
      <c r="I9" s="1372"/>
    </row>
    <row r="10" spans="1:12" ht="12.75">
      <c r="A10" s="3605" t="s">
        <v>1275</v>
      </c>
      <c r="B10" s="3660">
        <v>15</v>
      </c>
      <c r="C10" s="3664"/>
      <c r="D10" s="3661"/>
      <c r="E10" s="131" t="s">
        <v>1276</v>
      </c>
      <c r="F10" s="1756"/>
      <c r="G10" s="1756"/>
      <c r="H10" s="1756"/>
      <c r="I10" s="1372"/>
    </row>
    <row r="11" spans="1:12" ht="12.75">
      <c r="A11" s="3605"/>
      <c r="B11" s="3660"/>
      <c r="C11" s="3665"/>
      <c r="D11" s="3661"/>
      <c r="E11" s="131" t="s">
        <v>1277</v>
      </c>
      <c r="F11" s="1756"/>
      <c r="G11" s="1756"/>
      <c r="H11" s="1756"/>
      <c r="I11" s="1372"/>
    </row>
    <row r="12" spans="1:12" ht="12.75">
      <c r="A12" s="3605" t="s">
        <v>1278</v>
      </c>
      <c r="B12" s="3660">
        <v>15</v>
      </c>
      <c r="C12" s="3664"/>
      <c r="D12" s="3661"/>
      <c r="E12" s="131" t="s">
        <v>1279</v>
      </c>
      <c r="F12" s="1756"/>
      <c r="G12" s="1756"/>
      <c r="H12" s="1756"/>
      <c r="I12" s="1372"/>
    </row>
    <row r="13" spans="1:12" ht="12.75">
      <c r="A13" s="3605"/>
      <c r="B13" s="3660"/>
      <c r="C13" s="3665"/>
      <c r="D13" s="3661"/>
      <c r="E13" s="131" t="s">
        <v>1280</v>
      </c>
      <c r="F13" s="1756"/>
      <c r="G13" s="1756"/>
      <c r="H13" s="1756"/>
      <c r="I13" s="1372"/>
    </row>
    <row r="14" spans="1:12" ht="12.75">
      <c r="A14" s="3605" t="s">
        <v>1281</v>
      </c>
      <c r="B14" s="3660">
        <v>30</v>
      </c>
      <c r="C14" s="3680">
        <v>6</v>
      </c>
      <c r="D14" s="3651">
        <v>4</v>
      </c>
      <c r="E14" s="131" t="s">
        <v>1282</v>
      </c>
      <c r="F14" s="1756"/>
      <c r="G14" s="1756"/>
      <c r="H14" s="1756"/>
      <c r="I14" s="1372"/>
    </row>
    <row r="15" spans="1:12" ht="12.75">
      <c r="A15" s="3605"/>
      <c r="B15" s="3660"/>
      <c r="C15" s="3681"/>
      <c r="D15" s="3651"/>
      <c r="E15" s="131" t="s">
        <v>1283</v>
      </c>
      <c r="F15" s="1756"/>
      <c r="G15" s="1756"/>
      <c r="H15" s="1756"/>
      <c r="I15" s="1372"/>
    </row>
    <row r="16" spans="1:12" ht="12.75">
      <c r="A16" s="3605"/>
      <c r="B16" s="3660"/>
      <c r="C16" s="3682"/>
      <c r="D16" s="3651"/>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86" t="s">
        <v>2131</v>
      </c>
      <c r="F18" s="3687"/>
      <c r="G18" s="3687"/>
      <c r="H18" s="3687"/>
      <c r="I18" s="3687"/>
      <c r="K18" s="302" t="s">
        <v>1289</v>
      </c>
      <c r="L18" s="302">
        <f>IF(C1="",'数据-汇总表'!E3,SUMIF(项目类型,C1,'数据-汇总表'!E17:E26)+SUMIF(项目类型,C1,'数据-汇总表'!I17:I26))</f>
        <v>39707.96</v>
      </c>
      <c r="M18" s="302">
        <f>IF(C1="",'数据-汇总表'!E3,SUMIF(项目类型,C1,'数据-汇总表'!E17:E26))</f>
        <v>39707.96</v>
      </c>
    </row>
    <row r="19" spans="1:36" ht="15">
      <c r="A19" s="1760" t="s">
        <v>1290</v>
      </c>
      <c r="B19" s="1761" t="s">
        <v>1291</v>
      </c>
      <c r="C19" s="134">
        <f ca="1">SUMIF(INDIRECT("'"&amp;C4&amp;"'"&amp;"!A:A"),结果表!B19,INDIRECT("'"&amp;C4&amp;"'"&amp;"!B:B"))</f>
        <v>65341</v>
      </c>
      <c r="D19" s="135">
        <f ca="1">SUMIF(INDIRECT("'"&amp;D4&amp;"'"&amp;"!A:A"),结果表!B19,INDIRECT("'"&amp;D4&amp;"'"&amp;"!B:B"))</f>
        <v>53048</v>
      </c>
      <c r="E19" s="1760" t="s">
        <v>1292</v>
      </c>
      <c r="F19" s="1761" t="s">
        <v>1291</v>
      </c>
      <c r="G19" s="136">
        <f ca="1">ROUND(C19*$C$18+D19*$D$18,0)</f>
        <v>60424</v>
      </c>
      <c r="H19" s="1762" t="s">
        <v>1293</v>
      </c>
      <c r="I19" s="129"/>
      <c r="K19" s="302" t="s">
        <v>1294</v>
      </c>
      <c r="L19" s="302">
        <f>IF(C1="",'数据-汇总表'!D3,SUMIF(项目类型,C1,'数据-汇总表'!D17:D26)+SUMIF(项目类型,C1,'数据-汇总表'!H17:H27))</f>
        <v>6294.36</v>
      </c>
      <c r="M19" s="302">
        <f>IF(C1="",'数据-汇总表'!D3,SUMIF(项目类型,C1,'数据-汇总表'!D17:D26))</f>
        <v>6294.36</v>
      </c>
    </row>
    <row r="20" spans="1:36" ht="15">
      <c r="A20" s="1763"/>
      <c r="B20" s="1026" t="s">
        <v>1295</v>
      </c>
      <c r="C20" s="137">
        <f ca="1">SUMIF(INDIRECT("'"&amp;C4&amp;"'"&amp;"!A:A"),结果表!B20,INDIRECT("'"&amp;C4&amp;"'"&amp;"!B:B"))</f>
        <v>16455</v>
      </c>
      <c r="D20" s="138">
        <f ca="1">SUMIF(INDIRECT("'"&amp;D4&amp;"'"&amp;"!A:A"),结果表!B20,INDIRECT("'"&amp;D4&amp;"'"&amp;"!B:B"))</f>
        <v>13455</v>
      </c>
      <c r="E20" s="1763"/>
      <c r="F20" s="1026" t="s">
        <v>1295</v>
      </c>
      <c r="G20" s="139">
        <f ca="1">ROUND(C20*$C$18+D20*$D$18,0)</f>
        <v>15255</v>
      </c>
      <c r="H20" s="808" t="s">
        <v>1296</v>
      </c>
      <c r="I20" s="129"/>
    </row>
    <row r="21" spans="1:36" ht="15" customHeight="1" thickBot="1">
      <c r="A21" s="828"/>
      <c r="B21" s="1764" t="s">
        <v>1297</v>
      </c>
      <c r="C21" s="719">
        <f ca="1">ROUND(C19*10000/L19,0)</f>
        <v>103809</v>
      </c>
      <c r="D21" s="720">
        <f ca="1">ROUND(D19*10000/L19,0)</f>
        <v>84279</v>
      </c>
      <c r="E21" s="828"/>
      <c r="F21" s="1764" t="s">
        <v>1297</v>
      </c>
      <c r="G21" s="140">
        <f ca="1">ROUND(G19*10000/L19,0)</f>
        <v>95997</v>
      </c>
      <c r="H21" s="1765" t="s">
        <v>1296</v>
      </c>
      <c r="I21" s="129"/>
    </row>
    <row r="22" spans="1:36" ht="15" thickBot="1">
      <c r="A22" s="1687" t="s">
        <v>1298</v>
      </c>
      <c r="B22" s="1766"/>
      <c r="C22" s="1767"/>
      <c r="D22" s="721">
        <f ca="1">IF(C19&lt;D19,D19/C19-1,C19/D19-1)</f>
        <v>0.23173352435530092</v>
      </c>
      <c r="E22" s="129"/>
      <c r="F22" s="129"/>
      <c r="G22" s="129"/>
      <c r="H22" s="129"/>
      <c r="I22" s="129"/>
    </row>
    <row r="23" spans="1:36" ht="13.5" thickBot="1">
      <c r="A23" s="1746"/>
      <c r="B23" s="1746"/>
      <c r="C23" s="1746"/>
      <c r="D23" s="1746"/>
      <c r="E23" s="129"/>
      <c r="F23" s="129" t="s">
        <v>3579</v>
      </c>
      <c r="G23" s="129"/>
      <c r="H23" s="129"/>
      <c r="I23" s="129"/>
    </row>
    <row r="24" spans="1:36" ht="14.25">
      <c r="A24" s="3676" t="s">
        <v>1299</v>
      </c>
      <c r="B24" s="1761" t="s">
        <v>1291</v>
      </c>
      <c r="C24" s="136">
        <f>IF(B30=0,0,D30)</f>
        <v>0</v>
      </c>
      <c r="D24" s="1768"/>
      <c r="E24" s="129"/>
      <c r="F24" s="129" t="s">
        <v>3576</v>
      </c>
      <c r="G24" s="129">
        <v>64067</v>
      </c>
      <c r="H24" s="129" t="s">
        <v>3577</v>
      </c>
      <c r="I24" s="129"/>
    </row>
    <row r="25" spans="1:36" ht="14.25">
      <c r="A25" s="3677"/>
      <c r="B25" s="1026" t="s">
        <v>1295</v>
      </c>
      <c r="C25" s="141">
        <f>IF(B30=0,0,C30)</f>
        <v>0</v>
      </c>
      <c r="D25" s="1769"/>
      <c r="E25" s="129"/>
      <c r="F25" s="129" t="s">
        <v>3578</v>
      </c>
      <c r="G25" s="129">
        <v>16135</v>
      </c>
      <c r="H25" s="129" t="s">
        <v>3354</v>
      </c>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60424</v>
      </c>
      <c r="D32" s="1774" t="s">
        <v>3576</v>
      </c>
      <c r="E32" s="129"/>
      <c r="F32" s="129"/>
      <c r="G32" s="129"/>
      <c r="H32" s="129"/>
      <c r="I32" s="129"/>
    </row>
    <row r="33" spans="1:15" ht="15">
      <c r="A33" s="786" t="s">
        <v>1306</v>
      </c>
      <c r="B33" s="1775"/>
      <c r="C33" s="1776" t="s">
        <v>3580</v>
      </c>
      <c r="D33" s="1777" t="s">
        <v>3446</v>
      </c>
      <c r="E33" s="1778" t="s">
        <v>1307</v>
      </c>
      <c r="F33" s="1779" t="str">
        <f>IF(D32="楼面单价","取值（单价）","取值（总价）")</f>
        <v>取值（总价）</v>
      </c>
      <c r="G33" s="129"/>
      <c r="H33" s="129"/>
      <c r="I33" s="129"/>
    </row>
    <row r="34" spans="1:15" ht="15">
      <c r="A34" s="1780"/>
      <c r="B34" s="1781" t="s">
        <v>1308</v>
      </c>
      <c r="C34" s="148">
        <f ca="1">IF(C33="自定义",F34,C32-C35)</f>
        <v>34985</v>
      </c>
      <c r="D34" s="861">
        <f ca="1">IF(C33="自定义",ROUND(C34/C32,3),IF(C33="收益比率",SUMIF(INDIRECT("'"&amp;D33&amp;"'"&amp;"!b:b"),"土地收益比率",INDIRECT("'"&amp;D33&amp;"'"&amp;"!c:c")),SUMIF(INDIRECT("'"&amp;D33&amp;"'"&amp;"!b:b"),"土地成本比率",INDIRECT("'"&amp;D33&amp;"'"&amp;"!c:c"))))</f>
        <v>0.57899999999999996</v>
      </c>
      <c r="E34" s="1782" t="s">
        <v>1309</v>
      </c>
      <c r="F34" s="1329">
        <f ca="1">G19-F35</f>
        <v>32886</v>
      </c>
      <c r="G34" s="129"/>
      <c r="H34" s="129"/>
      <c r="I34" s="129"/>
    </row>
    <row r="35" spans="1:15" ht="15.75" thickBot="1">
      <c r="A35" s="1783"/>
      <c r="B35" s="1784" t="s">
        <v>1310</v>
      </c>
      <c r="C35" s="1170">
        <f ca="1">IF(C33="自定义",F35,ROUND(C32*D35,0))</f>
        <v>25439</v>
      </c>
      <c r="D35" s="1171">
        <f ca="1">IF(C33="自定义",ROUND(C35/C32,3),IF(C33="收益比率",SUMIF(INDIRECT("'"&amp;D33&amp;"'"&amp;"!b:b"),"建筑物收益比率",INDIRECT("'"&amp;D33&amp;"'"&amp;"!c:c")),SUMIF(INDIRECT("'"&amp;D33&amp;"'"&amp;"!b:b"),"建筑物成本比率",INDIRECT("'"&amp;D33&amp;"'"&amp;"!c:c"))))</f>
        <v>0.42099999999999999</v>
      </c>
      <c r="E35" s="1785" t="s">
        <v>1311</v>
      </c>
      <c r="F35" s="154">
        <f ca="1">成本法!C51</f>
        <v>27538</v>
      </c>
      <c r="G35" s="129"/>
      <c r="H35" s="129"/>
      <c r="I35" s="129"/>
    </row>
    <row r="36" spans="1:15" ht="15.75" thickBot="1">
      <c r="A36" s="3652" t="s">
        <v>1312</v>
      </c>
      <c r="B36" s="1786" t="s">
        <v>1313</v>
      </c>
      <c r="C36" s="145"/>
      <c r="D36" s="1787"/>
      <c r="E36" s="1788"/>
      <c r="F36" s="1789"/>
      <c r="G36" s="129"/>
      <c r="H36" s="129"/>
      <c r="I36" s="129"/>
    </row>
    <row r="37" spans="1:15" ht="15.75" thickBot="1">
      <c r="A37" s="3653"/>
      <c r="B37" s="1673" t="s">
        <v>1314</v>
      </c>
      <c r="C37" s="147"/>
      <c r="D37" s="1139"/>
      <c r="E37" s="1139"/>
      <c r="F37" s="1789"/>
      <c r="G37" s="129"/>
      <c r="H37" s="129"/>
      <c r="I37" s="129"/>
    </row>
    <row r="38" spans="1:15" ht="15.75" thickBot="1">
      <c r="A38" s="3654"/>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3" t="s">
        <v>1326</v>
      </c>
      <c r="B45" s="3674"/>
      <c r="C45" s="3675"/>
      <c r="D45" s="155">
        <f ca="1">ROUND(H101*F45,0)</f>
        <v>60424</v>
      </c>
      <c r="E45" s="156" t="s">
        <v>1327</v>
      </c>
      <c r="F45" s="157">
        <v>1</v>
      </c>
      <c r="G45" s="158" t="s">
        <v>1328</v>
      </c>
      <c r="H45" s="129"/>
      <c r="I45" s="129"/>
      <c r="J45" s="3592" t="s">
        <v>1329</v>
      </c>
      <c r="K45" s="3592"/>
      <c r="L45" s="3592"/>
      <c r="M45" s="3592"/>
      <c r="N45" s="3592"/>
      <c r="O45" s="3592"/>
    </row>
    <row r="46" spans="1:15" ht="14.25" customHeight="1">
      <c r="A46" s="3670" t="s">
        <v>1330</v>
      </c>
      <c r="B46" s="3671"/>
      <c r="C46" s="3671"/>
      <c r="D46" s="3671"/>
      <c r="E46" s="3671"/>
      <c r="F46" s="3671"/>
      <c r="G46" s="3672"/>
      <c r="H46" s="1805"/>
      <c r="I46" s="159"/>
      <c r="J46" s="2522">
        <v>1</v>
      </c>
      <c r="K46" s="3593" t="s">
        <v>1331</v>
      </c>
      <c r="L46" s="3593"/>
      <c r="M46" s="3594"/>
      <c r="N46" s="3594"/>
      <c r="O46" s="3594"/>
    </row>
    <row r="47" spans="1:15" ht="12" customHeight="1">
      <c r="A47" s="160" t="s">
        <v>1332</v>
      </c>
      <c r="B47" s="161"/>
      <c r="C47" s="162"/>
      <c r="D47" s="1087" t="s">
        <v>1333</v>
      </c>
      <c r="E47" s="302" t="s">
        <v>1334</v>
      </c>
      <c r="F47" s="163" t="s">
        <v>1335</v>
      </c>
      <c r="G47" s="2545" t="s">
        <v>1336</v>
      </c>
      <c r="H47" s="2546"/>
      <c r="I47" s="159"/>
      <c r="J47" s="2522">
        <v>2</v>
      </c>
      <c r="K47" s="3593" t="s">
        <v>1337</v>
      </c>
      <c r="L47" s="3593"/>
      <c r="M47" s="3595">
        <f>'数据-取费表'!B2</f>
        <v>45741</v>
      </c>
      <c r="N47" s="3595"/>
      <c r="O47" s="3595"/>
    </row>
    <row r="48" spans="1:15" ht="25.5">
      <c r="A48" s="3655" t="s">
        <v>1338</v>
      </c>
      <c r="B48" s="3656"/>
      <c r="C48" s="3656"/>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93" t="s">
        <v>1340</v>
      </c>
      <c r="L48" s="3593"/>
      <c r="M48" s="3596">
        <f ca="1">H101</f>
        <v>60424</v>
      </c>
      <c r="N48" s="3596"/>
      <c r="O48" s="3596"/>
    </row>
    <row r="49" spans="1:35" ht="25.5" customHeight="1">
      <c r="A49" s="2332" t="s">
        <v>1341</v>
      </c>
      <c r="B49" s="3641" t="s">
        <v>1342</v>
      </c>
      <c r="C49" s="3641"/>
      <c r="D49" s="1589">
        <v>0</v>
      </c>
      <c r="E49" s="324" t="s">
        <v>1343</v>
      </c>
      <c r="F49" s="2423" t="s">
        <v>28</v>
      </c>
      <c r="G49" s="3624"/>
      <c r="H49" s="2309" t="s">
        <v>2134</v>
      </c>
      <c r="I49" s="2310"/>
      <c r="J49" s="2522">
        <v>4</v>
      </c>
      <c r="K49" s="3593" t="str">
        <f>IF(项目基本情况!E8="房地产抵押价值","房地产抵押价值","抵押担保权已注销时的房地产抵押价值")</f>
        <v>房地产抵押价值</v>
      </c>
      <c r="L49" s="3593"/>
      <c r="M49" s="3596">
        <f ca="1">IF(项目基本情况!E8="房地产抵押价值",H107,H109)</f>
        <v>60424</v>
      </c>
      <c r="N49" s="3596"/>
      <c r="O49" s="3596"/>
    </row>
    <row r="50" spans="1:35" ht="25.5" customHeight="1">
      <c r="A50" s="2550"/>
      <c r="B50" s="3641" t="s">
        <v>1344</v>
      </c>
      <c r="C50" s="3641"/>
      <c r="D50" s="2551"/>
      <c r="E50" s="332"/>
      <c r="F50" s="2423"/>
      <c r="G50" s="3625"/>
      <c r="H50" s="2311" t="s">
        <v>2135</v>
      </c>
      <c r="I50" s="2310"/>
      <c r="J50" s="3592" t="s">
        <v>1345</v>
      </c>
      <c r="K50" s="3592"/>
      <c r="L50" s="3592"/>
      <c r="M50" s="3592"/>
      <c r="N50" s="3592"/>
      <c r="O50" s="3592"/>
    </row>
    <row r="51" spans="1:35" ht="20.45" customHeight="1">
      <c r="A51" s="2552"/>
      <c r="B51" s="3641" t="s">
        <v>1346</v>
      </c>
      <c r="C51" s="3641"/>
      <c r="D51" s="1087"/>
      <c r="E51" s="327"/>
      <c r="F51" s="2423"/>
      <c r="G51" s="3626"/>
      <c r="H51" s="2311" t="s">
        <v>2136</v>
      </c>
      <c r="I51" s="2310"/>
      <c r="J51" s="2523" t="s">
        <v>1347</v>
      </c>
      <c r="K51" s="3593" t="s">
        <v>1348</v>
      </c>
      <c r="L51" s="3593"/>
      <c r="M51" s="2523" t="s">
        <v>1349</v>
      </c>
      <c r="N51" s="2523" t="s">
        <v>1350</v>
      </c>
      <c r="O51" s="2523" t="s">
        <v>1351</v>
      </c>
    </row>
    <row r="52" spans="1:35" ht="24" customHeight="1">
      <c r="A52" s="2334" t="s">
        <v>1352</v>
      </c>
      <c r="B52" s="3641" t="s">
        <v>1353</v>
      </c>
      <c r="C52" s="3641"/>
      <c r="D52" s="1087">
        <f ca="1">ROUND(D45*'数据-取费表'!B41/(1+'数据-取费表'!C42),0)</f>
        <v>3165</v>
      </c>
      <c r="E52" s="2333" t="s">
        <v>1354</v>
      </c>
      <c r="F52" s="2553">
        <f>'数据-取费表'!B41</f>
        <v>5.5000000000000007E-2</v>
      </c>
      <c r="G52" s="2554"/>
      <c r="H52" s="2543"/>
      <c r="I52" s="1806"/>
      <c r="J52" s="2522">
        <v>1</v>
      </c>
      <c r="K52" s="3618" t="s">
        <v>1355</v>
      </c>
      <c r="L52" s="3618"/>
      <c r="M52" s="2524" t="b">
        <f>D48</f>
        <v>0</v>
      </c>
      <c r="N52" s="2522" t="str">
        <f>E48</f>
        <v>销售额×税（费）率</v>
      </c>
      <c r="O52" s="2525">
        <f>F48</f>
        <v>5.5000000000000007E-2</v>
      </c>
    </row>
    <row r="53" spans="1:35" ht="12" customHeight="1">
      <c r="A53" s="2334" t="s">
        <v>1356</v>
      </c>
      <c r="B53" s="3642" t="s">
        <v>2291</v>
      </c>
      <c r="C53" s="3643"/>
      <c r="D53" s="1087">
        <f ca="1">ROUND(D45*'数据-取费表'!B41/(1+'数据-取费表'!C42),0)</f>
        <v>3165</v>
      </c>
      <c r="E53" s="2333" t="s">
        <v>1354</v>
      </c>
      <c r="F53" s="2553">
        <f>'数据-取费表'!B41</f>
        <v>5.5000000000000007E-2</v>
      </c>
      <c r="G53" s="2554"/>
      <c r="H53" s="2543"/>
      <c r="I53" s="1806"/>
      <c r="J53" s="2522">
        <v>2</v>
      </c>
      <c r="K53" s="3618" t="s">
        <v>1357</v>
      </c>
      <c r="L53" s="3618"/>
      <c r="M53" s="2524">
        <f t="shared" ref="M53:O54" ca="1" si="0">D55</f>
        <v>30</v>
      </c>
      <c r="N53" s="2522" t="str">
        <f t="shared" si="0"/>
        <v>销售额×税（费）率</v>
      </c>
      <c r="O53" s="2525" t="str">
        <f t="shared" si="0"/>
        <v>免征</v>
      </c>
    </row>
    <row r="54" spans="1:35" ht="12" customHeight="1">
      <c r="A54" s="2334" t="s">
        <v>1358</v>
      </c>
      <c r="B54" s="3642" t="s">
        <v>2292</v>
      </c>
      <c r="C54" s="3643"/>
      <c r="D54" s="1087">
        <f ca="1">C68</f>
        <v>3165</v>
      </c>
      <c r="E54" s="327" t="s">
        <v>1359</v>
      </c>
      <c r="F54" s="2553">
        <f>'数据-取费表'!B41</f>
        <v>5.5000000000000007E-2</v>
      </c>
      <c r="G54" s="2554"/>
      <c r="H54" s="2555"/>
      <c r="I54" s="1806"/>
      <c r="J54" s="2522">
        <v>3</v>
      </c>
      <c r="K54" s="3618" t="s">
        <v>1360</v>
      </c>
      <c r="L54" s="3618"/>
      <c r="M54" s="2524">
        <f t="shared" ca="1" si="0"/>
        <v>34255</v>
      </c>
      <c r="N54" s="2522" t="str">
        <f t="shared" si="0"/>
        <v>增值额×税（费）率</v>
      </c>
      <c r="O54" s="2526" t="str">
        <f t="shared" si="0"/>
        <v>免征</v>
      </c>
    </row>
    <row r="55" spans="1:35" ht="24" customHeight="1">
      <c r="A55" s="3679" t="s">
        <v>1361</v>
      </c>
      <c r="B55" s="3656"/>
      <c r="C55" s="3656"/>
      <c r="D55" s="2323">
        <f ca="1">IF(H55="个人住宅",0,ROUND(D45*I55,0))</f>
        <v>30</v>
      </c>
      <c r="E55" s="2333" t="s">
        <v>1362</v>
      </c>
      <c r="F55" s="2553" t="str">
        <f>IF(H55="正常",I55,"免征")</f>
        <v>免征</v>
      </c>
      <c r="G55" s="2554"/>
      <c r="H55" s="2549"/>
      <c r="I55" s="165">
        <f>'数据-取费表'!B49</f>
        <v>5.0000000000000001E-4</v>
      </c>
      <c r="J55" s="2522">
        <f>IF(H59="非个人房产","",4)</f>
        <v>4</v>
      </c>
      <c r="K55" s="3618" t="str">
        <f>IF(H59="非个人房产","——","个人所得税")</f>
        <v>个人所得税</v>
      </c>
      <c r="L55" s="3618"/>
      <c r="M55" s="2527">
        <f ca="1">D59</f>
        <v>575</v>
      </c>
      <c r="N55" s="2039" t="str">
        <f>E59</f>
        <v>差额计税</v>
      </c>
      <c r="O55" s="2528">
        <f>F59</f>
        <v>0.01</v>
      </c>
    </row>
    <row r="56" spans="1:35" ht="24.75">
      <c r="A56" s="3679" t="s">
        <v>1363</v>
      </c>
      <c r="B56" s="3656"/>
      <c r="C56" s="3656"/>
      <c r="D56" s="2323">
        <f ca="1">IF(H56="个人住宅",D57,D58)</f>
        <v>34255</v>
      </c>
      <c r="E56" s="2333" t="s">
        <v>1364</v>
      </c>
      <c r="F56" s="2553" t="str">
        <f>IF(H56="正常",F58,"免征")</f>
        <v>免征</v>
      </c>
      <c r="G56" s="2556" t="s">
        <v>1365</v>
      </c>
      <c r="H56" s="2557"/>
      <c r="I56" s="1807"/>
      <c r="J56" s="2522" t="str">
        <f>IF(项目基本情况!K6="上海银行",IF(J55="",4,J55+1),"")</f>
        <v/>
      </c>
      <c r="K56" s="3599" t="str">
        <f>IF(项目基本情况!K6="上海银行","其他处置费用","")</f>
        <v/>
      </c>
      <c r="L56" s="3600"/>
      <c r="M56" s="2524" t="str">
        <f>IF(项目基本情况!K6="上海银行",M69,"")</f>
        <v/>
      </c>
      <c r="N56" s="3599" t="str">
        <f>IF(项目基本情况!K6="上海银行","包含处置中涉及的律师、诉讼、拍卖、评估等费用","")</f>
        <v/>
      </c>
      <c r="O56" s="3602"/>
    </row>
    <row r="57" spans="1:35" ht="12.75">
      <c r="A57" s="2334" t="s">
        <v>1341</v>
      </c>
      <c r="B57" s="3642" t="s">
        <v>1366</v>
      </c>
      <c r="C57" s="3643"/>
      <c r="D57" s="1589">
        <v>0</v>
      </c>
      <c r="E57" s="324" t="s">
        <v>1343</v>
      </c>
      <c r="F57" s="302"/>
      <c r="G57" s="2554"/>
      <c r="H57" s="2558"/>
      <c r="I57" s="1807"/>
      <c r="J57" s="3618">
        <f>IF(AND(J55="",J56=""),4,IF(项目基本情况!K6="上海银行",结果表!J56+1,结果表!J55+1))</f>
        <v>5</v>
      </c>
      <c r="K57" s="3618" t="s">
        <v>1367</v>
      </c>
      <c r="L57" s="2529" t="s">
        <v>1368</v>
      </c>
      <c r="M57" s="2530"/>
      <c r="N57" s="2531">
        <f ca="1">SUMIF(M52:M56,"&lt;9e307")</f>
        <v>34860</v>
      </c>
      <c r="O57" s="2532"/>
      <c r="P57" s="2689">
        <f ca="1">N57/M49</f>
        <v>0.57692307692307687</v>
      </c>
    </row>
    <row r="58" spans="1:35" ht="24.75">
      <c r="A58" s="2334" t="s">
        <v>1352</v>
      </c>
      <c r="B58" s="3642" t="s">
        <v>1369</v>
      </c>
      <c r="C58" s="3641"/>
      <c r="D58" s="2323">
        <f ca="1">IF(H58="转让取得",C81,C97)</f>
        <v>34255</v>
      </c>
      <c r="E58" s="2333" t="s">
        <v>1364</v>
      </c>
      <c r="F58" s="302" t="s">
        <v>28</v>
      </c>
      <c r="G58" s="2554"/>
      <c r="H58" s="2557"/>
      <c r="I58" s="1807"/>
      <c r="J58" s="3618"/>
      <c r="K58" s="3618"/>
      <c r="L58" s="2529" t="s">
        <v>1370</v>
      </c>
      <c r="M58" s="2533"/>
      <c r="N58" s="2534" t="str">
        <f ca="1">NUMBERSTRING(INT(N57*10000),2)&amp;"元整"</f>
        <v>叁亿肆仟捌佰陆拾万元整</v>
      </c>
      <c r="O58" s="2535"/>
    </row>
    <row r="59" spans="1:35" ht="24.75" thickBot="1">
      <c r="A59" s="3622" t="s">
        <v>1371</v>
      </c>
      <c r="B59" s="3623"/>
      <c r="C59" s="3623"/>
      <c r="D59" s="2559">
        <f ca="1">IF(H59="非个人房产","——",IF(H59="个人住宅（满五唯一有凭证）",0,IF(H59="个人其他（无凭证）",ROUND(D45*F59,0),ROUND(C67*F59,0))))</f>
        <v>575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0">
        <f>J57+1</f>
        <v>6</v>
      </c>
      <c r="K59" s="3618" t="s">
        <v>1372</v>
      </c>
      <c r="L59" s="2522" t="s">
        <v>1368</v>
      </c>
      <c r="M59" s="2536"/>
      <c r="N59" s="2537">
        <f ca="1">M49-N57</f>
        <v>25564</v>
      </c>
      <c r="O59" s="2538"/>
    </row>
    <row r="60" spans="1:35" ht="12" customHeight="1">
      <c r="A60" s="1808"/>
      <c r="B60" s="1746"/>
      <c r="C60" s="1746"/>
      <c r="D60" s="1746"/>
      <c r="E60" s="1577"/>
      <c r="F60" s="1807"/>
      <c r="G60" s="1807"/>
      <c r="H60" s="1809"/>
      <c r="I60" s="129"/>
      <c r="J60" s="3621"/>
      <c r="K60" s="3618"/>
      <c r="L60" s="2529" t="s">
        <v>1370</v>
      </c>
      <c r="M60" s="2533"/>
      <c r="N60" s="2534" t="str">
        <f ca="1">NUMBERSTRING(INT(N59*10000),2)&amp;"元整"</f>
        <v>贰亿伍仟伍佰陆拾肆万元整</v>
      </c>
      <c r="O60" s="2535"/>
    </row>
    <row r="61" spans="1:35" ht="13.5" thickBot="1">
      <c r="A61" s="3678" t="s">
        <v>1373</v>
      </c>
      <c r="B61" s="3678"/>
      <c r="C61" s="3678"/>
      <c r="D61" s="3678"/>
      <c r="E61" s="3678"/>
      <c r="F61" s="1807"/>
      <c r="G61" s="1807"/>
      <c r="H61" s="1809"/>
      <c r="I61" s="129"/>
      <c r="J61" s="2522">
        <f>J59+1</f>
        <v>7</v>
      </c>
      <c r="K61" s="3618" t="s">
        <v>1374</v>
      </c>
      <c r="L61" s="3618"/>
      <c r="M61" s="2539"/>
      <c r="N61" s="2540">
        <f ca="1">ROUND(N59*10000/'数据-汇总表'!E3,0)</f>
        <v>6438</v>
      </c>
      <c r="O61" s="2541"/>
    </row>
    <row r="62" spans="1:35" ht="12.75">
      <c r="A62" s="3637" t="s">
        <v>1375</v>
      </c>
      <c r="B62" s="3638"/>
      <c r="C62" s="2020"/>
      <c r="D62" s="2020" t="s">
        <v>1376</v>
      </c>
      <c r="E62" s="166" t="s">
        <v>1377</v>
      </c>
      <c r="F62" s="1807"/>
      <c r="G62" s="1807"/>
      <c r="H62" s="1809"/>
      <c r="I62" s="129"/>
    </row>
    <row r="63" spans="1:35" ht="12.75">
      <c r="A63" s="173" t="s">
        <v>330</v>
      </c>
      <c r="B63" s="167" t="s">
        <v>1378</v>
      </c>
      <c r="C63" s="2563">
        <f ca="1">ROUND((C64+C65)/(1+'数据-取费表'!C42),0)</f>
        <v>57547</v>
      </c>
      <c r="D63" s="167"/>
      <c r="E63" s="168"/>
      <c r="F63" s="1807"/>
      <c r="G63" s="1807"/>
      <c r="H63" s="1809"/>
      <c r="I63" s="129"/>
      <c r="J63" s="3601" t="s">
        <v>1379</v>
      </c>
      <c r="K63" s="1331" t="s">
        <v>1380</v>
      </c>
      <c r="L63" s="1331">
        <f ca="1">IF(M49&gt;10000,M49*0.5%,IF(AND(M49&gt;1000,M49&lt;=10000),M49*1%,IF(AND(M49&gt;100,M49&lt;=1000),M49*3%,IF(AND(M49&gt;10,M49&lt;=100),M49*5%,M49*8%))))</f>
        <v>302.12</v>
      </c>
      <c r="M63" s="302">
        <f ca="1">ROUND(L63,1)</f>
        <v>302.10000000000002</v>
      </c>
      <c r="N63" s="2542"/>
      <c r="Z63" s="1751"/>
      <c r="AI63" s="1752"/>
    </row>
    <row r="64" spans="1:35" ht="14.25" customHeight="1">
      <c r="A64" s="169" t="s">
        <v>325</v>
      </c>
      <c r="B64" s="170" t="s">
        <v>1381</v>
      </c>
      <c r="C64" s="2564">
        <f ca="1">D45</f>
        <v>60424</v>
      </c>
      <c r="D64" s="170" t="s">
        <v>26</v>
      </c>
      <c r="E64" s="172"/>
      <c r="F64" s="1807"/>
      <c r="G64" s="1807"/>
      <c r="H64" s="1809"/>
      <c r="I64" s="129"/>
      <c r="J64" s="3601"/>
      <c r="K64" s="1331" t="s">
        <v>1382</v>
      </c>
      <c r="L64" s="1331">
        <f ca="1">IF(M49&gt;2000,M49*0.5%,IF(AND(M49&gt;1000,M49&lt;=2000),M49*0.6%,IF(AND(M49&gt;500,M49&lt;=1000),M49*0.7%,IF(AND(M49&gt;200,M49&lt;=500),M49*0.8%,IF(AND(M49&gt;100,M49&lt;=200),M49*0.9%,IF(AND(M49&gt;50,M49&lt;=100),M49*1%,IF(AND(M49&gt;20,M49&lt;=50),M49*1.5%,IF(AND(M49&gt;10,M49&lt;=20),M49*2%,IF(AND(M49&gt;1,M49&lt;=10),M49*2.5%)))))))))</f>
        <v>302.12</v>
      </c>
      <c r="M64" s="302">
        <f t="shared" ref="M64:M65" ca="1" si="1">ROUND(L64,1)</f>
        <v>302.10000000000002</v>
      </c>
      <c r="N64" s="2543" t="s">
        <v>1383</v>
      </c>
      <c r="Z64" s="1751"/>
      <c r="AI64" s="1752"/>
    </row>
    <row r="65" spans="1:35" ht="14.25" customHeight="1">
      <c r="A65" s="169" t="s">
        <v>326</v>
      </c>
      <c r="B65" s="170" t="s">
        <v>1384</v>
      </c>
      <c r="C65" s="2565"/>
      <c r="D65" s="170"/>
      <c r="E65" s="172"/>
      <c r="F65" s="1807"/>
      <c r="G65" s="1807"/>
      <c r="H65" s="1809"/>
      <c r="I65" s="129"/>
      <c r="J65" s="3601"/>
      <c r="K65" s="1331" t="s">
        <v>1385</v>
      </c>
      <c r="L65" s="1331">
        <f ca="1">IF(M49&gt;1000,M49*0.1%,IF(AND(M49&gt;500,M49&lt;=1000),M49*0.5%,IF(AND(M49&gt;50,M49&lt;=500),M49*1%,IF(AND(M49&gt;1,M49&lt;=50),M49*1.5%))))</f>
        <v>60.423999999999999</v>
      </c>
      <c r="M65" s="302">
        <f t="shared" ca="1" si="1"/>
        <v>60.4</v>
      </c>
      <c r="N65" s="2543" t="s">
        <v>1383</v>
      </c>
      <c r="Z65" s="1751"/>
      <c r="AI65" s="1752"/>
    </row>
    <row r="66" spans="1:35" ht="14.25" customHeight="1">
      <c r="A66" s="173" t="s">
        <v>327</v>
      </c>
      <c r="B66" s="174" t="s">
        <v>1386</v>
      </c>
      <c r="C66" s="2566"/>
      <c r="D66" s="174" t="s">
        <v>26</v>
      </c>
      <c r="E66" s="1337" t="s">
        <v>671</v>
      </c>
      <c r="F66" s="1807"/>
      <c r="G66" s="1807"/>
      <c r="H66" s="1809"/>
      <c r="I66" s="129"/>
      <c r="J66" s="3601"/>
      <c r="K66" s="1331" t="s">
        <v>1387</v>
      </c>
      <c r="L66" s="1331">
        <f ca="1">M49*0.5%</f>
        <v>302.12</v>
      </c>
      <c r="M66" s="302">
        <f ca="1">IF(L66&gt;0.5,0.5,ROUND(L66,0))</f>
        <v>0.5</v>
      </c>
      <c r="N66" s="2543" t="s">
        <v>1388</v>
      </c>
      <c r="Z66" s="1751"/>
      <c r="AI66" s="1752"/>
    </row>
    <row r="67" spans="1:35" ht="14.25" customHeight="1">
      <c r="A67" s="173" t="s">
        <v>328</v>
      </c>
      <c r="B67" s="174" t="s">
        <v>1389</v>
      </c>
      <c r="C67" s="2567">
        <f ca="1">C63-C66</f>
        <v>57547</v>
      </c>
      <c r="D67" s="170" t="s">
        <v>26</v>
      </c>
      <c r="E67" s="172"/>
      <c r="F67" s="1807"/>
      <c r="G67" s="1807"/>
      <c r="H67" s="1809"/>
      <c r="I67" s="129"/>
      <c r="J67" s="3601"/>
      <c r="K67" s="1331" t="s">
        <v>1390</v>
      </c>
      <c r="L67" s="1331">
        <f ca="1">IF(M49&gt;=10000,(8.25+(M49-10000)*0.01%),IF(AND(M49&gt;=8000,M49&lt;10000),(7.85+(M49-8000)*0.02%),IF(AND(M49&gt;=5000,M49&lt;8000),(6.65+(M49-5000)*0.04%),IF(AND(M49&gt;=2000,M49&lt;5000),(4.25+(PM49-2000)*0.08%),IF(AND(M49&gt;=1000,M49&lt;2000),(2.75+(M49-1000)*0.15%),IF(AND(M49&gt;=100,M49&lt;1000),(0.5+(M49-100)*0.25%),IF(AND(M49&gt;0,M49&lt;100),M49*0.5%)))))))</f>
        <v>13.292400000000001</v>
      </c>
      <c r="M67" s="302">
        <f ca="1">ROUND(L67*0.9,1)</f>
        <v>12</v>
      </c>
      <c r="N67" s="2542"/>
      <c r="Z67" s="1751"/>
      <c r="AI67" s="1752"/>
    </row>
    <row r="68" spans="1:35" ht="14.25" customHeight="1" thickBot="1">
      <c r="A68" s="176" t="s">
        <v>329</v>
      </c>
      <c r="B68" s="177" t="s">
        <v>1391</v>
      </c>
      <c r="C68" s="2568">
        <f ca="1">IF(C67&lt;=0,0,ROUND(C67*D68,0))</f>
        <v>3165</v>
      </c>
      <c r="D68" s="2569">
        <f>'数据-取费表'!B41</f>
        <v>5.5000000000000007E-2</v>
      </c>
      <c r="E68" s="178"/>
      <c r="F68" s="1807"/>
      <c r="G68" s="1807"/>
      <c r="H68" s="1809"/>
      <c r="I68" s="129"/>
      <c r="J68" s="3601"/>
      <c r="K68" s="1331" t="s">
        <v>1392</v>
      </c>
      <c r="L68" s="1331">
        <f ca="1">IF(M49&gt;10000,M49*0.5%,IF(AND(M49&gt;5000,M49&lt;=10000),M49*1%,IF(AND(M49&gt;1000,M49&lt;=5000),M49*2%,IF(AND(M49&gt;200,M49&lt;=1000),M49*3%,M49*5%))))</f>
        <v>302.12</v>
      </c>
      <c r="M68" s="302">
        <f ca="1">ROUND(L68,1)</f>
        <v>302.10000000000002</v>
      </c>
      <c r="N68" s="2542"/>
      <c r="Z68" s="1751"/>
      <c r="AI68" s="1752"/>
    </row>
    <row r="69" spans="1:35" s="1771" customFormat="1" ht="16.5" customHeight="1">
      <c r="A69" s="1810"/>
      <c r="B69" s="1811"/>
      <c r="C69" s="1812"/>
      <c r="D69" s="1813"/>
      <c r="E69" s="1814"/>
      <c r="F69" s="1577"/>
      <c r="G69" s="1577"/>
      <c r="H69" s="1576"/>
      <c r="I69" s="1746"/>
      <c r="J69" s="3601"/>
      <c r="K69" s="1331" t="s">
        <v>1393</v>
      </c>
      <c r="L69" s="1331"/>
      <c r="M69" s="302">
        <f ca="1">ROUND(SUM(M63:M68),0)</f>
        <v>979</v>
      </c>
      <c r="N69" s="2544">
        <f ca="1">M69/M49</f>
        <v>1.6202171322653249E-2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5" t="s">
        <v>1394</v>
      </c>
      <c r="B70" s="3646"/>
      <c r="C70" s="3646"/>
      <c r="D70" s="3646"/>
      <c r="E70" s="3646"/>
      <c r="F70" s="3646"/>
      <c r="G70" s="3646"/>
      <c r="H70" s="364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7" t="s">
        <v>1375</v>
      </c>
      <c r="B71" s="363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57547</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288</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42" t="s">
        <v>1402</v>
      </c>
      <c r="F76" s="3641"/>
      <c r="G76" s="3641"/>
      <c r="H76" s="364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288</v>
      </c>
      <c r="D78" s="2576">
        <f>'数据-取费表'!B43</f>
        <v>5.000000000000001E-3</v>
      </c>
      <c r="E78" s="3634" t="s">
        <v>1406</v>
      </c>
      <c r="F78" s="3635"/>
      <c r="G78" s="3635"/>
      <c r="H78" s="363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57259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198.81597222222223</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34255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5" t="s">
        <v>1410</v>
      </c>
      <c r="B83" s="3646"/>
      <c r="C83" s="3646"/>
      <c r="D83" s="3646"/>
      <c r="E83" s="3646"/>
      <c r="F83" s="3646"/>
      <c r="G83" s="3646"/>
      <c r="H83" s="364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7" t="s">
        <v>1375</v>
      </c>
      <c r="B84" s="363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57547</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288</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03" t="s">
        <v>2129</v>
      </c>
      <c r="H90" s="3604"/>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34" t="s">
        <v>1419</v>
      </c>
      <c r="F91" s="3635"/>
      <c r="G91" s="363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34" t="s">
        <v>1422</v>
      </c>
      <c r="F92" s="3635"/>
      <c r="G92" s="3635"/>
      <c r="H92" s="3636"/>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288</v>
      </c>
      <c r="D93" s="2576">
        <f>'数据-取费表'!B43</f>
        <v>5.000000000000001E-3</v>
      </c>
      <c r="E93" s="3634" t="s">
        <v>1406</v>
      </c>
      <c r="F93" s="3635"/>
      <c r="G93" s="3635"/>
      <c r="H93" s="363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83" t="s">
        <v>1426</v>
      </c>
      <c r="F94" s="3684"/>
      <c r="G94" s="3684"/>
      <c r="H94" s="368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57259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198.81597222222223</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34255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4" t="s">
        <v>1428</v>
      </c>
      <c r="B100" s="3585"/>
      <c r="C100" s="3585"/>
      <c r="D100" s="3619"/>
      <c r="E100" s="3585" t="s">
        <v>1429</v>
      </c>
      <c r="F100" s="3585"/>
      <c r="G100" s="3585"/>
      <c r="H100" s="3619"/>
      <c r="I100" s="129"/>
    </row>
    <row r="101" spans="1:35" ht="18.75" customHeight="1">
      <c r="A101" s="3627" t="s">
        <v>1430</v>
      </c>
      <c r="B101" s="3628"/>
      <c r="C101" s="2584" t="str">
        <f>C4</f>
        <v>成本法</v>
      </c>
      <c r="D101" s="2585" t="str">
        <f>D4</f>
        <v>收益法-办公</v>
      </c>
      <c r="E101" s="3597" t="s">
        <v>1431</v>
      </c>
      <c r="F101" s="3598"/>
      <c r="G101" s="1826" t="s">
        <v>1432</v>
      </c>
      <c r="H101" s="2594">
        <f ca="1">H118</f>
        <v>60424</v>
      </c>
      <c r="I101" s="129"/>
    </row>
    <row r="102" spans="1:35" ht="18.75" customHeight="1">
      <c r="A102" s="3629" t="s">
        <v>1433</v>
      </c>
      <c r="B102" s="2583" t="s">
        <v>1432</v>
      </c>
      <c r="C102" s="2584">
        <f ca="1">IF(D32="楼面单价",ROUND(C19,0),C19)</f>
        <v>65341</v>
      </c>
      <c r="D102" s="2585">
        <f ca="1">IF(D32="楼面单价",ROUND(D19,0),D19)</f>
        <v>53048</v>
      </c>
      <c r="E102" s="3597"/>
      <c r="F102" s="3598"/>
      <c r="G102" s="1826" t="s">
        <v>1434</v>
      </c>
      <c r="H102" s="2554">
        <f ca="1">I118</f>
        <v>15217</v>
      </c>
      <c r="I102" s="129"/>
    </row>
    <row r="103" spans="1:35" ht="42.75" customHeight="1">
      <c r="A103" s="3629"/>
      <c r="B103" s="2583" t="s">
        <v>1434</v>
      </c>
      <c r="C103" s="2586">
        <f ca="1">C20</f>
        <v>16455</v>
      </c>
      <c r="D103" s="2587">
        <f ca="1">D20</f>
        <v>13455</v>
      </c>
      <c r="E103" s="3590" t="s">
        <v>1435</v>
      </c>
      <c r="F103" s="3591"/>
      <c r="G103" s="1827" t="s">
        <v>1436</v>
      </c>
      <c r="H103" s="2594">
        <f>IF(D36="正常操作",H104+H105+H106,H105+H106)</f>
        <v>0</v>
      </c>
      <c r="I103" s="129"/>
    </row>
    <row r="104" spans="1:35" ht="18.75" customHeight="1">
      <c r="A104" s="3629" t="s">
        <v>1437</v>
      </c>
      <c r="B104" s="2588" t="s">
        <v>1432</v>
      </c>
      <c r="C104" s="2589">
        <f ca="1">H118</f>
        <v>60424</v>
      </c>
      <c r="D104" s="2590"/>
      <c r="E104" s="1673" t="s">
        <v>1438</v>
      </c>
      <c r="F104" s="1665"/>
      <c r="G104" s="1827" t="s">
        <v>1436</v>
      </c>
      <c r="H104" s="2595">
        <f>IF(D36="同一抵押权人同一抵押物续贷",C36&amp;"（续贷，未扣减，详见特别提示）",C36)</f>
        <v>0</v>
      </c>
      <c r="I104" s="129"/>
    </row>
    <row r="105" spans="1:35" ht="18.75" customHeight="1" thickBot="1">
      <c r="A105" s="3639"/>
      <c r="B105" s="2591" t="s">
        <v>1434</v>
      </c>
      <c r="C105" s="2592">
        <f ca="1">I118</f>
        <v>15217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30" t="str">
        <f>IF(项目基本情况!E8="已注销","——","3.房地产抵押价值")</f>
        <v>3.房地产抵押价值</v>
      </c>
      <c r="F107" s="3598"/>
      <c r="G107" s="1826" t="s">
        <v>1432</v>
      </c>
      <c r="H107" s="2594">
        <f ca="1">IF(E107="——","——",H101-H103)</f>
        <v>60424</v>
      </c>
      <c r="I107" s="129"/>
    </row>
    <row r="108" spans="1:35" ht="18.75" customHeight="1">
      <c r="A108" s="129"/>
      <c r="B108" s="129"/>
      <c r="C108" s="129">
        <v>60238</v>
      </c>
      <c r="D108" s="129"/>
      <c r="E108" s="3630"/>
      <c r="F108" s="3598"/>
      <c r="G108" s="1826" t="s">
        <v>1434</v>
      </c>
      <c r="H108" s="2554">
        <f ca="1">IF(H107=H101,H102,ROUND(H107*10000/'数据-汇总表'!E3,0))</f>
        <v>15217</v>
      </c>
      <c r="I108" s="129"/>
    </row>
    <row r="109" spans="1:35" ht="18.75" customHeight="1">
      <c r="A109" s="129"/>
      <c r="B109" s="129"/>
      <c r="C109" s="129">
        <f ca="1">C108-C104</f>
        <v>-186</v>
      </c>
      <c r="D109" s="129"/>
      <c r="E109" s="3630" t="str">
        <f>IF(项目基本情况!E8="已注销及未注销","4.抵押担保权已注销时的房地产抵押价值",IF(项目基本情况!E8="已注销","3.抵押担保权已注销时的房地产抵押价值","——"))</f>
        <v>——</v>
      </c>
      <c r="F109" s="3598"/>
      <c r="G109" s="1826" t="s">
        <v>1432</v>
      </c>
      <c r="H109" s="2597" t="str">
        <f>IF(E109="——","——",H101-H105-H106)</f>
        <v>——</v>
      </c>
      <c r="I109" s="129"/>
    </row>
    <row r="110" spans="1:35" ht="18.75" customHeight="1">
      <c r="A110" s="129"/>
      <c r="B110" s="129"/>
      <c r="C110" s="129"/>
      <c r="D110" s="129"/>
      <c r="E110" s="3630"/>
      <c r="F110" s="3598"/>
      <c r="G110" s="1826" t="s">
        <v>1434</v>
      </c>
      <c r="H110" s="2554"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17"/>
      <c r="G111" s="1826" t="s">
        <v>1432</v>
      </c>
      <c r="H111" s="2594" t="str">
        <f>IF(E111="——","——",N59)</f>
        <v>——</v>
      </c>
      <c r="I111" s="129"/>
    </row>
    <row r="112" spans="1:35" ht="18.75" customHeight="1" thickBot="1">
      <c r="A112" s="129"/>
      <c r="B112" s="129">
        <v>0</v>
      </c>
      <c r="C112" s="129"/>
      <c r="D112" s="129"/>
      <c r="E112" s="3632"/>
      <c r="F112" s="3633"/>
      <c r="G112" s="1829" t="s">
        <v>1434</v>
      </c>
      <c r="H112" s="2598" t="str">
        <f>IF(E111="——","——",N61)</f>
        <v>——</v>
      </c>
      <c r="I112" s="129"/>
    </row>
    <row r="113" spans="1:27" ht="18.75" customHeight="1">
      <c r="A113" s="129"/>
      <c r="B113" s="129"/>
      <c r="C113" s="129"/>
      <c r="D113" s="129"/>
      <c r="E113" s="3640" t="s">
        <v>1440</v>
      </c>
      <c r="F113" s="3640"/>
      <c r="G113" s="3640"/>
      <c r="H113" s="3640"/>
      <c r="I113" s="129"/>
    </row>
    <row r="114" spans="1:27" ht="3.75" customHeight="1">
      <c r="A114" s="1746"/>
      <c r="B114" s="1746"/>
      <c r="C114" s="1746"/>
      <c r="D114" s="1746"/>
      <c r="E114" s="1808"/>
      <c r="F114" s="1808"/>
      <c r="G114" s="1808"/>
      <c r="H114" s="1808"/>
      <c r="I114" s="1746"/>
    </row>
    <row r="115" spans="1:27" ht="18.75" customHeight="1">
      <c r="A115" s="3648" t="s">
        <v>1442</v>
      </c>
      <c r="B115" s="3649"/>
      <c r="C115" s="3649"/>
      <c r="D115" s="3649"/>
      <c r="E115" s="3649"/>
      <c r="F115" s="3649"/>
      <c r="G115" s="3649"/>
      <c r="H115" s="3649"/>
      <c r="I115" s="3650"/>
    </row>
    <row r="116" spans="1:27" ht="27" customHeight="1">
      <c r="A116" s="3605" t="s">
        <v>1443</v>
      </c>
      <c r="B116" s="3609" t="s">
        <v>1444</v>
      </c>
      <c r="C116" s="3609" t="s">
        <v>1445</v>
      </c>
      <c r="D116" s="3615" t="s">
        <v>1446</v>
      </c>
      <c r="E116" s="3616"/>
      <c r="F116" s="3647" t="s">
        <v>1447</v>
      </c>
      <c r="G116" s="3647"/>
      <c r="H116" s="3605" t="s">
        <v>1448</v>
      </c>
      <c r="I116" s="3605"/>
    </row>
    <row r="117" spans="1:27" ht="18.75" customHeight="1">
      <c r="A117" s="3605"/>
      <c r="B117" s="3610"/>
      <c r="C117" s="361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39707.96</v>
      </c>
      <c r="C118" s="2328">
        <f>M19</f>
        <v>6294.36</v>
      </c>
      <c r="D118" s="2328">
        <f ca="1">ROUND(IF(D32="总价",C34,E118*B118/10000),0)</f>
        <v>34985</v>
      </c>
      <c r="E118" s="2328">
        <f ca="1">ROUND(IF(C33="自定义",IF(D32="楼面单价",C34,D118*10000/B118),I118-G118),0)</f>
        <v>8810</v>
      </c>
      <c r="F118" s="2328">
        <f ca="1">ROUND(IF(D32="总价",C35,G118*B118/10000),0)</f>
        <v>25439</v>
      </c>
      <c r="G118" s="2328">
        <f ca="1">ROUND(IF(D32="楼面单价",C35,F118*10000/B118),0)</f>
        <v>6407</v>
      </c>
      <c r="H118" s="2328">
        <f ca="1">ROUND(IF(D32="总价",C32,I118*B118/10000),0)</f>
        <v>60424</v>
      </c>
      <c r="I118" s="2328">
        <f ca="1">ROUND(IF(D32="楼面单价",C32,H118*10000/B118),0)</f>
        <v>15217</v>
      </c>
    </row>
    <row r="119" spans="1:27" ht="18.75" customHeight="1">
      <c r="A119" s="3605" t="s">
        <v>1452</v>
      </c>
      <c r="B119" s="3605"/>
      <c r="C119" s="3605"/>
      <c r="D119" s="3611" t="str">
        <f ca="1">NUMBERSTRING(INT(D118*10000),2)&amp;"元整"</f>
        <v>叁亿肆仟玖佰捌拾伍万元整</v>
      </c>
      <c r="E119" s="3612"/>
      <c r="F119" s="3611" t="str">
        <f ca="1">NUMBERSTRING(INT(F118*10000),2)&amp;"元整"</f>
        <v>贰亿伍仟肆佰叁拾玖万元整</v>
      </c>
      <c r="G119" s="3612"/>
      <c r="H119" s="3611" t="str">
        <f ca="1">NUMBERSTRING(INT(H118*10000),2)&amp;"元整"</f>
        <v>陆亿零肆佰贰拾肆万元整</v>
      </c>
      <c r="I119" s="3612"/>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1" t="s">
        <v>1452</v>
      </c>
      <c r="B121" s="3613"/>
      <c r="C121" s="3612"/>
      <c r="D121" s="3611" t="str">
        <f>IF(D120=0,"零元整",NUMBERSTRING(INT(D120*10000),2)&amp;"元整")</f>
        <v>零元整</v>
      </c>
      <c r="E121" s="3613"/>
      <c r="F121" s="3613"/>
      <c r="G121" s="3613"/>
      <c r="H121" s="3613"/>
      <c r="I121" s="3612"/>
      <c r="AA121" s="725"/>
    </row>
    <row r="122" spans="1:27" ht="18.75" customHeight="1">
      <c r="A122" s="3617" t="str">
        <f>IF(项目基本情况!B9="房地产市场价值","",MID(E107,3,LEN(E107)-2))</f>
        <v>房地产抵押价值</v>
      </c>
      <c r="B122" s="3617"/>
      <c r="C122" s="3617"/>
      <c r="D122" s="3606">
        <f ca="1">H107</f>
        <v>60424</v>
      </c>
      <c r="E122" s="3607"/>
      <c r="F122" s="3607"/>
      <c r="G122" s="3607"/>
      <c r="H122" s="3607"/>
      <c r="I122" s="3608"/>
      <c r="AA122" s="725"/>
    </row>
    <row r="123" spans="1:27" ht="18.75" customHeight="1">
      <c r="A123" s="3605" t="s">
        <v>1452</v>
      </c>
      <c r="B123" s="3605"/>
      <c r="C123" s="3605"/>
      <c r="D123" s="3611" t="str">
        <f ca="1">NUMBERSTRING(INT(D122*10000),2)&amp;"元整"</f>
        <v>陆亿零肆佰贰拾肆万元整</v>
      </c>
      <c r="E123" s="3613"/>
      <c r="F123" s="3613"/>
      <c r="G123" s="3613"/>
      <c r="H123" s="3613"/>
      <c r="I123" s="3612"/>
      <c r="AA123" s="725"/>
    </row>
    <row r="124" spans="1:27" ht="18.75" customHeight="1">
      <c r="A124" s="3617" t="str">
        <f>IF(项目基本情况!B9="房地产市场价值","",MID(E109,3,LEN(E109)-2))</f>
        <v/>
      </c>
      <c r="B124" s="3617"/>
      <c r="C124" s="3617"/>
      <c r="D124" s="3606" t="str">
        <f>H109</f>
        <v>——</v>
      </c>
      <c r="E124" s="3607"/>
      <c r="F124" s="3607"/>
      <c r="G124" s="3607"/>
      <c r="H124" s="3607"/>
      <c r="I124" s="3608"/>
      <c r="AA124" s="725"/>
    </row>
    <row r="125" spans="1:27" ht="18.75" customHeight="1">
      <c r="A125" s="3605" t="s">
        <v>1452</v>
      </c>
      <c r="B125" s="3605"/>
      <c r="C125" s="3605"/>
      <c r="D125" s="3611" t="e">
        <f>NUMBERSTRING(INT(D124*10000),2)&amp;"元整"</f>
        <v>#VALUE!</v>
      </c>
      <c r="E125" s="3613"/>
      <c r="F125" s="3613"/>
      <c r="G125" s="3613"/>
      <c r="H125" s="3613"/>
      <c r="I125" s="3612"/>
      <c r="AA125" s="725"/>
    </row>
    <row r="126" spans="1:27" ht="18.75" customHeight="1">
      <c r="A126" s="3617" t="str">
        <f>IF(项目基本情况!B9="房地产市场价值","",MID(E111,3,LEN(E111)-2))</f>
        <v/>
      </c>
      <c r="B126" s="3617"/>
      <c r="C126" s="3617"/>
      <c r="D126" s="3606" t="str">
        <f>H111</f>
        <v>——</v>
      </c>
      <c r="E126" s="3607"/>
      <c r="F126" s="3607"/>
      <c r="G126" s="3607"/>
      <c r="H126" s="3607"/>
      <c r="I126" s="3608"/>
      <c r="AA126" s="725"/>
    </row>
    <row r="127" spans="1:27" ht="18.75" customHeight="1">
      <c r="A127" s="3605" t="s">
        <v>1452</v>
      </c>
      <c r="B127" s="3605"/>
      <c r="C127" s="3605"/>
      <c r="D127" s="3611" t="e">
        <f>NUMBERSTRING(INT(D126*10000),2)&amp;"元整"</f>
        <v>#VALUE!</v>
      </c>
      <c r="E127" s="3613"/>
      <c r="F127" s="3613"/>
      <c r="G127" s="3613"/>
      <c r="H127" s="3613"/>
      <c r="I127" s="3612"/>
      <c r="AA127" s="725"/>
    </row>
    <row r="128" spans="1:27" ht="21.75" customHeight="1">
      <c r="A128" s="3614" t="s">
        <v>1453</v>
      </c>
      <c r="B128" s="3614"/>
      <c r="C128" s="3614"/>
      <c r="D128" s="3614"/>
      <c r="E128" s="3614"/>
      <c r="F128" s="3614"/>
      <c r="G128" s="3614"/>
      <c r="H128" s="3614"/>
      <c r="I128" s="361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33"/>
  <sheetViews>
    <sheetView workbookViewId="0">
      <selection activeCell="I14" sqref="I14"/>
    </sheetView>
  </sheetViews>
  <sheetFormatPr defaultRowHeight="13.5"/>
  <cols>
    <col min="1" max="1" width="13.375" customWidth="1"/>
  </cols>
  <sheetData>
    <row r="1" spans="1:9">
      <c r="B1" s="3468" t="s">
        <v>3412</v>
      </c>
      <c r="C1" s="3468" t="s">
        <v>3413</v>
      </c>
    </row>
    <row r="2" spans="1:9">
      <c r="A2" s="3468" t="s">
        <v>3414</v>
      </c>
      <c r="B2">
        <v>3996.73</v>
      </c>
      <c r="C2">
        <v>3515.45</v>
      </c>
    </row>
    <row r="3" spans="1:9">
      <c r="A3" s="3468" t="s">
        <v>3415</v>
      </c>
      <c r="B3">
        <v>3996.71</v>
      </c>
      <c r="C3">
        <v>63.75</v>
      </c>
      <c r="F3" s="3468" t="s">
        <v>3424</v>
      </c>
      <c r="I3" s="3468" t="s">
        <v>3435</v>
      </c>
    </row>
    <row r="4" spans="1:9">
      <c r="A4" s="3468" t="s">
        <v>3417</v>
      </c>
      <c r="B4">
        <v>152.22</v>
      </c>
      <c r="H4" s="3468" t="s">
        <v>3431</v>
      </c>
      <c r="I4">
        <v>18</v>
      </c>
    </row>
    <row r="5" spans="1:9">
      <c r="A5" s="3468" t="s">
        <v>3416</v>
      </c>
      <c r="B5">
        <v>2695.74</v>
      </c>
      <c r="C5">
        <v>43.17</v>
      </c>
      <c r="H5" s="3468" t="s">
        <v>3433</v>
      </c>
      <c r="I5">
        <v>3</v>
      </c>
    </row>
    <row r="6" spans="1:9">
      <c r="A6">
        <v>1</v>
      </c>
      <c r="B6">
        <v>2314.3200000000002</v>
      </c>
      <c r="C6">
        <v>42.93</v>
      </c>
      <c r="F6" s="3468" t="s">
        <v>3412</v>
      </c>
      <c r="H6" s="3468" t="s">
        <v>3434</v>
      </c>
      <c r="I6">
        <f>I7+I8</f>
        <v>39707.960000000006</v>
      </c>
    </row>
    <row r="7" spans="1:9">
      <c r="A7">
        <v>2</v>
      </c>
      <c r="B7">
        <v>2091.71</v>
      </c>
      <c r="H7" s="3468" t="s">
        <v>3431</v>
      </c>
      <c r="I7">
        <f>B29+B30</f>
        <v>32488.930000000008</v>
      </c>
    </row>
    <row r="8" spans="1:9">
      <c r="A8">
        <v>3</v>
      </c>
      <c r="B8">
        <v>2095.34</v>
      </c>
      <c r="H8" s="3468" t="s">
        <v>3433</v>
      </c>
      <c r="I8">
        <f>B31</f>
        <v>7219.0300000000016</v>
      </c>
    </row>
    <row r="9" spans="1:9">
      <c r="A9">
        <v>4</v>
      </c>
      <c r="B9">
        <v>2095.34</v>
      </c>
      <c r="F9" s="3468" t="s">
        <v>3425</v>
      </c>
      <c r="G9" s="3468" t="s">
        <v>3426</v>
      </c>
      <c r="I9">
        <f>I10+I13+I14</f>
        <v>5412</v>
      </c>
    </row>
    <row r="10" spans="1:9">
      <c r="A10">
        <v>5</v>
      </c>
      <c r="B10">
        <v>2095.34</v>
      </c>
      <c r="G10" s="3468" t="s">
        <v>3427</v>
      </c>
      <c r="H10" s="3468" t="s">
        <v>3434</v>
      </c>
      <c r="I10">
        <f>ROUND((I11*I7+I12*I8)/I6,0)</f>
        <v>2254</v>
      </c>
    </row>
    <row r="11" spans="1:9">
      <c r="A11">
        <v>6</v>
      </c>
      <c r="B11">
        <v>2095.34</v>
      </c>
      <c r="H11" s="3468" t="s">
        <v>3431</v>
      </c>
      <c r="I11">
        <v>1670</v>
      </c>
    </row>
    <row r="12" spans="1:9">
      <c r="A12">
        <v>7</v>
      </c>
      <c r="B12">
        <v>2095.34</v>
      </c>
      <c r="H12" s="3468" t="s">
        <v>3433</v>
      </c>
      <c r="I12">
        <v>4880</v>
      </c>
    </row>
    <row r="13" spans="1:9">
      <c r="A13">
        <v>8</v>
      </c>
      <c r="B13">
        <v>2095.34</v>
      </c>
      <c r="G13" s="3468" t="s">
        <v>3428</v>
      </c>
      <c r="I13">
        <v>800</v>
      </c>
    </row>
    <row r="14" spans="1:9">
      <c r="A14">
        <v>9</v>
      </c>
      <c r="B14">
        <v>1614.81</v>
      </c>
      <c r="G14" s="3468" t="s">
        <v>3429</v>
      </c>
      <c r="I14">
        <v>2358</v>
      </c>
    </row>
    <row r="15" spans="1:9">
      <c r="A15">
        <v>10</v>
      </c>
      <c r="B15">
        <v>1614.81</v>
      </c>
    </row>
    <row r="16" spans="1:9">
      <c r="A16">
        <v>11</v>
      </c>
      <c r="B16">
        <v>1614.81</v>
      </c>
      <c r="G16" s="3468" t="s">
        <v>3430</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3468" t="s">
        <v>3418</v>
      </c>
      <c r="B24">
        <v>23.51</v>
      </c>
    </row>
    <row r="25" spans="1:4">
      <c r="A25" s="3468" t="s">
        <v>3419</v>
      </c>
      <c r="B25">
        <v>258.45999999999998</v>
      </c>
    </row>
    <row r="26" spans="1:4">
      <c r="B26">
        <f>SUM(B2:B25)</f>
        <v>43373.26</v>
      </c>
      <c r="C26">
        <f>SUM(C2:C25)</f>
        <v>3665.2999999999997</v>
      </c>
      <c r="D26">
        <f>B26-C26</f>
        <v>39707.96</v>
      </c>
    </row>
    <row r="29" spans="1:4">
      <c r="A29" s="3468" t="s">
        <v>3420</v>
      </c>
      <c r="B29">
        <f>SUM(B6:B23)-C6</f>
        <v>32206.960000000006</v>
      </c>
    </row>
    <row r="30" spans="1:4">
      <c r="A30" s="3468" t="s">
        <v>3421</v>
      </c>
      <c r="B30">
        <f>B24+B25</f>
        <v>281.96999999999997</v>
      </c>
    </row>
    <row r="31" spans="1:4">
      <c r="A31" s="3468" t="s">
        <v>3422</v>
      </c>
      <c r="B31">
        <f>SUM(B2:B5)-C2-C3-C5</f>
        <v>7219.0300000000016</v>
      </c>
    </row>
    <row r="32" spans="1:4">
      <c r="A32" s="3468" t="s">
        <v>3423</v>
      </c>
    </row>
    <row r="33" spans="2:2">
      <c r="B33">
        <f>SUM(B29:B32)</f>
        <v>39707.960000000006</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1" t="str">
        <f>项目基本情况!B1</f>
        <v>北京市房地产抵押价值预评估</v>
      </c>
      <c r="C37" s="3501"/>
      <c r="D37" s="3501"/>
      <c r="E37" s="3501"/>
      <c r="F37" s="3501"/>
      <c r="G37" s="3501"/>
      <c r="H37" s="3501"/>
      <c r="I37" s="350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U20"/>
  <sheetViews>
    <sheetView topLeftCell="G1" workbookViewId="0">
      <selection activeCell="U4" sqref="U4"/>
    </sheetView>
  </sheetViews>
  <sheetFormatPr defaultRowHeight="13.5"/>
  <cols>
    <col min="1" max="1" width="39.875" customWidth="1"/>
    <col min="7" max="7" width="18" customWidth="1"/>
    <col min="8" max="8" width="17.75" customWidth="1"/>
  </cols>
  <sheetData>
    <row r="1" spans="1:21">
      <c r="A1" t="s">
        <v>3475</v>
      </c>
      <c r="B1" t="s">
        <v>3476</v>
      </c>
      <c r="C1" t="s">
        <v>3477</v>
      </c>
      <c r="D1" t="s">
        <v>3478</v>
      </c>
      <c r="E1" t="s">
        <v>3479</v>
      </c>
      <c r="F1" t="s">
        <v>3480</v>
      </c>
      <c r="G1" t="s">
        <v>3481</v>
      </c>
      <c r="H1" t="s">
        <v>3482</v>
      </c>
      <c r="I1" t="s">
        <v>3483</v>
      </c>
      <c r="J1" t="s">
        <v>3484</v>
      </c>
      <c r="K1" t="s">
        <v>3485</v>
      </c>
      <c r="L1" t="s">
        <v>3486</v>
      </c>
      <c r="M1" t="s">
        <v>3487</v>
      </c>
      <c r="N1" t="s">
        <v>3488</v>
      </c>
      <c r="O1" t="s">
        <v>3489</v>
      </c>
      <c r="P1" t="s">
        <v>3490</v>
      </c>
      <c r="Q1" t="s">
        <v>3491</v>
      </c>
      <c r="R1" t="s">
        <v>3492</v>
      </c>
      <c r="T1" s="3468" t="s">
        <v>3584</v>
      </c>
    </row>
    <row r="2" spans="1:21" s="3471" customFormat="1">
      <c r="A2" s="3471" t="s">
        <v>3493</v>
      </c>
      <c r="B2" s="3471" t="s">
        <v>3407</v>
      </c>
      <c r="C2" s="3471" t="s">
        <v>3494</v>
      </c>
      <c r="D2" s="3471">
        <v>32636.74</v>
      </c>
      <c r="E2" s="3471">
        <v>78328</v>
      </c>
      <c r="F2" s="3471" t="s">
        <v>3495</v>
      </c>
      <c r="G2" s="3471" t="s">
        <v>3496</v>
      </c>
      <c r="H2" s="3471">
        <v>20</v>
      </c>
      <c r="I2" s="3471" t="s">
        <v>3497</v>
      </c>
      <c r="J2" s="3471" t="s">
        <v>3498</v>
      </c>
      <c r="K2" s="3471" t="s">
        <v>3499</v>
      </c>
      <c r="L2" s="3471" t="s">
        <v>3500</v>
      </c>
      <c r="M2" s="3471" t="s">
        <v>3501</v>
      </c>
      <c r="N2" s="3471">
        <v>65000</v>
      </c>
      <c r="O2" s="3471">
        <v>19916.2</v>
      </c>
      <c r="P2" s="3471">
        <v>1327.75</v>
      </c>
      <c r="Q2" s="3471">
        <v>8298</v>
      </c>
      <c r="R2" s="3471">
        <f>Q2*S2</f>
        <v>12155.7402</v>
      </c>
      <c r="S2" s="3471">
        <f>常用公式!C15</f>
        <v>1.4649000000000001</v>
      </c>
      <c r="T2" s="3471">
        <f>'数据-取费表'!G16</f>
        <v>0.85299999999999998</v>
      </c>
      <c r="U2" s="3471">
        <f>ROUND(Q2*S2*T2,0)</f>
        <v>10369</v>
      </c>
    </row>
    <row r="3" spans="1:21" s="3471" customFormat="1">
      <c r="A3" s="3471" t="s">
        <v>3502</v>
      </c>
      <c r="B3" s="3471" t="s">
        <v>3407</v>
      </c>
      <c r="C3" s="3471" t="s">
        <v>3503</v>
      </c>
      <c r="D3" s="3471">
        <v>64012.4</v>
      </c>
      <c r="E3" s="3471">
        <v>192037.19</v>
      </c>
      <c r="F3" s="3471" t="s">
        <v>3495</v>
      </c>
      <c r="G3" s="3471" t="s">
        <v>3496</v>
      </c>
      <c r="H3" s="3471" t="s">
        <v>3504</v>
      </c>
      <c r="I3" s="3471" t="s">
        <v>3505</v>
      </c>
      <c r="J3" s="3471" t="s">
        <v>3498</v>
      </c>
      <c r="K3" s="3471" t="s">
        <v>3506</v>
      </c>
      <c r="L3" s="3471" t="s">
        <v>3500</v>
      </c>
      <c r="M3" s="3471" t="s">
        <v>3507</v>
      </c>
      <c r="N3" s="3471">
        <v>177000</v>
      </c>
      <c r="O3" s="3471">
        <v>27650.89</v>
      </c>
      <c r="P3" s="3471">
        <v>1843.39</v>
      </c>
      <c r="Q3" s="3471">
        <v>9217</v>
      </c>
      <c r="R3" s="3471">
        <v>0</v>
      </c>
      <c r="S3" s="3471">
        <v>1</v>
      </c>
      <c r="T3" s="3471">
        <f>T2</f>
        <v>0.85299999999999998</v>
      </c>
      <c r="U3" s="3471">
        <f>ROUND(Q3*S3*T3,0)</f>
        <v>7862</v>
      </c>
    </row>
    <row r="4" spans="1:21">
      <c r="A4" t="s">
        <v>3508</v>
      </c>
      <c r="B4" t="s">
        <v>3407</v>
      </c>
      <c r="C4" t="s">
        <v>3509</v>
      </c>
      <c r="D4">
        <v>42354.29</v>
      </c>
      <c r="E4">
        <v>102188</v>
      </c>
      <c r="F4" t="s">
        <v>3510</v>
      </c>
      <c r="G4" t="s">
        <v>3511</v>
      </c>
      <c r="H4" t="s">
        <v>3512</v>
      </c>
      <c r="I4" t="s">
        <v>3513</v>
      </c>
      <c r="J4" t="s">
        <v>3498</v>
      </c>
      <c r="K4" t="s">
        <v>3514</v>
      </c>
      <c r="L4" t="s">
        <v>3500</v>
      </c>
      <c r="M4" t="s">
        <v>3515</v>
      </c>
      <c r="N4">
        <v>204500</v>
      </c>
      <c r="O4">
        <v>48283.18</v>
      </c>
      <c r="P4">
        <v>3218.88</v>
      </c>
      <c r="Q4">
        <v>20012</v>
      </c>
      <c r="R4">
        <v>0</v>
      </c>
    </row>
    <row r="5" spans="1:21" s="3471" customFormat="1">
      <c r="A5" s="3471" t="s">
        <v>3516</v>
      </c>
      <c r="B5" s="3471" t="s">
        <v>3407</v>
      </c>
      <c r="C5" s="3471" t="s">
        <v>3517</v>
      </c>
      <c r="D5" s="3471">
        <v>12136.3</v>
      </c>
      <c r="E5" s="3471">
        <v>42477</v>
      </c>
      <c r="F5" s="3471" t="s">
        <v>3495</v>
      </c>
      <c r="G5" s="3471" t="s">
        <v>3518</v>
      </c>
      <c r="H5" s="3471" t="s">
        <v>3519</v>
      </c>
      <c r="I5" s="3471" t="s">
        <v>3520</v>
      </c>
      <c r="J5" s="3471" t="s">
        <v>3498</v>
      </c>
      <c r="K5" s="3471" t="s">
        <v>3521</v>
      </c>
      <c r="L5" s="3471" t="s">
        <v>3500</v>
      </c>
      <c r="M5" s="3471" t="s">
        <v>3522</v>
      </c>
      <c r="N5" s="3471">
        <v>71000</v>
      </c>
      <c r="O5" s="3471">
        <v>58502.18</v>
      </c>
      <c r="P5" s="3471">
        <v>3900.15</v>
      </c>
      <c r="Q5" s="3471">
        <v>16715</v>
      </c>
      <c r="R5" s="3471">
        <v>0</v>
      </c>
      <c r="S5" s="3471">
        <v>1</v>
      </c>
      <c r="T5" s="3471">
        <f>T2</f>
        <v>0.85299999999999998</v>
      </c>
      <c r="U5" s="3471">
        <f>ROUND(Q5*S5*T5,0)</f>
        <v>14258</v>
      </c>
    </row>
    <row r="6" spans="1:21">
      <c r="A6" t="s">
        <v>3523</v>
      </c>
      <c r="B6" t="s">
        <v>3407</v>
      </c>
      <c r="C6" t="s">
        <v>3524</v>
      </c>
      <c r="D6">
        <v>28676.63</v>
      </c>
      <c r="E6">
        <v>114706.51</v>
      </c>
      <c r="F6" t="s">
        <v>3495</v>
      </c>
      <c r="G6" t="s">
        <v>3525</v>
      </c>
      <c r="H6" t="s">
        <v>3526</v>
      </c>
      <c r="I6" t="s">
        <v>3527</v>
      </c>
      <c r="J6" t="s">
        <v>3498</v>
      </c>
      <c r="K6" t="s">
        <v>3528</v>
      </c>
      <c r="L6" t="s">
        <v>3500</v>
      </c>
      <c r="M6" t="s">
        <v>3529</v>
      </c>
      <c r="N6">
        <v>175500</v>
      </c>
      <c r="O6">
        <v>61199.66</v>
      </c>
      <c r="P6">
        <v>4079.98</v>
      </c>
      <c r="Q6">
        <v>15300</v>
      </c>
      <c r="R6">
        <v>0</v>
      </c>
    </row>
    <row r="7" spans="1:21">
      <c r="A7" t="s">
        <v>3530</v>
      </c>
      <c r="B7" t="s">
        <v>3407</v>
      </c>
      <c r="C7" t="s">
        <v>3531</v>
      </c>
      <c r="D7">
        <v>30159.25</v>
      </c>
      <c r="E7">
        <v>138421</v>
      </c>
      <c r="F7" t="s">
        <v>3495</v>
      </c>
      <c r="G7" t="s">
        <v>3518</v>
      </c>
      <c r="H7" t="s">
        <v>3526</v>
      </c>
      <c r="I7" t="s">
        <v>3532</v>
      </c>
      <c r="J7" t="s">
        <v>3498</v>
      </c>
      <c r="K7" t="s">
        <v>3533</v>
      </c>
      <c r="L7" t="s">
        <v>3500</v>
      </c>
      <c r="M7" t="s">
        <v>3534</v>
      </c>
      <c r="N7">
        <v>230100</v>
      </c>
      <c r="O7">
        <v>76295</v>
      </c>
      <c r="P7">
        <v>5086.33</v>
      </c>
      <c r="Q7">
        <v>16623</v>
      </c>
      <c r="R7">
        <v>0</v>
      </c>
    </row>
    <row r="8" spans="1:21">
      <c r="A8" t="s">
        <v>3535</v>
      </c>
      <c r="B8" t="s">
        <v>3407</v>
      </c>
      <c r="C8" t="s">
        <v>3536</v>
      </c>
      <c r="D8">
        <v>35629.120000000003</v>
      </c>
      <c r="E8">
        <v>100429</v>
      </c>
      <c r="F8" t="s">
        <v>3495</v>
      </c>
      <c r="G8" t="s">
        <v>3537</v>
      </c>
      <c r="H8" t="s">
        <v>3526</v>
      </c>
      <c r="I8" t="s">
        <v>3538</v>
      </c>
      <c r="J8" t="s">
        <v>3498</v>
      </c>
      <c r="K8" t="s">
        <v>3533</v>
      </c>
      <c r="L8" t="s">
        <v>3500</v>
      </c>
      <c r="M8" t="s">
        <v>3534</v>
      </c>
      <c r="N8">
        <v>166700</v>
      </c>
      <c r="O8">
        <v>46787.57</v>
      </c>
      <c r="P8">
        <v>3119.17</v>
      </c>
      <c r="Q8">
        <v>16599</v>
      </c>
      <c r="R8">
        <v>0</v>
      </c>
    </row>
    <row r="9" spans="1:21">
      <c r="A9" t="s">
        <v>3539</v>
      </c>
      <c r="B9" t="s">
        <v>3407</v>
      </c>
      <c r="C9" t="s">
        <v>3540</v>
      </c>
      <c r="D9">
        <v>18015.060000000001</v>
      </c>
      <c r="E9">
        <v>54046</v>
      </c>
      <c r="F9" t="s">
        <v>3495</v>
      </c>
      <c r="G9" t="s">
        <v>3518</v>
      </c>
      <c r="H9" t="s">
        <v>3526</v>
      </c>
      <c r="I9" t="s">
        <v>3505</v>
      </c>
      <c r="J9" t="s">
        <v>3498</v>
      </c>
      <c r="K9" t="s">
        <v>3541</v>
      </c>
      <c r="L9" t="s">
        <v>3500</v>
      </c>
      <c r="M9" t="s">
        <v>3542</v>
      </c>
      <c r="N9">
        <v>60000</v>
      </c>
      <c r="O9">
        <v>33305.47</v>
      </c>
      <c r="P9">
        <v>2220.36</v>
      </c>
      <c r="Q9">
        <v>11102</v>
      </c>
      <c r="R9">
        <v>0</v>
      </c>
    </row>
    <row r="10" spans="1:21">
      <c r="A10" t="s">
        <v>3543</v>
      </c>
      <c r="B10" t="s">
        <v>3407</v>
      </c>
      <c r="C10" t="s">
        <v>3544</v>
      </c>
      <c r="D10">
        <v>59747.77</v>
      </c>
      <c r="E10">
        <v>89622</v>
      </c>
      <c r="F10" t="s">
        <v>3495</v>
      </c>
      <c r="G10" t="s">
        <v>3496</v>
      </c>
      <c r="H10" t="s">
        <v>3545</v>
      </c>
      <c r="I10" t="s">
        <v>3546</v>
      </c>
      <c r="J10" t="s">
        <v>3498</v>
      </c>
      <c r="K10" t="s">
        <v>3547</v>
      </c>
      <c r="L10" t="s">
        <v>3500</v>
      </c>
      <c r="M10" t="s">
        <v>3548</v>
      </c>
      <c r="N10">
        <v>146800</v>
      </c>
      <c r="O10">
        <v>24569.95</v>
      </c>
      <c r="P10">
        <v>1638</v>
      </c>
      <c r="Q10">
        <v>16380</v>
      </c>
      <c r="R10">
        <v>0</v>
      </c>
    </row>
    <row r="11" spans="1:21">
      <c r="A11" t="s">
        <v>3549</v>
      </c>
      <c r="B11" t="s">
        <v>3407</v>
      </c>
      <c r="C11" t="s">
        <v>3550</v>
      </c>
      <c r="D11">
        <v>31420.65</v>
      </c>
      <c r="E11">
        <v>65983</v>
      </c>
      <c r="F11" t="s">
        <v>3495</v>
      </c>
      <c r="G11" t="s">
        <v>3496</v>
      </c>
      <c r="H11" t="s">
        <v>3545</v>
      </c>
      <c r="I11" t="s">
        <v>3551</v>
      </c>
      <c r="J11" t="s">
        <v>3498</v>
      </c>
      <c r="K11" t="s">
        <v>3547</v>
      </c>
      <c r="L11" t="s">
        <v>3500</v>
      </c>
      <c r="M11" t="s">
        <v>3552</v>
      </c>
      <c r="N11">
        <v>108100</v>
      </c>
      <c r="O11">
        <v>34404.120000000003</v>
      </c>
      <c r="P11">
        <v>2293.61</v>
      </c>
      <c r="Q11">
        <v>16383</v>
      </c>
      <c r="R11">
        <v>0</v>
      </c>
    </row>
    <row r="12" spans="1:21">
      <c r="A12" t="s">
        <v>3553</v>
      </c>
      <c r="B12" t="s">
        <v>3407</v>
      </c>
      <c r="C12" t="s">
        <v>3554</v>
      </c>
      <c r="D12">
        <v>16863.939999999999</v>
      </c>
      <c r="E12">
        <v>87923.61</v>
      </c>
      <c r="F12" t="s">
        <v>3495</v>
      </c>
      <c r="G12" t="s">
        <v>3518</v>
      </c>
      <c r="H12" t="s">
        <v>3526</v>
      </c>
      <c r="I12" t="s">
        <v>3555</v>
      </c>
      <c r="J12" t="s">
        <v>3498</v>
      </c>
      <c r="K12" t="s">
        <v>3556</v>
      </c>
      <c r="L12" t="s">
        <v>3500</v>
      </c>
      <c r="M12" t="s">
        <v>3557</v>
      </c>
      <c r="N12">
        <v>211000</v>
      </c>
      <c r="O12">
        <v>125119.03999999999</v>
      </c>
      <c r="P12">
        <v>8341.27</v>
      </c>
      <c r="Q12">
        <v>23998</v>
      </c>
      <c r="R12">
        <v>0</v>
      </c>
    </row>
    <row r="13" spans="1:21">
      <c r="A13" t="s">
        <v>3558</v>
      </c>
      <c r="B13" t="s">
        <v>3407</v>
      </c>
      <c r="C13" t="s">
        <v>3559</v>
      </c>
      <c r="D13">
        <v>5237.16</v>
      </c>
      <c r="E13">
        <v>10474</v>
      </c>
      <c r="F13" t="s">
        <v>3495</v>
      </c>
      <c r="G13" t="s">
        <v>3560</v>
      </c>
      <c r="H13" t="s">
        <v>3526</v>
      </c>
      <c r="I13" t="s">
        <v>3561</v>
      </c>
      <c r="J13" t="s">
        <v>3498</v>
      </c>
      <c r="K13" t="s">
        <v>3562</v>
      </c>
      <c r="L13" t="s">
        <v>3500</v>
      </c>
      <c r="M13" t="s">
        <v>3563</v>
      </c>
      <c r="N13">
        <v>13700</v>
      </c>
      <c r="O13">
        <v>26159.21</v>
      </c>
      <c r="P13">
        <v>1743.95</v>
      </c>
      <c r="Q13">
        <v>13080</v>
      </c>
      <c r="R13">
        <v>5.38</v>
      </c>
    </row>
    <row r="14" spans="1:21">
      <c r="A14" t="s">
        <v>3564</v>
      </c>
      <c r="B14" t="s">
        <v>3407</v>
      </c>
      <c r="C14" t="s">
        <v>3565</v>
      </c>
      <c r="D14">
        <v>69848.44</v>
      </c>
      <c r="E14">
        <v>146863</v>
      </c>
      <c r="F14" t="s">
        <v>3495</v>
      </c>
      <c r="G14" t="s">
        <v>3496</v>
      </c>
      <c r="H14" t="s">
        <v>3545</v>
      </c>
      <c r="I14" t="s">
        <v>3551</v>
      </c>
      <c r="J14" t="s">
        <v>3498</v>
      </c>
      <c r="K14" t="s">
        <v>3566</v>
      </c>
      <c r="L14" t="s">
        <v>3500</v>
      </c>
      <c r="M14" t="s">
        <v>3567</v>
      </c>
      <c r="N14">
        <v>220000</v>
      </c>
      <c r="O14">
        <v>31496.76</v>
      </c>
      <c r="P14">
        <v>2099.7800000000002</v>
      </c>
      <c r="Q14">
        <v>14980</v>
      </c>
      <c r="R14">
        <v>0</v>
      </c>
    </row>
    <row r="15" spans="1:21">
      <c r="A15" t="s">
        <v>3568</v>
      </c>
      <c r="B15" t="s">
        <v>3407</v>
      </c>
      <c r="C15" t="s">
        <v>3569</v>
      </c>
      <c r="D15">
        <v>66079.679999999993</v>
      </c>
      <c r="E15">
        <v>111429</v>
      </c>
      <c r="F15" t="s">
        <v>3495</v>
      </c>
      <c r="G15" t="s">
        <v>3496</v>
      </c>
      <c r="H15" t="s">
        <v>3545</v>
      </c>
      <c r="I15" t="s">
        <v>3570</v>
      </c>
      <c r="J15" t="s">
        <v>3498</v>
      </c>
      <c r="K15" t="s">
        <v>3566</v>
      </c>
      <c r="L15" t="s">
        <v>3500</v>
      </c>
      <c r="M15" t="s">
        <v>3552</v>
      </c>
      <c r="N15">
        <v>135000</v>
      </c>
      <c r="O15">
        <v>20429.88</v>
      </c>
      <c r="P15">
        <v>1361.99</v>
      </c>
      <c r="Q15">
        <v>12115</v>
      </c>
      <c r="R15">
        <v>0</v>
      </c>
    </row>
    <row r="16" spans="1:21">
      <c r="A16" t="s">
        <v>3571</v>
      </c>
      <c r="B16" t="s">
        <v>3407</v>
      </c>
      <c r="C16" t="s">
        <v>3572</v>
      </c>
      <c r="D16">
        <v>35244.94</v>
      </c>
      <c r="E16">
        <v>123357</v>
      </c>
      <c r="F16" t="s">
        <v>3495</v>
      </c>
      <c r="G16" t="s">
        <v>3518</v>
      </c>
      <c r="H16" t="s">
        <v>3526</v>
      </c>
      <c r="I16" t="s">
        <v>3520</v>
      </c>
      <c r="J16" t="s">
        <v>3498</v>
      </c>
      <c r="K16" t="s">
        <v>3573</v>
      </c>
      <c r="L16" t="s">
        <v>3500</v>
      </c>
      <c r="M16" t="s">
        <v>3574</v>
      </c>
      <c r="N16">
        <v>354000</v>
      </c>
      <c r="O16">
        <v>100439.95</v>
      </c>
      <c r="P16">
        <v>6696</v>
      </c>
      <c r="Q16">
        <v>28697</v>
      </c>
      <c r="R16">
        <v>121.25</v>
      </c>
    </row>
    <row r="19" spans="1:21" s="3482" customFormat="1">
      <c r="A19" s="3482" t="s">
        <v>3475</v>
      </c>
      <c r="B19" s="3482" t="s">
        <v>3476</v>
      </c>
      <c r="C19" s="3482" t="s">
        <v>3477</v>
      </c>
      <c r="D19" s="3482" t="s">
        <v>3478</v>
      </c>
      <c r="E19" s="3482" t="s">
        <v>3479</v>
      </c>
      <c r="F19" s="3482" t="s">
        <v>3480</v>
      </c>
      <c r="G19" s="3482" t="s">
        <v>3481</v>
      </c>
      <c r="H19" s="3482" t="s">
        <v>3482</v>
      </c>
      <c r="I19" s="3482" t="s">
        <v>3483</v>
      </c>
      <c r="J19" s="3482" t="s">
        <v>3484</v>
      </c>
      <c r="K19" s="3482" t="s">
        <v>3485</v>
      </c>
      <c r="M19" s="3482" t="s">
        <v>3487</v>
      </c>
      <c r="N19" s="3482" t="s">
        <v>3488</v>
      </c>
      <c r="O19" s="3482" t="s">
        <v>3491</v>
      </c>
    </row>
    <row r="20" spans="1:21" s="3482" customFormat="1">
      <c r="A20" s="3482" t="s">
        <v>3585</v>
      </c>
      <c r="B20" s="3482" t="s">
        <v>3407</v>
      </c>
      <c r="C20" s="3482" t="s">
        <v>3586</v>
      </c>
      <c r="D20" s="3482">
        <v>59169.74</v>
      </c>
      <c r="E20" s="3482">
        <v>130173.43</v>
      </c>
      <c r="F20" s="3482" t="s">
        <v>3495</v>
      </c>
      <c r="G20" s="3482" t="s">
        <v>3587</v>
      </c>
      <c r="H20" s="3482" t="s">
        <v>3512</v>
      </c>
      <c r="I20" s="3482" t="s">
        <v>3588</v>
      </c>
      <c r="J20" s="3482" t="s">
        <v>3498</v>
      </c>
      <c r="K20" s="3482" t="s">
        <v>3589</v>
      </c>
      <c r="M20" s="3482" t="s">
        <v>3590</v>
      </c>
      <c r="N20" s="3482">
        <v>131600</v>
      </c>
      <c r="O20" s="3482">
        <v>10110</v>
      </c>
      <c r="P20" s="3482">
        <f>N20/(D20/666.67)</f>
        <v>1482.7472961686158</v>
      </c>
      <c r="Q20" s="3482">
        <f>ROUND(N20*10000/E20,0)</f>
        <v>10110</v>
      </c>
      <c r="S20" s="3471">
        <v>1</v>
      </c>
      <c r="T20" s="3471">
        <f>T2</f>
        <v>0.85299999999999998</v>
      </c>
      <c r="U20" s="3482">
        <f>ROUND(Q20*S20*T20,0)</f>
        <v>8624</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0" zoomScaleNormal="70" zoomScaleSheetLayoutView="80" workbookViewId="0">
      <selection activeCell="C26" sqref="C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8</v>
      </c>
    </row>
    <row r="2" spans="1:9" s="200" customFormat="1" ht="18" customHeight="1">
      <c r="A2" s="201" t="s">
        <v>1462</v>
      </c>
      <c r="B2" s="202">
        <f ca="1">IF(D2="——",C52,C52-E2)</f>
        <v>65341</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16455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27622</v>
      </c>
      <c r="D5" s="211" t="s">
        <v>1469</v>
      </c>
      <c r="E5" s="212" t="s">
        <v>1470</v>
      </c>
      <c r="F5" s="212" t="s">
        <v>1471</v>
      </c>
      <c r="G5" s="213"/>
    </row>
    <row r="6" spans="1:9" s="214" customFormat="1" ht="13.5" customHeight="1">
      <c r="A6" s="778" t="s">
        <v>1472</v>
      </c>
      <c r="B6" s="215" t="s">
        <v>1473</v>
      </c>
      <c r="C6" s="216">
        <f>'土地比较法-住宅、综合'!B2</f>
        <v>26034</v>
      </c>
      <c r="D6" s="217"/>
      <c r="E6" s="218"/>
      <c r="F6" s="218"/>
      <c r="G6" s="219"/>
    </row>
    <row r="7" spans="1:9" s="214" customFormat="1" ht="13.5" customHeight="1">
      <c r="A7" s="778" t="s">
        <v>1474</v>
      </c>
      <c r="B7" s="215" t="s">
        <v>1475</v>
      </c>
      <c r="C7" s="220">
        <f>ROUND(C6*F7,0)</f>
        <v>794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794</v>
      </c>
      <c r="D8" s="222"/>
      <c r="E8" s="220"/>
      <c r="F8" s="221"/>
      <c r="G8" s="1855" t="s">
        <v>3455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3456</v>
      </c>
      <c r="H9" s="1137"/>
      <c r="I9" s="1857" t="s">
        <v>1479</v>
      </c>
    </row>
    <row r="10" spans="1:9" s="214" customFormat="1" ht="13.5" customHeight="1">
      <c r="A10" s="779" t="s">
        <v>356</v>
      </c>
      <c r="B10" s="224" t="s">
        <v>1480</v>
      </c>
      <c r="C10" s="225">
        <f ca="1">ROUND(D10*E10/10000,0)</f>
        <v>794</v>
      </c>
      <c r="D10" s="845">
        <f ca="1">IF(B1="",'数据-汇总表'!E6,IF(INDIRECT("'数据-取费表'!c"&amp;$G$1)="住宅",INDIRECT("'数据-取费表'!s"&amp;$G$1),INDIRECT("'数据-取费表'!k"&amp;$G$1)+INDIRECT("'数据-取费表'!s"&amp;$G$1)))</f>
        <v>39707.96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39707.96</v>
      </c>
      <c r="E19" s="211">
        <f>'数据-取费表'!B31</f>
        <v>200</v>
      </c>
      <c r="F19" s="231"/>
      <c r="G19" s="1855" t="s">
        <v>3457</v>
      </c>
    </row>
    <row r="20" spans="1:7" s="214" customFormat="1" ht="13.5" customHeight="1">
      <c r="A20" s="255" t="s">
        <v>1493</v>
      </c>
      <c r="B20" s="210" t="s">
        <v>1494</v>
      </c>
      <c r="C20" s="232">
        <f ca="1">ROUND((C5+C19)*F20,0)</f>
        <v>829</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1765</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1739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26</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4268</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4268</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37803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23737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21442</v>
      </c>
      <c r="D34" s="217"/>
      <c r="E34" s="220"/>
      <c r="F34" s="257">
        <f ca="1">IF('数据-取费表'!B24=0,1,IF(B1="",'数据-取费表'!N16,INDIRECT("'数据-取费表'!n"&amp;$G$1)))</f>
        <v>1</v>
      </c>
      <c r="G34" s="219" t="s">
        <v>1526</v>
      </c>
    </row>
    <row r="35" spans="1:7" ht="13.5" customHeight="1">
      <c r="A35" s="780" t="s">
        <v>351</v>
      </c>
      <c r="B35" s="215" t="s">
        <v>1527</v>
      </c>
      <c r="C35" s="220">
        <f ca="1">ROUND(C34*F35,0)</f>
        <v>1072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794</v>
      </c>
      <c r="D37" s="217">
        <f ca="1">D19</f>
        <v>39707.96</v>
      </c>
      <c r="E37" s="249">
        <f>'数据-取费表'!B35</f>
        <v>200</v>
      </c>
      <c r="F37" s="259"/>
      <c r="G37" s="261" t="s">
        <v>1532</v>
      </c>
    </row>
    <row r="38" spans="1:7" ht="13.5" customHeight="1">
      <c r="A38" s="780" t="s">
        <v>354</v>
      </c>
      <c r="B38" s="215" t="s">
        <v>1533</v>
      </c>
      <c r="C38" s="220">
        <f ca="1">ROUND(C34*F38,0)</f>
        <v>429</v>
      </c>
      <c r="D38" s="220"/>
      <c r="E38" s="220"/>
      <c r="F38" s="259">
        <f>'数据-取费表'!B36</f>
        <v>0.02</v>
      </c>
      <c r="G38" s="219" t="s">
        <v>1528</v>
      </c>
    </row>
    <row r="39" spans="1:7" s="214" customFormat="1" ht="13.5" customHeight="1">
      <c r="A39" s="255" t="s">
        <v>1534</v>
      </c>
      <c r="B39" s="210" t="s">
        <v>1535</v>
      </c>
      <c r="C39" s="232">
        <f ca="1">ROUND(C33*F20,0)</f>
        <v>712</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758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736</v>
      </c>
      <c r="D42" s="238"/>
      <c r="E42" s="238"/>
      <c r="F42" s="239"/>
      <c r="G42" s="3688" t="s">
        <v>1544</v>
      </c>
    </row>
    <row r="43" spans="1:7" ht="13.5" customHeight="1">
      <c r="A43" s="780" t="s">
        <v>347</v>
      </c>
      <c r="B43" s="215" t="s">
        <v>1545</v>
      </c>
      <c r="C43" s="238">
        <f ca="1">ROUND(IF('数据-取费表'!B22&lt;=1,C39*F22*'数据-取费表'!B21/2,C39*(POWER((1+F22),'数据-取费表'!B21/2)-1)),0)</f>
        <v>22</v>
      </c>
      <c r="D43" s="238"/>
      <c r="E43" s="238"/>
      <c r="F43" s="239"/>
      <c r="G43" s="3689"/>
    </row>
    <row r="44" spans="1:7" ht="13.5" customHeight="1">
      <c r="A44" s="780" t="s">
        <v>348</v>
      </c>
      <c r="B44" s="215" t="s">
        <v>1546</v>
      </c>
      <c r="C44" s="238">
        <f ca="1">ROUND(IF('数据-取费表'!B22&lt;=1,C40*F22*'数据-取费表'!B21/2,C40*(POWER((1+F22),'数据-取费表'!B21/2)-1)),4)</f>
        <v>8.9999999999999998E-4</v>
      </c>
      <c r="D44" s="238"/>
      <c r="E44" s="238"/>
      <c r="F44" s="239"/>
      <c r="G44" s="3690"/>
    </row>
    <row r="45" spans="1:7" s="214" customFormat="1" ht="13.5" customHeight="1">
      <c r="A45" s="255" t="s">
        <v>1547</v>
      </c>
      <c r="B45" s="244" t="s">
        <v>1513</v>
      </c>
      <c r="C45" s="245">
        <f ca="1">C46</f>
        <v>3667</v>
      </c>
      <c r="D45" s="235">
        <f ca="1">C47</f>
        <v>4.4999999999999997E-3</v>
      </c>
      <c r="E45" s="236" t="s">
        <v>1539</v>
      </c>
      <c r="F45" s="246">
        <f ca="1">F27</f>
        <v>0.15</v>
      </c>
      <c r="G45" s="247" t="s">
        <v>1548</v>
      </c>
    </row>
    <row r="46" spans="1:7" s="214" customFormat="1" ht="13.5" customHeight="1">
      <c r="A46" s="780" t="s">
        <v>346</v>
      </c>
      <c r="B46" s="248" t="s">
        <v>1549</v>
      </c>
      <c r="C46" s="249">
        <f ca="1">ROUND((C33+C39)*F27,0)</f>
        <v>3667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31653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27538</v>
      </c>
      <c r="D51" s="232"/>
      <c r="E51" s="232"/>
      <c r="F51" s="264"/>
      <c r="G51" s="234" t="s">
        <v>1560</v>
      </c>
    </row>
    <row r="52" spans="1:7" s="208" customFormat="1" ht="16.5" thickBot="1">
      <c r="A52" s="265" t="s">
        <v>1561</v>
      </c>
      <c r="B52" s="266"/>
      <c r="C52" s="267">
        <f ca="1">C31+C51</f>
        <v>65341</v>
      </c>
      <c r="D52" s="266"/>
      <c r="E52" s="266"/>
      <c r="F52" s="266"/>
      <c r="G52" s="268"/>
    </row>
    <row r="55" spans="1:7" ht="15">
      <c r="B55" s="270" t="s">
        <v>1562</v>
      </c>
      <c r="C55" s="271"/>
    </row>
    <row r="56" spans="1:7">
      <c r="B56" s="273" t="s">
        <v>802</v>
      </c>
      <c r="C56" s="275">
        <f ca="1">1-C57</f>
        <v>0.57899999999999996</v>
      </c>
    </row>
    <row r="57" spans="1:7">
      <c r="B57" s="273" t="s">
        <v>803</v>
      </c>
      <c r="C57" s="274">
        <f ca="1">ROUND(C51/C52,3)</f>
        <v>0.42099999999999999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8</v>
      </c>
      <c r="H1" s="1061" t="str">
        <f>IF(ISERROR(FIND("住宅",B1)),"非住宅","住宅")</f>
        <v>非住宅</v>
      </c>
    </row>
    <row r="2" spans="1:8" s="200" customFormat="1" ht="18" customHeight="1">
      <c r="A2" s="201" t="s">
        <v>1462</v>
      </c>
      <c r="B2" s="3423">
        <f ca="1">ROUND(IF(D2="——",C52/10000,C52/10000-E2),4)</f>
        <v>29712.795999999998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7483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7941592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7941592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7941592</v>
      </c>
      <c r="D10" s="845">
        <f ca="1">IF(B1="",'数据-汇总表'!E6,IF(INDIRECT("'数据-取费表'!c"&amp;$G$1)="住宅",INDIRECT("'数据-取费表'!s"&amp;$G$1),INDIRECT("'数据-取费表'!k"&amp;$G$1)+INDIRECT("'数据-取费表'!s"&amp;$G$1)))</f>
        <v>39707.96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7941592</v>
      </c>
      <c r="D19" s="849">
        <f ca="1">D9+D10</f>
        <v>39707.96</v>
      </c>
      <c r="E19" s="211">
        <f>'数据-取费表'!B31</f>
        <v>200</v>
      </c>
      <c r="F19" s="231"/>
      <c r="G19" s="1855"/>
    </row>
    <row r="20" spans="1:7" s="214" customFormat="1" ht="13.5" customHeight="1">
      <c r="A20" s="255" t="s">
        <v>1574</v>
      </c>
      <c r="B20" s="210" t="s">
        <v>1575</v>
      </c>
      <c r="C20" s="232">
        <f ca="1">ROUND((C5+C19)*F20,0)</f>
        <v>476496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1014793</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500011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500011</v>
      </c>
      <c r="D24" s="238"/>
      <c r="E24" s="238"/>
      <c r="F24" s="239"/>
      <c r="G24" s="240" t="s">
        <v>1586</v>
      </c>
    </row>
    <row r="25" spans="1:7" s="214" customFormat="1" ht="24">
      <c r="A25" s="780" t="s">
        <v>1476</v>
      </c>
      <c r="B25" s="215" t="s">
        <v>1587</v>
      </c>
      <c r="C25" s="1128">
        <f ca="1">ROUND(IF('数据-取费表'!B22&lt;=1,C20*F22*'数据-取费表'!B22/2,C20*(POWER((1+F22),'数据-取费表'!B22/2)-1)),0)</f>
        <v>14771</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2453952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2453952</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21736927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237374185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214422984</v>
      </c>
      <c r="D34" s="217"/>
      <c r="E34" s="220"/>
      <c r="F34" s="257"/>
      <c r="G34" s="219"/>
    </row>
    <row r="35" spans="1:7" ht="13.5" customHeight="1">
      <c r="A35" s="780" t="s">
        <v>351</v>
      </c>
      <c r="B35" s="215" t="s">
        <v>1527</v>
      </c>
      <c r="C35" s="220">
        <f ca="1">ROUND(C34*F35,0)</f>
        <v>10721149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7941592</v>
      </c>
      <c r="D37" s="217">
        <f ca="1">D19</f>
        <v>39707.96</v>
      </c>
      <c r="E37" s="249">
        <f>'数据-取费表'!B35</f>
        <v>200</v>
      </c>
      <c r="F37" s="259"/>
      <c r="G37" s="261"/>
    </row>
    <row r="38" spans="1:7" ht="13.5" customHeight="1">
      <c r="A38" s="780" t="s">
        <v>354</v>
      </c>
      <c r="B38" s="215" t="s">
        <v>1533</v>
      </c>
      <c r="C38" s="220">
        <f ca="1">ROUND(C34*F38,0)</f>
        <v>4288460</v>
      </c>
      <c r="D38" s="220"/>
      <c r="E38" s="220"/>
      <c r="F38" s="259">
        <f>'数据-取费表'!B36</f>
        <v>0.02</v>
      </c>
      <c r="G38" s="219" t="s">
        <v>1528</v>
      </c>
    </row>
    <row r="39" spans="1:7" s="214" customFormat="1" ht="13.5" customHeight="1">
      <c r="A39" s="255" t="s">
        <v>1534</v>
      </c>
      <c r="B39" s="210" t="s">
        <v>1535</v>
      </c>
      <c r="C39" s="232">
        <f ca="1">ROUND(C33*F20,0)</f>
        <v>7121226</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7579358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7358600</v>
      </c>
      <c r="D42" s="238"/>
      <c r="E42" s="238"/>
      <c r="F42" s="239"/>
      <c r="G42" s="3688" t="s">
        <v>1591</v>
      </c>
    </row>
    <row r="43" spans="1:7" ht="13.5" customHeight="1">
      <c r="A43" s="780" t="s">
        <v>347</v>
      </c>
      <c r="B43" s="215" t="s">
        <v>1545</v>
      </c>
      <c r="C43" s="238">
        <f ca="1">ROUND(IF('数据-取费表'!B22&lt;=1,C39*F22*'数据-取费表'!B20/2,C39*(POWER((1+F22),'数据-取费表'!B20/2)-1)),0)</f>
        <v>220758</v>
      </c>
      <c r="D43" s="238"/>
      <c r="E43" s="238"/>
      <c r="F43" s="239"/>
      <c r="G43" s="3689"/>
    </row>
    <row r="44" spans="1:7" ht="13.5" customHeight="1">
      <c r="A44" s="780" t="s">
        <v>348</v>
      </c>
      <c r="B44" s="215" t="s">
        <v>1546</v>
      </c>
      <c r="C44" s="238">
        <f ca="1">ROUND(IF('数据-取费表'!B22&lt;=1,C40*F22*'数据-取费表'!B20/2,C40*(POWER((1+F22),'数据-取费表'!B20/2)-1)),4)</f>
        <v>8.9999999999999998E-4</v>
      </c>
      <c r="D44" s="238"/>
      <c r="E44" s="238"/>
      <c r="F44" s="239"/>
      <c r="G44" s="3690"/>
    </row>
    <row r="45" spans="1:7" s="214" customFormat="1" ht="13.5" customHeight="1">
      <c r="A45" s="255" t="s">
        <v>1547</v>
      </c>
      <c r="B45" s="244" t="s">
        <v>1513</v>
      </c>
      <c r="C45" s="245">
        <f ca="1">C46</f>
        <v>36674312</v>
      </c>
      <c r="D45" s="235">
        <f ca="1">C47</f>
        <v>4.4999999999999997E-3</v>
      </c>
      <c r="E45" s="236" t="s">
        <v>1539</v>
      </c>
      <c r="F45" s="246">
        <f ca="1">F27</f>
        <v>0.15</v>
      </c>
      <c r="G45" s="247" t="s">
        <v>1548</v>
      </c>
    </row>
    <row r="46" spans="1:7" s="214" customFormat="1" ht="13.5" customHeight="1">
      <c r="A46" s="780" t="s">
        <v>346</v>
      </c>
      <c r="B46" s="248" t="s">
        <v>1549</v>
      </c>
      <c r="C46" s="249">
        <f ca="1">ROUND((C33+C39)*F27,0)</f>
        <v>36674312</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316541417</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275391033</v>
      </c>
      <c r="D51" s="232"/>
      <c r="E51" s="232"/>
      <c r="F51" s="264"/>
      <c r="G51" s="234" t="s">
        <v>1560</v>
      </c>
    </row>
    <row r="52" spans="1:7" s="208" customFormat="1" ht="16.5" thickBot="1">
      <c r="A52" s="265" t="s">
        <v>1561</v>
      </c>
      <c r="B52" s="266"/>
      <c r="C52" s="267">
        <f ca="1">C31+C51</f>
        <v>297127960</v>
      </c>
      <c r="D52" s="266"/>
      <c r="E52" s="266"/>
      <c r="F52" s="266"/>
      <c r="G52" s="268"/>
    </row>
    <row r="55" spans="1:7" ht="15">
      <c r="B55" s="270" t="s">
        <v>1562</v>
      </c>
      <c r="C55" s="271"/>
    </row>
    <row r="56" spans="1:7">
      <c r="B56" s="273" t="s">
        <v>802</v>
      </c>
      <c r="C56" s="275">
        <f ca="1">1-C57</f>
        <v>7.2999999999999954E-2</v>
      </c>
    </row>
    <row r="57" spans="1:7">
      <c r="B57" s="273" t="s">
        <v>803</v>
      </c>
      <c r="C57" s="274">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8</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39707.96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39707.96</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794</v>
      </c>
      <c r="D20" s="846">
        <f ca="1">IF(C1="",'数据-汇总表'!E6,IF(INDIRECT("'数据-取费表'!c"&amp;$K$1)="住宅",INDIRECT("'数据-取费表'!s"&amp;$K$1),INDIRECT("'数据-取费表'!k"&amp;$K$1)+INDIRECT("'数据-取费表'!s"&amp;$K$1)))</f>
        <v>39707.96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3" zoomScale="85" zoomScaleNormal="60" zoomScaleSheetLayoutView="85" workbookViewId="0">
      <selection activeCell="K11" sqref="K1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26034</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6556</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30" ht="68.25" customHeight="1">
      <c r="A5" s="358"/>
      <c r="B5" s="359"/>
      <c r="C5" s="3702" t="s">
        <v>1673</v>
      </c>
      <c r="D5" s="3703"/>
      <c r="E5" s="3700" t="str">
        <f>土地案例!A2</f>
        <v>北京市石景山区中关村科技园区石景山园北I区1605-650地块B23研发设计用地</v>
      </c>
      <c r="F5" s="3701"/>
      <c r="G5" s="3702" t="str">
        <f>土地案例!A3</f>
        <v>北京市石景山区中关村科技园石景山园北Ⅱ区西井地块土地一级开发项目1606-605地块B23研发设计用地</v>
      </c>
      <c r="H5" s="3703"/>
      <c r="I5" s="3702" t="str">
        <f>土地案例!A20</f>
        <v>北京大兴国际机场临空经济区 DX12-0105-6006、6009 地块F3其他类多功能用地</v>
      </c>
      <c r="J5" s="3703"/>
      <c r="K5" s="559"/>
      <c r="L5" s="2714"/>
      <c r="M5" s="2715"/>
      <c r="N5" s="2715"/>
      <c r="O5" s="2715"/>
      <c r="P5" s="3715"/>
      <c r="Q5" s="3716"/>
      <c r="R5" s="3698"/>
      <c r="S5" s="3699"/>
      <c r="T5" s="3698"/>
      <c r="U5" s="3699"/>
      <c r="V5" s="3721"/>
      <c r="W5" s="3721"/>
      <c r="X5" s="1354"/>
      <c r="Y5" s="3698"/>
      <c r="Z5" s="3699"/>
      <c r="AA5" s="3692"/>
      <c r="AB5" s="3692"/>
      <c r="AC5" s="3692"/>
    </row>
    <row r="6" spans="1:30" ht="15.75" thickBot="1">
      <c r="A6" s="360"/>
      <c r="B6" s="361"/>
      <c r="C6" s="3704" t="s">
        <v>1677</v>
      </c>
      <c r="D6" s="3705"/>
      <c r="E6" s="3706" t="s">
        <v>1677</v>
      </c>
      <c r="F6" s="3707"/>
      <c r="G6" s="3704" t="s">
        <v>1677</v>
      </c>
      <c r="H6" s="3705"/>
      <c r="I6" s="3704" t="s">
        <v>1677</v>
      </c>
      <c r="J6" s="3705"/>
      <c r="K6" s="559" t="s">
        <v>1678</v>
      </c>
      <c r="L6" s="2714"/>
      <c r="M6" s="2715"/>
      <c r="N6" s="2715"/>
      <c r="O6" s="2715"/>
      <c r="P6" s="3717"/>
      <c r="Q6" s="3718"/>
      <c r="R6" s="3698"/>
      <c r="S6" s="3699"/>
      <c r="T6" s="3719"/>
      <c r="U6" s="3720"/>
      <c r="V6" s="3721"/>
      <c r="W6" s="3721"/>
      <c r="X6" s="1354"/>
      <c r="Y6" s="3719"/>
      <c r="Z6" s="3720"/>
      <c r="AA6" s="3693"/>
      <c r="AB6" s="3693"/>
      <c r="AC6" s="3693"/>
    </row>
    <row r="7" spans="1:30" s="108" customFormat="1" ht="15.75" thickBot="1">
      <c r="A7" s="362" t="s">
        <v>1679</v>
      </c>
      <c r="B7" s="363"/>
      <c r="C7" s="364">
        <f>'数据-取费表'!B2</f>
        <v>45741</v>
      </c>
      <c r="D7" s="365">
        <v>100</v>
      </c>
      <c r="E7" s="3499" t="str">
        <f>土地案例!K2</f>
        <v>2024-01-17</v>
      </c>
      <c r="F7" s="367">
        <f>SUMIF(69:69,YEAR(E7)&amp;"-"&amp;INT((MONTH(E7)+2)/3),70:70)</f>
        <v>98.38</v>
      </c>
      <c r="G7" s="3500" t="str">
        <f>土地案例!K3</f>
        <v>2023-01-05</v>
      </c>
      <c r="H7" s="365">
        <f>SUMIF(69:69,YEAR(G7)&amp;"-"&amp;INT((MONTH(G7)+2)/3),70:70)</f>
        <v>99.48</v>
      </c>
      <c r="I7" s="3500" t="str">
        <f>土地案例!K20</f>
        <v>2022-04-29</v>
      </c>
      <c r="J7" s="365">
        <f>SUMIF(69:69,YEAR(I7)&amp;"-"&amp;INT((MONTH(I7)+2)/3),70:70)</f>
        <v>100.56</v>
      </c>
      <c r="K7" s="560"/>
      <c r="L7" s="2716"/>
      <c r="M7" s="2717"/>
      <c r="N7" s="2717"/>
      <c r="O7" s="2717"/>
      <c r="P7" s="3694" t="s">
        <v>1680</v>
      </c>
      <c r="Q7" s="3722"/>
      <c r="R7" s="701" t="s">
        <v>14</v>
      </c>
      <c r="S7" s="702">
        <f t="shared" ref="S7:S15" si="0">F7</f>
        <v>98.38</v>
      </c>
      <c r="T7" s="701" t="s">
        <v>14</v>
      </c>
      <c r="U7" s="702">
        <f t="shared" ref="U7:U15" si="1">H7</f>
        <v>99.48</v>
      </c>
      <c r="V7" s="701" t="s">
        <v>14</v>
      </c>
      <c r="W7" s="702">
        <f t="shared" ref="W7:W15" si="2">J7</f>
        <v>100.56</v>
      </c>
      <c r="X7" s="703"/>
      <c r="Y7" s="3694" t="s">
        <v>1680</v>
      </c>
      <c r="Z7" s="3695"/>
      <c r="AA7" s="704">
        <f>D7/F7</f>
        <v>1.0164667615368979</v>
      </c>
      <c r="AB7" s="704">
        <f>D7/H7</f>
        <v>1.0052271813429834</v>
      </c>
      <c r="AC7" s="704">
        <f>D7/J7</f>
        <v>0.99443118536197295</v>
      </c>
    </row>
    <row r="8" spans="1:30" s="108" customFormat="1" ht="15.75" thickBot="1">
      <c r="A8" s="362" t="s">
        <v>1681</v>
      </c>
      <c r="B8" s="363"/>
      <c r="C8" s="368" t="s">
        <v>1682</v>
      </c>
      <c r="D8" s="365">
        <v>100</v>
      </c>
      <c r="E8" s="368" t="s">
        <v>3474</v>
      </c>
      <c r="F8" s="367">
        <f>SUMIF(72:72,E8,73:73)-SUMIF(72:72,C8,73:73)+100</f>
        <v>100</v>
      </c>
      <c r="G8" s="368" t="s">
        <v>3474</v>
      </c>
      <c r="H8" s="365">
        <f>SUMIF(72:72,G8,73:73)-SUMIF(72:72,C8,73:73)+100</f>
        <v>100</v>
      </c>
      <c r="I8" s="368" t="s">
        <v>3474</v>
      </c>
      <c r="J8" s="365">
        <f>SUMIF(72:72,I8,73:73)-SUMIF(72:72,C8,73:73)+100</f>
        <v>100</v>
      </c>
      <c r="K8" s="560"/>
      <c r="L8" s="2716"/>
      <c r="M8" s="2717"/>
      <c r="N8" s="2717"/>
      <c r="O8" s="2717"/>
      <c r="P8" s="3694" t="s">
        <v>1683</v>
      </c>
      <c r="Q8" s="3695"/>
      <c r="R8" s="701" t="s">
        <v>14</v>
      </c>
      <c r="S8" s="702">
        <f t="shared" si="0"/>
        <v>100</v>
      </c>
      <c r="T8" s="701" t="s">
        <v>14</v>
      </c>
      <c r="U8" s="702">
        <f t="shared" si="1"/>
        <v>100</v>
      </c>
      <c r="V8" s="701" t="s">
        <v>14</v>
      </c>
      <c r="W8" s="702">
        <f t="shared" si="2"/>
        <v>100</v>
      </c>
      <c r="X8" s="703"/>
      <c r="Y8" s="3694" t="s">
        <v>1683</v>
      </c>
      <c r="Z8" s="3695"/>
      <c r="AA8" s="704">
        <f t="shared" ref="AA8:AA45" si="3">D8/F8</f>
        <v>1</v>
      </c>
      <c r="AB8" s="704">
        <f t="shared" ref="AB8:AB45" si="4">D8/H8</f>
        <v>1</v>
      </c>
      <c r="AC8" s="704">
        <f t="shared" ref="AC8:AC45" si="5">D8/J8</f>
        <v>1</v>
      </c>
    </row>
    <row r="9" spans="1:30" s="108" customFormat="1" ht="15">
      <c r="A9" s="369" t="s">
        <v>1684</v>
      </c>
      <c r="B9" s="63" t="s">
        <v>1685</v>
      </c>
      <c r="C9" s="1976" t="s">
        <v>2458</v>
      </c>
      <c r="D9" s="126">
        <v>100</v>
      </c>
      <c r="E9" s="1976" t="s">
        <v>3460</v>
      </c>
      <c r="F9" s="126">
        <f>SUMIF(74:74,E9,75:75)-SUMIF(74:74,C9,75:75)+100</f>
        <v>100</v>
      </c>
      <c r="G9" s="1976" t="s">
        <v>3460</v>
      </c>
      <c r="H9" s="126">
        <f>SUMIF(74:74,G9,75:75)-SUMIF(74:74,C9,75:75)+100</f>
        <v>100</v>
      </c>
      <c r="I9" s="3483" t="s">
        <v>3591</v>
      </c>
      <c r="J9" s="126">
        <f>SUMIF(74:74,I9,75:75)-SUMIF(74:74,C9,75:75)+100</f>
        <v>110</v>
      </c>
      <c r="K9" s="560"/>
      <c r="L9" s="2716"/>
      <c r="M9" s="2717"/>
      <c r="N9" s="2717"/>
      <c r="O9" s="2771"/>
      <c r="P9" s="3708" t="s">
        <v>1686</v>
      </c>
      <c r="Q9" s="1342" t="str">
        <f t="shared" ref="Q9:Q15" si="6">B9</f>
        <v>用途</v>
      </c>
      <c r="R9" s="701" t="s">
        <v>14</v>
      </c>
      <c r="S9" s="702">
        <f t="shared" si="0"/>
        <v>100</v>
      </c>
      <c r="T9" s="701" t="s">
        <v>14</v>
      </c>
      <c r="U9" s="702">
        <f t="shared" si="1"/>
        <v>100</v>
      </c>
      <c r="V9" s="701" t="s">
        <v>14</v>
      </c>
      <c r="W9" s="702">
        <f t="shared" si="2"/>
        <v>110</v>
      </c>
      <c r="X9" s="703"/>
      <c r="Y9" s="3660" t="s">
        <v>1687</v>
      </c>
      <c r="Z9" s="52" t="str">
        <f t="shared" ref="Z9:Z15" si="7">Q9</f>
        <v>用途</v>
      </c>
      <c r="AA9" s="704">
        <f t="shared" si="3"/>
        <v>1</v>
      </c>
      <c r="AB9" s="704">
        <f t="shared" si="4"/>
        <v>1</v>
      </c>
      <c r="AC9" s="704">
        <f t="shared" si="5"/>
        <v>0.90909090909090906</v>
      </c>
    </row>
    <row r="10" spans="1:30" s="378" customFormat="1" ht="27">
      <c r="A10" s="374"/>
      <c r="B10" s="375" t="s">
        <v>1688</v>
      </c>
      <c r="C10" s="383"/>
      <c r="D10" s="127">
        <v>100</v>
      </c>
      <c r="E10" s="416"/>
      <c r="F10" s="3481">
        <v>100</v>
      </c>
      <c r="G10" s="414"/>
      <c r="H10" s="3481">
        <v>100</v>
      </c>
      <c r="I10" s="414"/>
      <c r="J10" s="3481">
        <v>100</v>
      </c>
      <c r="K10" s="620"/>
      <c r="L10" s="2718"/>
      <c r="M10" s="2719"/>
      <c r="N10" s="2719"/>
      <c r="O10" s="2772"/>
      <c r="P10" s="3708"/>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30" ht="15">
      <c r="A11" s="379"/>
      <c r="B11" s="375" t="s">
        <v>1689</v>
      </c>
      <c r="C11" s="380">
        <f>'数据-汇总表'!I6</f>
        <v>5.16</v>
      </c>
      <c r="D11" s="127">
        <v>100</v>
      </c>
      <c r="E11" s="380">
        <v>2.4</v>
      </c>
      <c r="F11" s="127">
        <f>LOOKUP(E11,79:79,80:80)-LOOKUP(C11,79:79,80:80)+100</f>
        <v>106</v>
      </c>
      <c r="G11" s="381">
        <v>3</v>
      </c>
      <c r="H11" s="127">
        <f>LOOKUP(G11,79:79,80:80)-LOOKUP(C11,79:79,80:80)+100</f>
        <v>104</v>
      </c>
      <c r="I11" s="380">
        <v>2.2000000000000002</v>
      </c>
      <c r="J11" s="127">
        <f>LOOKUP(I11,79:79,80:80)-LOOKUP(C11,79:79,80:80)+100</f>
        <v>106</v>
      </c>
      <c r="K11" s="3844">
        <v>2</v>
      </c>
      <c r="L11" s="2720"/>
      <c r="M11" s="2715"/>
      <c r="N11" s="2715"/>
      <c r="O11" s="2773"/>
      <c r="P11" s="3708"/>
      <c r="Q11" s="1342" t="str">
        <f t="shared" si="6"/>
        <v>容积率</v>
      </c>
      <c r="R11" s="701" t="s">
        <v>14</v>
      </c>
      <c r="S11" s="702">
        <f t="shared" si="0"/>
        <v>106</v>
      </c>
      <c r="T11" s="701" t="s">
        <v>14</v>
      </c>
      <c r="U11" s="702">
        <f t="shared" si="1"/>
        <v>104</v>
      </c>
      <c r="V11" s="701" t="s">
        <v>14</v>
      </c>
      <c r="W11" s="702">
        <f t="shared" si="2"/>
        <v>106</v>
      </c>
      <c r="X11" s="703"/>
      <c r="Y11" s="3660"/>
      <c r="Z11" s="52" t="str">
        <f t="shared" si="7"/>
        <v>容积率</v>
      </c>
      <c r="AA11" s="704">
        <f t="shared" si="3"/>
        <v>0.94339622641509435</v>
      </c>
      <c r="AB11" s="704">
        <f t="shared" si="4"/>
        <v>0.96153846153846156</v>
      </c>
      <c r="AC11" s="704">
        <f t="shared" si="5"/>
        <v>0.94339622641509435</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8"/>
      <c r="Q12" s="1342" t="str">
        <f t="shared" si="6"/>
        <v>配建</v>
      </c>
      <c r="R12" s="701" t="s">
        <v>14</v>
      </c>
      <c r="S12" s="702">
        <f t="shared" si="0"/>
        <v>100</v>
      </c>
      <c r="T12" s="701" t="s">
        <v>14</v>
      </c>
      <c r="U12" s="702">
        <f t="shared" si="1"/>
        <v>100</v>
      </c>
      <c r="V12" s="701" t="s">
        <v>14</v>
      </c>
      <c r="W12" s="702">
        <f t="shared" si="2"/>
        <v>100</v>
      </c>
      <c r="X12" s="703"/>
      <c r="Y12" s="3660"/>
      <c r="Z12" s="52" t="str">
        <f t="shared" si="7"/>
        <v>配建</v>
      </c>
      <c r="AA12" s="704">
        <f>D12/F12</f>
        <v>1</v>
      </c>
      <c r="AB12" s="704">
        <f>D12/H12</f>
        <v>1</v>
      </c>
      <c r="AC12" s="704">
        <f>D12/J12</f>
        <v>1</v>
      </c>
    </row>
    <row r="13" spans="1:30" ht="15">
      <c r="A13" s="379"/>
      <c r="B13" s="3472" t="s">
        <v>3575</v>
      </c>
      <c r="C13" s="3473" t="s">
        <v>3582</v>
      </c>
      <c r="D13" s="386">
        <v>100</v>
      </c>
      <c r="E13" s="3473" t="s">
        <v>3582</v>
      </c>
      <c r="F13" s="127">
        <f>SUMIF(83:83,E13,84:84)-SUMIF(83:83,C13,84:84)+100</f>
        <v>100</v>
      </c>
      <c r="G13" s="3473" t="s">
        <v>3582</v>
      </c>
      <c r="H13" s="386">
        <f>SUMIF(83:83,G13,84:84)-SUMIF(83:83,C13,84:84)+100</f>
        <v>100</v>
      </c>
      <c r="I13" s="3473" t="s">
        <v>3582</v>
      </c>
      <c r="J13" s="386">
        <f>SUMIF(83:83,I13,84:84)-SUMIF(83:83,C13,84:84)+100</f>
        <v>100</v>
      </c>
      <c r="K13" s="620"/>
      <c r="L13" s="2721"/>
      <c r="M13" s="2715"/>
      <c r="N13" s="2715"/>
      <c r="O13" s="2773"/>
      <c r="P13" s="3708"/>
      <c r="Q13" s="1342" t="str">
        <f t="shared" si="6"/>
        <v>是否自持</v>
      </c>
      <c r="R13" s="701" t="s">
        <v>14</v>
      </c>
      <c r="S13" s="702">
        <f t="shared" si="0"/>
        <v>100</v>
      </c>
      <c r="T13" s="701" t="s">
        <v>14</v>
      </c>
      <c r="U13" s="702">
        <f t="shared" si="1"/>
        <v>100</v>
      </c>
      <c r="V13" s="701" t="s">
        <v>14</v>
      </c>
      <c r="W13" s="702">
        <f t="shared" si="2"/>
        <v>100</v>
      </c>
      <c r="X13" s="703"/>
      <c r="Y13" s="3660"/>
      <c r="Z13" s="52" t="str">
        <f t="shared" si="7"/>
        <v>是否自持</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8"/>
      <c r="Q14" s="1342">
        <f t="shared" si="6"/>
        <v>111</v>
      </c>
      <c r="R14" s="701" t="s">
        <v>14</v>
      </c>
      <c r="S14" s="702">
        <f t="shared" si="0"/>
        <v>100</v>
      </c>
      <c r="T14" s="701" t="s">
        <v>14</v>
      </c>
      <c r="U14" s="702">
        <f t="shared" si="1"/>
        <v>100</v>
      </c>
      <c r="V14" s="701" t="s">
        <v>14</v>
      </c>
      <c r="W14" s="702">
        <f t="shared" si="2"/>
        <v>100</v>
      </c>
      <c r="X14" s="703"/>
      <c r="Y14" s="3660"/>
      <c r="Z14" s="52">
        <f t="shared" si="7"/>
        <v>111</v>
      </c>
      <c r="AA14" s="704">
        <f>D14/F14</f>
        <v>1</v>
      </c>
      <c r="AB14" s="704">
        <f>D14/H14</f>
        <v>1</v>
      </c>
      <c r="AC14" s="704">
        <f>D14/J14</f>
        <v>1</v>
      </c>
    </row>
    <row r="15" spans="1:30" ht="99.75" hidden="1">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3" t="s">
        <v>1691</v>
      </c>
      <c r="Q15" s="1351" t="str">
        <f t="shared" si="6"/>
        <v>居住社区成熟度</v>
      </c>
      <c r="R15" s="705" t="s">
        <v>14</v>
      </c>
      <c r="S15" s="706">
        <f t="shared" si="0"/>
        <v>100</v>
      </c>
      <c r="T15" s="705" t="s">
        <v>14</v>
      </c>
      <c r="U15" s="706">
        <f t="shared" si="1"/>
        <v>100</v>
      </c>
      <c r="V15" s="705" t="s">
        <v>14</v>
      </c>
      <c r="W15" s="706">
        <f t="shared" si="2"/>
        <v>100</v>
      </c>
      <c r="X15" s="1354"/>
      <c r="Y15" s="3723"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724"/>
      <c r="Q16" s="1351"/>
      <c r="R16" s="705"/>
      <c r="S16" s="706"/>
      <c r="T16" s="705"/>
      <c r="U16" s="706"/>
      <c r="V16" s="705"/>
      <c r="W16" s="706"/>
      <c r="X16" s="1354"/>
      <c r="Y16" s="3724"/>
      <c r="Z16" s="1355"/>
      <c r="AA16" s="1352">
        <v>1</v>
      </c>
      <c r="AB16" s="1352">
        <v>1</v>
      </c>
      <c r="AC16" s="1352">
        <v>1</v>
      </c>
    </row>
    <row r="17" spans="1:29" ht="71.25" hidden="1">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4"/>
      <c r="Q17" s="1351" t="str">
        <f>B17</f>
        <v>商业繁华度</v>
      </c>
      <c r="R17" s="705" t="s">
        <v>14</v>
      </c>
      <c r="S17" s="706">
        <f>F17</f>
        <v>100</v>
      </c>
      <c r="T17" s="705" t="s">
        <v>14</v>
      </c>
      <c r="U17" s="706">
        <f>H17</f>
        <v>100</v>
      </c>
      <c r="V17" s="705" t="s">
        <v>14</v>
      </c>
      <c r="W17" s="706">
        <f>J17</f>
        <v>100</v>
      </c>
      <c r="X17" s="1354"/>
      <c r="Y17" s="3724"/>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724"/>
      <c r="Q18" s="1351"/>
      <c r="R18" s="705"/>
      <c r="S18" s="706"/>
      <c r="T18" s="705"/>
      <c r="U18" s="706"/>
      <c r="V18" s="705"/>
      <c r="W18" s="706"/>
      <c r="X18" s="1354"/>
      <c r="Y18" s="372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102</v>
      </c>
      <c r="G19" s="408"/>
      <c r="H19" s="401">
        <f>SUMIF(91:91,G20,92:92)-SUMIF(91:91,C20,92:92)+100</f>
        <v>102</v>
      </c>
      <c r="I19" s="410"/>
      <c r="J19" s="401">
        <f>SUMIF(91:91,I20,92:92)-SUMIF(91:91,C20,92:92)+100</f>
        <v>100</v>
      </c>
      <c r="K19" s="3479">
        <v>2</v>
      </c>
      <c r="L19" s="2721"/>
      <c r="M19" s="2715"/>
      <c r="N19" s="2715"/>
      <c r="O19" s="2773"/>
      <c r="P19" s="3724"/>
      <c r="Q19" s="1351" t="str">
        <f>B19</f>
        <v>办公集聚程度</v>
      </c>
      <c r="R19" s="705" t="s">
        <v>14</v>
      </c>
      <c r="S19" s="706">
        <f>F19</f>
        <v>102</v>
      </c>
      <c r="T19" s="705" t="s">
        <v>14</v>
      </c>
      <c r="U19" s="706">
        <f>H19</f>
        <v>102</v>
      </c>
      <c r="V19" s="705" t="s">
        <v>14</v>
      </c>
      <c r="W19" s="706">
        <f>J19</f>
        <v>100</v>
      </c>
      <c r="X19" s="1354"/>
      <c r="Y19" s="3724"/>
      <c r="Z19" s="1355" t="str">
        <f>Q19</f>
        <v>办公集聚程度</v>
      </c>
      <c r="AA19" s="1352">
        <f t="shared" si="3"/>
        <v>0.98039215686274506</v>
      </c>
      <c r="AB19" s="1352">
        <f t="shared" si="4"/>
        <v>0.98039215686274506</v>
      </c>
      <c r="AC19" s="1352">
        <f t="shared" si="5"/>
        <v>1</v>
      </c>
    </row>
    <row r="20" spans="1:29" ht="15">
      <c r="A20" s="379"/>
      <c r="B20" s="407"/>
      <c r="C20" s="398" t="s">
        <v>3451</v>
      </c>
      <c r="D20" s="399"/>
      <c r="E20" s="398" t="s">
        <v>3454</v>
      </c>
      <c r="F20" s="399"/>
      <c r="G20" s="398" t="s">
        <v>3454</v>
      </c>
      <c r="H20" s="399"/>
      <c r="I20" s="3484" t="s">
        <v>3451</v>
      </c>
      <c r="J20" s="399"/>
      <c r="K20" s="620"/>
      <c r="L20" s="2721"/>
      <c r="M20" s="2715"/>
      <c r="N20" s="2715"/>
      <c r="O20" s="2773"/>
      <c r="P20" s="3724"/>
      <c r="Q20" s="1351"/>
      <c r="R20" s="705"/>
      <c r="S20" s="706"/>
      <c r="T20" s="705"/>
      <c r="U20" s="706"/>
      <c r="V20" s="705"/>
      <c r="W20" s="706"/>
      <c r="X20" s="1354"/>
      <c r="Y20" s="372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102</v>
      </c>
      <c r="G21" s="403"/>
      <c r="H21" s="401">
        <f>SUMIF(93:93,G22,94:94)-SUMIF(93:93,C22,94:94)+100</f>
        <v>102</v>
      </c>
      <c r="I21" s="405"/>
      <c r="J21" s="401">
        <f>SUMIF(93:93,I22,94:94)-SUMIF(93:93,C22,94:94)+100</f>
        <v>100</v>
      </c>
      <c r="K21" s="3479">
        <v>2</v>
      </c>
      <c r="L21" s="2721"/>
      <c r="M21" s="2715"/>
      <c r="N21" s="2715"/>
      <c r="O21" s="2773"/>
      <c r="P21" s="3724"/>
      <c r="Q21" s="1351" t="str">
        <f>B21</f>
        <v>交通便捷度</v>
      </c>
      <c r="R21" s="705" t="s">
        <v>14</v>
      </c>
      <c r="S21" s="706">
        <f>F21</f>
        <v>102</v>
      </c>
      <c r="T21" s="705" t="s">
        <v>14</v>
      </c>
      <c r="U21" s="706">
        <f>H21</f>
        <v>102</v>
      </c>
      <c r="V21" s="705" t="s">
        <v>14</v>
      </c>
      <c r="W21" s="706">
        <f>J21</f>
        <v>100</v>
      </c>
      <c r="X21" s="1354"/>
      <c r="Y21" s="3724"/>
      <c r="Z21" s="1355" t="str">
        <f>Q21</f>
        <v>交通便捷度</v>
      </c>
      <c r="AA21" s="1352">
        <f t="shared" si="3"/>
        <v>0.98039215686274506</v>
      </c>
      <c r="AB21" s="1352">
        <f t="shared" si="4"/>
        <v>0.98039215686274506</v>
      </c>
      <c r="AC21" s="1352">
        <f t="shared" si="5"/>
        <v>1</v>
      </c>
    </row>
    <row r="22" spans="1:29" ht="15">
      <c r="A22" s="379"/>
      <c r="B22" s="1131"/>
      <c r="C22" s="398" t="s">
        <v>3451</v>
      </c>
      <c r="D22" s="401"/>
      <c r="E22" s="398" t="s">
        <v>3454</v>
      </c>
      <c r="F22" s="399"/>
      <c r="G22" s="398" t="s">
        <v>3454</v>
      </c>
      <c r="H22" s="399"/>
      <c r="I22" s="398" t="s">
        <v>3451</v>
      </c>
      <c r="J22" s="399"/>
      <c r="K22" s="620"/>
      <c r="L22" s="2721"/>
      <c r="M22" s="2715"/>
      <c r="N22" s="2715"/>
      <c r="O22" s="2773"/>
      <c r="P22" s="3724"/>
      <c r="Q22" s="1351"/>
      <c r="R22" s="705"/>
      <c r="S22" s="706"/>
      <c r="T22" s="705"/>
      <c r="U22" s="706"/>
      <c r="V22" s="705"/>
      <c r="W22" s="706"/>
      <c r="X22" s="1354"/>
      <c r="Y22" s="3724"/>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4"/>
      <c r="Q23" s="1351" t="str">
        <f t="shared" ref="Q23:Q37" si="8">B23</f>
        <v>区域土地利用方向</v>
      </c>
      <c r="R23" s="705" t="s">
        <v>14</v>
      </c>
      <c r="S23" s="706">
        <f>F23</f>
        <v>100</v>
      </c>
      <c r="T23" s="705" t="s">
        <v>14</v>
      </c>
      <c r="U23" s="706">
        <f>H23</f>
        <v>100</v>
      </c>
      <c r="V23" s="705" t="s">
        <v>14</v>
      </c>
      <c r="W23" s="706">
        <f>J23</f>
        <v>100</v>
      </c>
      <c r="X23" s="1354"/>
      <c r="Y23" s="3724"/>
      <c r="Z23" s="1355" t="str">
        <f>Q23</f>
        <v>区域土地利用方向</v>
      </c>
      <c r="AA23" s="1352">
        <f t="shared" si="3"/>
        <v>1</v>
      </c>
      <c r="AB23" s="1352">
        <f t="shared" si="4"/>
        <v>1</v>
      </c>
      <c r="AC23" s="1352">
        <f t="shared" si="5"/>
        <v>1</v>
      </c>
    </row>
    <row r="24" spans="1:29" ht="15">
      <c r="A24" s="358"/>
      <c r="B24" s="407"/>
      <c r="C24" s="398" t="s">
        <v>3454</v>
      </c>
      <c r="D24" s="399"/>
      <c r="E24" s="398" t="s">
        <v>3454</v>
      </c>
      <c r="F24" s="399"/>
      <c r="G24" s="398" t="s">
        <v>3454</v>
      </c>
      <c r="H24" s="399"/>
      <c r="I24" s="398" t="s">
        <v>3454</v>
      </c>
      <c r="J24" s="399"/>
      <c r="K24" s="740"/>
      <c r="L24" s="2721"/>
      <c r="M24" s="2715"/>
      <c r="N24" s="2715"/>
      <c r="O24" s="2773"/>
      <c r="P24" s="3724"/>
      <c r="Q24" s="1351"/>
      <c r="R24" s="705"/>
      <c r="S24" s="706"/>
      <c r="T24" s="705"/>
      <c r="U24" s="706"/>
      <c r="V24" s="705"/>
      <c r="W24" s="706"/>
      <c r="X24" s="1354"/>
      <c r="Y24" s="3724"/>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4"/>
      <c r="Q25" s="1351" t="str">
        <f t="shared" si="8"/>
        <v>自然及人文环境状况</v>
      </c>
      <c r="R25" s="705" t="s">
        <v>14</v>
      </c>
      <c r="S25" s="706">
        <f>F25</f>
        <v>100</v>
      </c>
      <c r="T25" s="705" t="s">
        <v>14</v>
      </c>
      <c r="U25" s="706">
        <f>H25</f>
        <v>100</v>
      </c>
      <c r="V25" s="705" t="s">
        <v>14</v>
      </c>
      <c r="W25" s="706">
        <f>J25</f>
        <v>100</v>
      </c>
      <c r="X25" s="1354"/>
      <c r="Y25" s="3724"/>
      <c r="Z25" s="1355" t="str">
        <f>Q25</f>
        <v>自然及人文环境状况</v>
      </c>
      <c r="AA25" s="1352">
        <f t="shared" si="3"/>
        <v>1</v>
      </c>
      <c r="AB25" s="1352">
        <f t="shared" si="4"/>
        <v>1</v>
      </c>
      <c r="AC25" s="1352">
        <f t="shared" si="5"/>
        <v>1</v>
      </c>
    </row>
    <row r="26" spans="1:29" ht="15">
      <c r="A26" s="358"/>
      <c r="B26" s="407"/>
      <c r="C26" s="398" t="s">
        <v>3454</v>
      </c>
      <c r="D26" s="399"/>
      <c r="E26" s="398" t="s">
        <v>3454</v>
      </c>
      <c r="F26" s="399"/>
      <c r="G26" s="398" t="s">
        <v>3454</v>
      </c>
      <c r="H26" s="399"/>
      <c r="I26" s="398" t="s">
        <v>3454</v>
      </c>
      <c r="J26" s="399"/>
      <c r="K26" s="620"/>
      <c r="L26" s="2721"/>
      <c r="M26" s="2715"/>
      <c r="N26" s="2715"/>
      <c r="O26" s="2773"/>
      <c r="P26" s="3724"/>
      <c r="Q26" s="1351"/>
      <c r="R26" s="705"/>
      <c r="S26" s="706"/>
      <c r="T26" s="705"/>
      <c r="U26" s="706"/>
      <c r="V26" s="705"/>
      <c r="W26" s="706"/>
      <c r="X26" s="1354"/>
      <c r="Y26" s="3724"/>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4"/>
      <c r="Q27" s="1342" t="str">
        <f t="shared" si="8"/>
        <v>公共配套设施</v>
      </c>
      <c r="R27" s="701" t="s">
        <v>14</v>
      </c>
      <c r="S27" s="702">
        <f>F27</f>
        <v>100</v>
      </c>
      <c r="T27" s="701" t="s">
        <v>14</v>
      </c>
      <c r="U27" s="702">
        <f>H27</f>
        <v>100</v>
      </c>
      <c r="V27" s="701" t="s">
        <v>14</v>
      </c>
      <c r="W27" s="702">
        <f>J27</f>
        <v>100</v>
      </c>
      <c r="X27" s="703"/>
      <c r="Y27" s="3724"/>
      <c r="Z27" s="52" t="str">
        <f>Q27</f>
        <v>公共配套设施</v>
      </c>
      <c r="AA27" s="1352">
        <f>D27/F27</f>
        <v>1</v>
      </c>
      <c r="AB27" s="1352">
        <f>D27/H27</f>
        <v>1</v>
      </c>
      <c r="AC27" s="1352">
        <f>D27/J27</f>
        <v>1</v>
      </c>
    </row>
    <row r="28" spans="1:29" s="108" customFormat="1" ht="15">
      <c r="A28" s="597"/>
      <c r="B28" s="407"/>
      <c r="C28" s="1977" t="s">
        <v>3454</v>
      </c>
      <c r="D28" s="399"/>
      <c r="E28" s="1977" t="s">
        <v>3454</v>
      </c>
      <c r="F28" s="399"/>
      <c r="G28" s="1977" t="s">
        <v>3454</v>
      </c>
      <c r="H28" s="399"/>
      <c r="I28" s="1977" t="s">
        <v>3454</v>
      </c>
      <c r="J28" s="399"/>
      <c r="K28" s="620"/>
      <c r="L28" s="2716"/>
      <c r="M28" s="2717"/>
      <c r="N28" s="2717"/>
      <c r="O28" s="2771"/>
      <c r="P28" s="3724"/>
      <c r="Q28" s="1342"/>
      <c r="R28" s="701"/>
      <c r="S28" s="702"/>
      <c r="T28" s="701"/>
      <c r="U28" s="702"/>
      <c r="V28" s="701"/>
      <c r="W28" s="702"/>
      <c r="X28" s="703"/>
      <c r="Y28" s="3724"/>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4"/>
      <c r="Q29" s="1342" t="str">
        <f t="shared" ref="Q29" si="9">B29</f>
        <v>基础设施水平</v>
      </c>
      <c r="R29" s="701" t="s">
        <v>14</v>
      </c>
      <c r="S29" s="702">
        <f>F29</f>
        <v>100</v>
      </c>
      <c r="T29" s="701" t="s">
        <v>14</v>
      </c>
      <c r="U29" s="702">
        <f>H29</f>
        <v>100</v>
      </c>
      <c r="V29" s="701" t="s">
        <v>14</v>
      </c>
      <c r="W29" s="702">
        <f>J29</f>
        <v>100</v>
      </c>
      <c r="X29" s="703"/>
      <c r="Y29" s="3724"/>
      <c r="Z29" s="52" t="str">
        <f>Q29</f>
        <v>基础设施水平</v>
      </c>
      <c r="AA29" s="1352">
        <f>D29/F29</f>
        <v>1</v>
      </c>
      <c r="AB29" s="1352">
        <f>D29/H29</f>
        <v>1</v>
      </c>
      <c r="AC29" s="1352">
        <f>D29/J29</f>
        <v>1</v>
      </c>
    </row>
    <row r="30" spans="1:29" s="108" customFormat="1" ht="15">
      <c r="A30" s="597"/>
      <c r="B30" s="407"/>
      <c r="C30" s="398" t="s">
        <v>3469</v>
      </c>
      <c r="D30" s="399"/>
      <c r="E30" s="398" t="s">
        <v>3469</v>
      </c>
      <c r="F30" s="399"/>
      <c r="G30" s="398" t="s">
        <v>3469</v>
      </c>
      <c r="H30" s="399"/>
      <c r="I30" s="398" t="s">
        <v>3469</v>
      </c>
      <c r="J30" s="399"/>
      <c r="K30" s="620"/>
      <c r="L30" s="2716"/>
      <c r="M30" s="2717"/>
      <c r="N30" s="2717"/>
      <c r="O30" s="2771"/>
      <c r="P30" s="3724"/>
      <c r="Q30" s="1342"/>
      <c r="R30" s="701"/>
      <c r="S30" s="702"/>
      <c r="T30" s="701"/>
      <c r="U30" s="702"/>
      <c r="V30" s="701"/>
      <c r="W30" s="702"/>
      <c r="X30" s="703"/>
      <c r="Y30" s="372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4"/>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4"/>
      <c r="Q32" s="1351" t="str">
        <f t="shared" si="8"/>
        <v>毗邻道路的类型与等级</v>
      </c>
      <c r="R32" s="705" t="s">
        <v>14</v>
      </c>
      <c r="S32" s="706">
        <f t="shared" si="10"/>
        <v>100</v>
      </c>
      <c r="T32" s="705" t="s">
        <v>14</v>
      </c>
      <c r="U32" s="706">
        <f t="shared" si="11"/>
        <v>100</v>
      </c>
      <c r="V32" s="705" t="s">
        <v>14</v>
      </c>
      <c r="W32" s="706">
        <f t="shared" si="12"/>
        <v>100</v>
      </c>
      <c r="X32" s="1354"/>
      <c r="Y32" s="372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24"/>
      <c r="Q33" s="1351"/>
      <c r="R33" s="705"/>
      <c r="S33" s="706"/>
      <c r="T33" s="705"/>
      <c r="U33" s="706"/>
      <c r="V33" s="705"/>
      <c r="W33" s="706"/>
      <c r="X33" s="1354"/>
      <c r="Y33" s="372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4"/>
      <c r="Q34" s="1351" t="str">
        <f t="shared" si="8"/>
        <v>土地级别</v>
      </c>
      <c r="R34" s="705" t="s">
        <v>14</v>
      </c>
      <c r="S34" s="706">
        <f t="shared" si="10"/>
        <v>100</v>
      </c>
      <c r="T34" s="705" t="s">
        <v>14</v>
      </c>
      <c r="U34" s="706">
        <f t="shared" si="11"/>
        <v>100</v>
      </c>
      <c r="V34" s="705" t="s">
        <v>14</v>
      </c>
      <c r="W34" s="706">
        <f t="shared" si="12"/>
        <v>100</v>
      </c>
      <c r="X34" s="1354"/>
      <c r="Y34" s="3724"/>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4"/>
      <c r="Q35" s="1351">
        <f t="shared" si="8"/>
        <v>111</v>
      </c>
      <c r="R35" s="705" t="s">
        <v>14</v>
      </c>
      <c r="S35" s="706">
        <f t="shared" si="10"/>
        <v>100</v>
      </c>
      <c r="T35" s="705" t="s">
        <v>14</v>
      </c>
      <c r="U35" s="706">
        <f t="shared" si="11"/>
        <v>100</v>
      </c>
      <c r="V35" s="705" t="s">
        <v>14</v>
      </c>
      <c r="W35" s="706">
        <f t="shared" si="12"/>
        <v>100</v>
      </c>
      <c r="X35" s="1354"/>
      <c r="Y35" s="3724"/>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5" t="s">
        <v>1696</v>
      </c>
      <c r="Q36" s="1351">
        <f t="shared" si="8"/>
        <v>111</v>
      </c>
      <c r="R36" s="705" t="s">
        <v>14</v>
      </c>
      <c r="S36" s="706">
        <f t="shared" si="10"/>
        <v>100</v>
      </c>
      <c r="T36" s="705" t="s">
        <v>14</v>
      </c>
      <c r="U36" s="706">
        <f t="shared" si="11"/>
        <v>100</v>
      </c>
      <c r="V36" s="705" t="s">
        <v>14</v>
      </c>
      <c r="W36" s="706">
        <f t="shared" si="12"/>
        <v>100</v>
      </c>
      <c r="X36" s="1354"/>
      <c r="Y36" s="3726"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6"/>
      <c r="Q37" s="1351">
        <f t="shared" si="8"/>
        <v>111</v>
      </c>
      <c r="R37" s="708" t="s">
        <v>14</v>
      </c>
      <c r="S37" s="709">
        <f t="shared" si="10"/>
        <v>100</v>
      </c>
      <c r="T37" s="708" t="s">
        <v>14</v>
      </c>
      <c r="U37" s="709">
        <f t="shared" si="11"/>
        <v>100</v>
      </c>
      <c r="V37" s="708" t="s">
        <v>14</v>
      </c>
      <c r="W37" s="709">
        <f t="shared" si="12"/>
        <v>100</v>
      </c>
      <c r="X37" s="710"/>
      <c r="Y37" s="3726"/>
      <c r="Z37" s="711">
        <f t="shared" si="13"/>
        <v>111</v>
      </c>
      <c r="AA37" s="1352">
        <f t="shared" si="3"/>
        <v>1</v>
      </c>
      <c r="AB37" s="1352">
        <f t="shared" si="4"/>
        <v>1</v>
      </c>
      <c r="AC37" s="1352">
        <f t="shared" si="5"/>
        <v>1</v>
      </c>
    </row>
    <row r="38" spans="1:29" ht="15">
      <c r="A38" s="423" t="s">
        <v>1694</v>
      </c>
      <c r="B38" s="407" t="s">
        <v>1874</v>
      </c>
      <c r="C38" s="627">
        <v>7731.92</v>
      </c>
      <c r="D38" s="418">
        <v>100</v>
      </c>
      <c r="E38" s="627">
        <f>土地案例!D2</f>
        <v>32636.74</v>
      </c>
      <c r="F38" s="418">
        <f>LOOKUP(E38,116:116,117:117)-LOOKUP(C38,116:116,117:117)+100</f>
        <v>102</v>
      </c>
      <c r="G38" s="627">
        <f>土地案例!D3</f>
        <v>64012.4</v>
      </c>
      <c r="H38" s="418">
        <f>LOOKUP(G38,116:116,117:117)-LOOKUP(C38,116:116,117:117)+100</f>
        <v>100</v>
      </c>
      <c r="I38" s="479">
        <f>土地案例!D20</f>
        <v>59169.74</v>
      </c>
      <c r="J38" s="418">
        <f>LOOKUP(I38,116:116,117:117)-LOOKUP(C38,116:116,117:117)+100</f>
        <v>102</v>
      </c>
      <c r="K38" s="562"/>
      <c r="L38" s="2721"/>
      <c r="M38" s="2715"/>
      <c r="N38" s="2715"/>
      <c r="O38" s="2773"/>
      <c r="P38" s="3726"/>
      <c r="Q38" s="1351" t="str">
        <f>B38</f>
        <v>宗地面积</v>
      </c>
      <c r="R38" s="705" t="s">
        <v>14</v>
      </c>
      <c r="S38" s="706">
        <f t="shared" si="10"/>
        <v>102</v>
      </c>
      <c r="T38" s="705" t="s">
        <v>14</v>
      </c>
      <c r="U38" s="706">
        <f t="shared" si="11"/>
        <v>100</v>
      </c>
      <c r="V38" s="705" t="s">
        <v>14</v>
      </c>
      <c r="W38" s="706">
        <f t="shared" si="12"/>
        <v>102</v>
      </c>
      <c r="X38" s="1354"/>
      <c r="Y38" s="3726"/>
      <c r="Z38" s="1355" t="str">
        <f t="shared" si="13"/>
        <v>宗地面积</v>
      </c>
      <c r="AA38" s="1352">
        <f t="shared" si="3"/>
        <v>0.98039215686274506</v>
      </c>
      <c r="AB38" s="1352">
        <f t="shared" si="4"/>
        <v>1</v>
      </c>
      <c r="AC38" s="1352">
        <f t="shared" si="5"/>
        <v>0.98039215686274506</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6"/>
      <c r="Q39" s="1351" t="str">
        <f t="shared" ref="Q39:Q45" si="14">B39</f>
        <v>宗地形状</v>
      </c>
      <c r="R39" s="705" t="s">
        <v>14</v>
      </c>
      <c r="S39" s="706">
        <f t="shared" si="10"/>
        <v>100</v>
      </c>
      <c r="T39" s="705" t="s">
        <v>14</v>
      </c>
      <c r="U39" s="706">
        <f t="shared" si="11"/>
        <v>100</v>
      </c>
      <c r="V39" s="705" t="s">
        <v>14</v>
      </c>
      <c r="W39" s="706">
        <f t="shared" si="12"/>
        <v>100</v>
      </c>
      <c r="X39" s="1354"/>
      <c r="Y39" s="372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6"/>
      <c r="Q40" s="1351" t="str">
        <f t="shared" si="14"/>
        <v>临街宽度及深度</v>
      </c>
      <c r="R40" s="705" t="s">
        <v>14</v>
      </c>
      <c r="S40" s="706">
        <f t="shared" si="10"/>
        <v>100</v>
      </c>
      <c r="T40" s="705" t="s">
        <v>14</v>
      </c>
      <c r="U40" s="706">
        <f t="shared" si="11"/>
        <v>100</v>
      </c>
      <c r="V40" s="705" t="s">
        <v>14</v>
      </c>
      <c r="W40" s="706">
        <f t="shared" si="12"/>
        <v>100</v>
      </c>
      <c r="X40" s="1354"/>
      <c r="Y40" s="3726"/>
      <c r="Z40" s="1355" t="str">
        <f t="shared" si="13"/>
        <v>临街宽度及深度</v>
      </c>
      <c r="AA40" s="1352">
        <f t="shared" si="3"/>
        <v>1</v>
      </c>
      <c r="AB40" s="1352">
        <f t="shared" si="4"/>
        <v>1</v>
      </c>
      <c r="AC40" s="1352">
        <f t="shared" si="5"/>
        <v>1</v>
      </c>
    </row>
    <row r="41" spans="1:29" s="108" customFormat="1" ht="15">
      <c r="A41" s="424"/>
      <c r="B41" s="375" t="s">
        <v>1877</v>
      </c>
      <c r="C41" s="1979" t="s">
        <v>3471</v>
      </c>
      <c r="D41" s="127">
        <v>100</v>
      </c>
      <c r="E41" s="1979" t="s">
        <v>3471</v>
      </c>
      <c r="F41" s="386">
        <f>SUMIF(122:122,E41,123:123)-SUMIF(122:122,C41,123:123)+100</f>
        <v>100</v>
      </c>
      <c r="G41" s="1979" t="s">
        <v>3473</v>
      </c>
      <c r="H41" s="386">
        <f>SUMIF(122:122,G41,123:123)-SUMIF(122:122,C41,123:123)+100</f>
        <v>96</v>
      </c>
      <c r="I41" s="1979" t="s">
        <v>3470</v>
      </c>
      <c r="J41" s="386">
        <f>SUMIF(122:122,I41,123:123)-SUMIF(122:122,C41,123:123)+100</f>
        <v>102</v>
      </c>
      <c r="K41" s="561">
        <v>2</v>
      </c>
      <c r="L41" s="2716"/>
      <c r="M41" s="2717"/>
      <c r="N41" s="2717"/>
      <c r="O41" s="2771"/>
      <c r="P41" s="3726"/>
      <c r="Q41" s="1351" t="str">
        <f t="shared" si="14"/>
        <v>宗地开发程度</v>
      </c>
      <c r="R41" s="701" t="s">
        <v>14</v>
      </c>
      <c r="S41" s="702">
        <f t="shared" si="10"/>
        <v>100</v>
      </c>
      <c r="T41" s="701" t="s">
        <v>14</v>
      </c>
      <c r="U41" s="702">
        <f t="shared" si="11"/>
        <v>96</v>
      </c>
      <c r="V41" s="701" t="s">
        <v>14</v>
      </c>
      <c r="W41" s="702">
        <f t="shared" si="12"/>
        <v>102</v>
      </c>
      <c r="X41" s="703"/>
      <c r="Y41" s="3726"/>
      <c r="Z41" s="52" t="str">
        <f t="shared" si="13"/>
        <v>宗地开发程度</v>
      </c>
      <c r="AA41" s="704">
        <f t="shared" si="3"/>
        <v>1</v>
      </c>
      <c r="AB41" s="704">
        <f t="shared" si="4"/>
        <v>1.0416666666666667</v>
      </c>
      <c r="AC41" s="704">
        <f t="shared" si="5"/>
        <v>0.98039215686274506</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6" t="s">
        <v>1696</v>
      </c>
      <c r="Q42" s="1351" t="str">
        <f t="shared" si="14"/>
        <v>工程地质条件</v>
      </c>
      <c r="R42" s="705" t="s">
        <v>14</v>
      </c>
      <c r="S42" s="706">
        <f t="shared" si="10"/>
        <v>100</v>
      </c>
      <c r="T42" s="705" t="s">
        <v>14</v>
      </c>
      <c r="U42" s="706">
        <f t="shared" si="11"/>
        <v>100</v>
      </c>
      <c r="V42" s="705" t="s">
        <v>14</v>
      </c>
      <c r="W42" s="706">
        <f t="shared" si="12"/>
        <v>100</v>
      </c>
      <c r="X42" s="1354"/>
      <c r="Y42" s="3726"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6"/>
      <c r="Q43" s="1351">
        <f t="shared" si="14"/>
        <v>111</v>
      </c>
      <c r="R43" s="705" t="s">
        <v>14</v>
      </c>
      <c r="S43" s="706">
        <f t="shared" si="10"/>
        <v>100</v>
      </c>
      <c r="T43" s="705" t="s">
        <v>14</v>
      </c>
      <c r="U43" s="706">
        <f t="shared" si="11"/>
        <v>100</v>
      </c>
      <c r="V43" s="705" t="s">
        <v>14</v>
      </c>
      <c r="W43" s="706">
        <f t="shared" si="12"/>
        <v>100</v>
      </c>
      <c r="X43" s="1354"/>
      <c r="Y43" s="372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6"/>
      <c r="Q44" s="1351">
        <f t="shared" si="14"/>
        <v>111</v>
      </c>
      <c r="R44" s="705" t="s">
        <v>14</v>
      </c>
      <c r="S44" s="706">
        <f t="shared" si="10"/>
        <v>100</v>
      </c>
      <c r="T44" s="705" t="s">
        <v>14</v>
      </c>
      <c r="U44" s="706">
        <f t="shared" si="11"/>
        <v>100</v>
      </c>
      <c r="V44" s="705" t="s">
        <v>14</v>
      </c>
      <c r="W44" s="706">
        <f t="shared" si="12"/>
        <v>100</v>
      </c>
      <c r="X44" s="1354"/>
      <c r="Y44" s="3726"/>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6"/>
      <c r="Q45" s="1351">
        <f t="shared" si="14"/>
        <v>111</v>
      </c>
      <c r="R45" s="708" t="s">
        <v>14</v>
      </c>
      <c r="S45" s="709">
        <f t="shared" si="10"/>
        <v>100</v>
      </c>
      <c r="T45" s="708" t="s">
        <v>14</v>
      </c>
      <c r="U45" s="709">
        <f t="shared" si="11"/>
        <v>100</v>
      </c>
      <c r="V45" s="708" t="s">
        <v>14</v>
      </c>
      <c r="W45" s="709">
        <f t="shared" si="12"/>
        <v>100</v>
      </c>
      <c r="X45" s="710"/>
      <c r="Y45" s="3726"/>
      <c r="Z45" s="711">
        <f t="shared" si="13"/>
        <v>111</v>
      </c>
      <c r="AA45" s="1352">
        <f t="shared" si="3"/>
        <v>1</v>
      </c>
      <c r="AB45" s="1352">
        <f t="shared" si="4"/>
        <v>1</v>
      </c>
      <c r="AC45" s="1352">
        <f t="shared" si="5"/>
        <v>1</v>
      </c>
    </row>
    <row r="46" spans="1:29" ht="15">
      <c r="A46" s="430" t="s">
        <v>1844</v>
      </c>
      <c r="B46" s="1981" t="s">
        <v>1879</v>
      </c>
      <c r="C46" s="630" t="s">
        <v>0</v>
      </c>
      <c r="D46" s="432"/>
      <c r="E46" s="433">
        <f>土地案例!U2</f>
        <v>10369</v>
      </c>
      <c r="F46" s="434"/>
      <c r="G46" s="435">
        <f>土地案例!U3</f>
        <v>7862</v>
      </c>
      <c r="H46" s="436"/>
      <c r="I46" s="433">
        <f>土地案例!U20</f>
        <v>8624</v>
      </c>
      <c r="J46" s="436"/>
      <c r="K46" s="714"/>
      <c r="L46" s="2723"/>
      <c r="M46" s="2724"/>
      <c r="N46" s="2715"/>
      <c r="O46" s="2724"/>
      <c r="P46" s="3708" t="str">
        <f>A46</f>
        <v>成交单价</v>
      </c>
      <c r="Q46" s="3708"/>
      <c r="R46" s="3721">
        <f>E46</f>
        <v>10369</v>
      </c>
      <c r="S46" s="3721"/>
      <c r="T46" s="3721">
        <f>G46</f>
        <v>7862</v>
      </c>
      <c r="U46" s="3721"/>
      <c r="V46" s="3721">
        <f>I46</f>
        <v>8624</v>
      </c>
      <c r="W46" s="3721"/>
      <c r="X46" s="690"/>
      <c r="Y46" s="712"/>
      <c r="Z46" s="690"/>
      <c r="AA46" s="690"/>
      <c r="AB46" s="690"/>
      <c r="AC46" s="690"/>
    </row>
    <row r="47" spans="1:29" ht="15.75" thickBot="1">
      <c r="A47" s="437" t="s">
        <v>1793</v>
      </c>
      <c r="B47" s="631"/>
      <c r="C47" s="440">
        <f>R48</f>
        <v>8016</v>
      </c>
      <c r="D47" s="2316" t="s">
        <v>2138</v>
      </c>
      <c r="E47" s="440">
        <f>R47</f>
        <v>9370</v>
      </c>
      <c r="F47" s="2317"/>
      <c r="G47" s="439">
        <f>T47</f>
        <v>7608</v>
      </c>
      <c r="H47" s="2317"/>
      <c r="I47" s="440">
        <f>V47</f>
        <v>7069</v>
      </c>
      <c r="J47" s="2317"/>
      <c r="K47" s="2319">
        <f>F47+H47+J47</f>
        <v>0</v>
      </c>
      <c r="L47" s="2723"/>
      <c r="M47" s="2724"/>
      <c r="N47" s="2724"/>
      <c r="O47" s="2724"/>
      <c r="P47" s="3708" t="str">
        <f>A47</f>
        <v>比较价值（元/平方米）</v>
      </c>
      <c r="Q47" s="3708"/>
      <c r="R47" s="3727">
        <f>ROUND(PRODUCT(R46,AA7:AA45),0)</f>
        <v>9370</v>
      </c>
      <c r="S47" s="3727"/>
      <c r="T47" s="3727">
        <f>ROUND(PRODUCT(T46,AB7:AB45),0)</f>
        <v>7608</v>
      </c>
      <c r="U47" s="3727"/>
      <c r="V47" s="3727">
        <f>ROUND(PRODUCT(V46,AC7:AC45),0)</f>
        <v>7069</v>
      </c>
      <c r="W47" s="3727"/>
      <c r="X47" s="690"/>
      <c r="Y47" s="690"/>
      <c r="Z47" s="690"/>
      <c r="AA47" s="690"/>
      <c r="AB47" s="690"/>
      <c r="AC47" s="690"/>
    </row>
    <row r="48" spans="1:29" ht="15.75" thickBot="1">
      <c r="A48" s="441" t="s">
        <v>1880</v>
      </c>
      <c r="B48" s="442"/>
      <c r="C48" s="443">
        <f>R48</f>
        <v>8016</v>
      </c>
      <c r="D48" s="443"/>
      <c r="E48" s="443"/>
      <c r="F48" s="443"/>
      <c r="G48" s="443"/>
      <c r="H48" s="443"/>
      <c r="I48" s="443"/>
      <c r="J48" s="443"/>
      <c r="K48" s="715"/>
      <c r="L48" s="2723"/>
      <c r="M48" s="2724"/>
      <c r="N48" s="2724"/>
      <c r="O48" s="2724"/>
      <c r="P48" s="3728" t="str">
        <f>A48</f>
        <v>估价对象XX用房的比较价值（楼面单价，元/平方米）</v>
      </c>
      <c r="Q48" s="3729"/>
      <c r="R48" s="3730">
        <f>ROUND(IF(D47="简单平均",AVERAGE(R47:W47),R47*F47+T47*H47+V47*J47),0)</f>
        <v>8016</v>
      </c>
      <c r="S48" s="3730"/>
      <c r="T48" s="3730"/>
      <c r="U48" s="3730"/>
      <c r="V48" s="3730"/>
      <c r="W48" s="373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0.10661686232657419</v>
      </c>
      <c r="F51" s="449" t="str">
        <f>IF(OR(E51&gt;=0.3,E51&lt;=-0.3),"超过30%","")</f>
        <v/>
      </c>
      <c r="G51" s="448">
        <f>IF(G46&lt;G47,G47/G46-1,G46/G47-1)</f>
        <v>3.3385909568874883E-2</v>
      </c>
      <c r="H51" s="449" t="str">
        <f>IF(OR(G51&gt;=0.3,G51&lt;=-0.3),"超过30%","")</f>
        <v/>
      </c>
      <c r="I51" s="448">
        <f>IF(I46&lt;I47,I47/I46-1,I46/I47-1)</f>
        <v>0.21997453670957712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0.23159831756046256</v>
      </c>
      <c r="F52" s="449" t="str">
        <f>IF(OR(E52&gt;=0.2,E52&lt;=-0.2),"超过20%","")</f>
        <v>超过20%</v>
      </c>
      <c r="G52" s="448">
        <f>IF(G47&lt;I47,I47/G47-1,G47/I47-1)</f>
        <v>7.6248408544348667E-2</v>
      </c>
      <c r="H52" s="449" t="str">
        <f>IF(OR(G52&gt;=0.2,G52&lt;=-0.2),"超过20%","")</f>
        <v/>
      </c>
      <c r="I52" s="448">
        <f>IF(I47&lt;E47,E47/I47-1,I47/E47-1)</f>
        <v>0.32550572924034515</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0.31887560417196648</v>
      </c>
      <c r="F53" s="449" t="str">
        <f>IF(OR(E53&gt;=0.3,E53&lt;=-0.3),"超过30%","")</f>
        <v>超过30%</v>
      </c>
      <c r="G53" s="448">
        <f>IF(G46&lt;I46,I46/G46-1,G46/I46-1)</f>
        <v>9.6921902823708939E-2</v>
      </c>
      <c r="H53" s="449" t="str">
        <f>IF(OR(G53&gt;=0.3,G53&lt;=-0.3),"超过30%","")</f>
        <v/>
      </c>
      <c r="I53" s="448">
        <f>IF(I46&lt;E46,E46/I46-1,I46/E46-1)</f>
        <v>0.20234230055658631</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9" t="s">
        <v>1887</v>
      </c>
      <c r="H55" s="373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8016</v>
      </c>
      <c r="C56" s="638">
        <v>1</v>
      </c>
      <c r="D56" s="944">
        <v>1</v>
      </c>
      <c r="E56" s="638">
        <f>'数据-汇总表'!E8+'数据-汇总表'!E9</f>
        <v>32206.959999999999</v>
      </c>
      <c r="F56" s="886">
        <f t="shared" ref="F56:F64" si="15">ROUND(B56*E56/10000,0)</f>
        <v>25817</v>
      </c>
      <c r="G56" s="3732"/>
      <c r="H56" s="370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0</v>
      </c>
      <c r="C60" s="171">
        <f t="shared" si="16"/>
        <v>0</v>
      </c>
      <c r="D60" s="945">
        <v>0.25</v>
      </c>
      <c r="E60" s="217">
        <f>'数据-汇总表'!E11</f>
        <v>0</v>
      </c>
      <c r="F60" s="886">
        <f t="shared" si="15"/>
        <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301</v>
      </c>
      <c r="C62" s="171">
        <f t="shared" si="16"/>
        <v>0.15</v>
      </c>
      <c r="D62" s="945">
        <v>0.25</v>
      </c>
      <c r="E62" s="217">
        <f>'数据-汇总表'!E13</f>
        <v>7219.0300000000016</v>
      </c>
      <c r="F62" s="886">
        <f t="shared" si="15"/>
        <v>217</v>
      </c>
      <c r="G62" s="892" t="s">
        <v>3</v>
      </c>
      <c r="H62" s="887" t="str">
        <f>IF(G62="商业",项目基本情况!B37,IF(G62="办公",项目基本情况!C37,IF(G62="住宅",项目基本情况!D37,项目基本情况!E37)))</f>
        <v>七级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0</v>
      </c>
      <c r="C64" s="171">
        <f t="shared" si="16"/>
        <v>0</v>
      </c>
      <c r="D64" s="945">
        <v>0.25</v>
      </c>
      <c r="E64" s="217">
        <f>'数据-汇总表'!E15</f>
        <v>0</v>
      </c>
      <c r="F64" s="886">
        <f t="shared" si="15"/>
        <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39425.99</v>
      </c>
      <c r="F65" s="645">
        <f>IF(B46="楼面地价",SUM(F56:F64),ROUND(C48*E65/10000,0))</f>
        <v>26034</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929">
        <f t="shared" ref="P67" si="19">EDATE(O67,-3)</f>
        <v>44531</v>
      </c>
      <c r="Q67" s="929">
        <f t="shared" ref="Q67" si="20">EDATE(P67,-3)</f>
        <v>44440</v>
      </c>
      <c r="R67" s="929">
        <f t="shared" ref="R67" si="21">EDATE(Q67,-3)</f>
        <v>44348</v>
      </c>
      <c r="S67" s="929">
        <f t="shared" ref="S67" si="22">EDATE(R67,-3)</f>
        <v>44256</v>
      </c>
      <c r="T67" s="929">
        <f t="shared" ref="T67" si="23">EDATE(S67,-3)</f>
        <v>44166</v>
      </c>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28.5">
      <c r="A69" s="1988" t="s">
        <v>1904</v>
      </c>
      <c r="B69" s="1109"/>
      <c r="C69" s="1181" t="str">
        <f>YEAR(C67)&amp;"-"&amp;ROUNDUP(MONTH(C67)/3,0)</f>
        <v>2025-1</v>
      </c>
      <c r="D69" s="1181" t="str">
        <f>YEAR(D67)&amp;"-"&amp;ROUNDUP(MONTH(D67)/3,0)</f>
        <v>2024-4</v>
      </c>
      <c r="E69" s="1181" t="str">
        <f t="shared" ref="E69:T69" si="24">YEAR(E67)&amp;"-"&amp;ROUNDUP(MONTH(E67)/3,0)</f>
        <v>2024-3</v>
      </c>
      <c r="F69" s="1181" t="str">
        <f t="shared" si="24"/>
        <v>2024-2</v>
      </c>
      <c r="G69" s="1181" t="str">
        <f t="shared" si="24"/>
        <v>2024-1</v>
      </c>
      <c r="H69" s="1181" t="str">
        <f t="shared" si="24"/>
        <v>2023-4</v>
      </c>
      <c r="I69" s="1181" t="str">
        <f t="shared" si="24"/>
        <v>2023-3</v>
      </c>
      <c r="J69" s="1181" t="str">
        <f t="shared" si="24"/>
        <v>2023-2</v>
      </c>
      <c r="K69" s="1181" t="str">
        <f t="shared" si="24"/>
        <v>2023-1</v>
      </c>
      <c r="L69" s="1181" t="str">
        <f t="shared" si="24"/>
        <v>2022-4</v>
      </c>
      <c r="M69" s="1181" t="str">
        <f t="shared" si="24"/>
        <v>2022-3</v>
      </c>
      <c r="N69" s="1181" t="str">
        <f t="shared" si="24"/>
        <v>2022-2</v>
      </c>
      <c r="O69" s="1181" t="str">
        <f t="shared" si="24"/>
        <v>2022-1</v>
      </c>
      <c r="P69" s="3474" t="str">
        <f t="shared" si="24"/>
        <v>2021-4</v>
      </c>
      <c r="Q69" s="3474" t="str">
        <f t="shared" si="24"/>
        <v>2021-3</v>
      </c>
      <c r="R69" s="3474" t="str">
        <f t="shared" si="24"/>
        <v>2021-2</v>
      </c>
      <c r="S69" s="3474" t="str">
        <f t="shared" si="24"/>
        <v>2021-1</v>
      </c>
      <c r="T69" s="3474" t="str">
        <f t="shared" si="24"/>
        <v>2020-4</v>
      </c>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v>100</v>
      </c>
      <c r="E70" s="544">
        <v>100</v>
      </c>
      <c r="F70" s="544">
        <v>100</v>
      </c>
      <c r="G70" s="3485">
        <f>'地价-分区'!AF34</f>
        <v>98.38</v>
      </c>
      <c r="H70" s="544">
        <v>100</v>
      </c>
      <c r="I70" s="544">
        <v>100</v>
      </c>
      <c r="J70" s="544">
        <v>100</v>
      </c>
      <c r="K70" s="3485">
        <f>'地价-分区'!AF38</f>
        <v>99.48</v>
      </c>
      <c r="L70" s="544">
        <v>100</v>
      </c>
      <c r="M70" s="544">
        <v>100</v>
      </c>
      <c r="N70" s="544">
        <f>'地价-分区'!AF41</f>
        <v>100.56</v>
      </c>
      <c r="O70" s="544">
        <v>100</v>
      </c>
      <c r="P70" s="544">
        <v>100</v>
      </c>
      <c r="Q70" s="544">
        <v>100</v>
      </c>
      <c r="R70" s="544">
        <v>100</v>
      </c>
      <c r="S70" s="544">
        <v>100</v>
      </c>
      <c r="T70" s="544">
        <v>100</v>
      </c>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69" t="s">
        <v>3458</v>
      </c>
      <c r="D74" s="3469" t="s">
        <v>3459</v>
      </c>
      <c r="E74" s="3469" t="s">
        <v>3461</v>
      </c>
      <c r="F74" s="479" t="s">
        <v>3592</v>
      </c>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120</v>
      </c>
      <c r="E75" s="485">
        <v>100</v>
      </c>
      <c r="F75" s="485">
        <v>110</v>
      </c>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5">D79&amp;"（含）"&amp;"-"&amp;E79</f>
        <v>1（含）-2</v>
      </c>
      <c r="E78" s="496" t="str">
        <f t="shared" si="25"/>
        <v>2（含）-3</v>
      </c>
      <c r="F78" s="496" t="str">
        <f t="shared" si="25"/>
        <v>3（含）-4</v>
      </c>
      <c r="G78" s="496" t="str">
        <f t="shared" si="25"/>
        <v>4（含）-5</v>
      </c>
      <c r="H78" s="496" t="str">
        <f t="shared" si="25"/>
        <v>5（含）-6</v>
      </c>
      <c r="I78" s="496" t="str">
        <f t="shared" si="25"/>
        <v>6（含）-7</v>
      </c>
      <c r="J78" s="496" t="str">
        <f t="shared" si="25"/>
        <v>7（含）-</v>
      </c>
      <c r="K78" s="496" t="str">
        <f t="shared" si="25"/>
        <v>（含）-</v>
      </c>
      <c r="L78" s="496" t="str">
        <f t="shared" si="25"/>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v>6</v>
      </c>
      <c r="J79" s="498">
        <v>7</v>
      </c>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6">IF($B$46="单位面积地价",C80+$K11,C80-$K11)</f>
        <v>98</v>
      </c>
      <c r="E80" s="493">
        <f t="shared" si="26"/>
        <v>96</v>
      </c>
      <c r="F80" s="493">
        <f t="shared" si="26"/>
        <v>94</v>
      </c>
      <c r="G80" s="493">
        <f t="shared" si="26"/>
        <v>92</v>
      </c>
      <c r="H80" s="493">
        <f t="shared" si="26"/>
        <v>90</v>
      </c>
      <c r="I80" s="493">
        <f t="shared" si="26"/>
        <v>88</v>
      </c>
      <c r="J80" s="493">
        <f t="shared" si="26"/>
        <v>86</v>
      </c>
      <c r="K80" s="493">
        <f t="shared" si="26"/>
        <v>84</v>
      </c>
      <c r="L80" s="493">
        <f t="shared" si="26"/>
        <v>82</v>
      </c>
      <c r="M80" s="493">
        <f t="shared" si="26"/>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t="str">
        <f>B13</f>
        <v>是否自持</v>
      </c>
      <c r="C83" s="3470" t="s">
        <v>3462</v>
      </c>
      <c r="D83" s="3470" t="s">
        <v>3583</v>
      </c>
      <c r="E83" s="3470" t="s">
        <v>3463</v>
      </c>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v>95</v>
      </c>
      <c r="D84" s="509">
        <v>95</v>
      </c>
      <c r="E84" s="509">
        <v>100</v>
      </c>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98</v>
      </c>
      <c r="E92" s="493">
        <f>D92-$K19</f>
        <v>96</v>
      </c>
      <c r="F92" s="493">
        <f>E92-$K19</f>
        <v>94</v>
      </c>
      <c r="G92" s="493">
        <f>F92-$K19</f>
        <v>92</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7">C104-$K31</f>
        <v>100</v>
      </c>
      <c r="E104" s="493">
        <f t="shared" si="27"/>
        <v>100</v>
      </c>
      <c r="F104" s="493">
        <f t="shared" si="27"/>
        <v>100</v>
      </c>
      <c r="G104" s="493">
        <f t="shared" si="27"/>
        <v>100</v>
      </c>
      <c r="H104" s="493">
        <f t="shared" si="27"/>
        <v>100</v>
      </c>
      <c r="I104" s="493">
        <f t="shared" si="27"/>
        <v>100</v>
      </c>
      <c r="J104" s="493">
        <f t="shared" si="27"/>
        <v>100</v>
      </c>
      <c r="K104" s="493">
        <f t="shared" si="27"/>
        <v>100</v>
      </c>
      <c r="L104" s="493">
        <f t="shared" si="27"/>
        <v>100</v>
      </c>
      <c r="M104" s="493">
        <f t="shared" si="27"/>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70" t="s">
        <v>3464</v>
      </c>
      <c r="D105" s="3470" t="s">
        <v>3465</v>
      </c>
      <c r="E105" s="3470" t="s">
        <v>3466</v>
      </c>
      <c r="F105" s="3470" t="s">
        <v>3467</v>
      </c>
      <c r="G105" s="3470" t="s">
        <v>3468</v>
      </c>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8">C106-$K32</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9">C108-$K34</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0(含)-30000</v>
      </c>
      <c r="D115" s="478" t="str">
        <f t="shared" ref="D115:M115" si="30">D116&amp;"(含)"&amp;"-"&amp;E116</f>
        <v>30000(含)-60000</v>
      </c>
      <c r="E115" s="478" t="str">
        <f t="shared" si="30"/>
        <v>60000(含)-100000</v>
      </c>
      <c r="F115" s="478" t="str">
        <f t="shared" si="30"/>
        <v>100000(含)-150000</v>
      </c>
      <c r="G115" s="478" t="str">
        <f t="shared" si="30"/>
        <v>150000(含)-200000</v>
      </c>
      <c r="H115" s="478" t="str">
        <f t="shared" si="30"/>
        <v>200000(含)-</v>
      </c>
      <c r="I115" s="478" t="str">
        <f t="shared" si="30"/>
        <v>(含)-</v>
      </c>
      <c r="J115" s="478" t="str">
        <f t="shared" si="30"/>
        <v>(含)-</v>
      </c>
      <c r="K115" s="478" t="str">
        <f t="shared" si="30"/>
        <v>(含)-</v>
      </c>
      <c r="L115" s="478" t="str">
        <f t="shared" si="30"/>
        <v>(含)-</v>
      </c>
      <c r="M115" s="478" t="str">
        <f t="shared" si="30"/>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30000</v>
      </c>
      <c r="E116" s="544">
        <v>60000</v>
      </c>
      <c r="F116" s="544">
        <v>100000</v>
      </c>
      <c r="G116" s="544">
        <v>150000</v>
      </c>
      <c r="H116" s="544">
        <v>200000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100</v>
      </c>
      <c r="E117" s="540">
        <v>98</v>
      </c>
      <c r="F117" s="540">
        <v>96</v>
      </c>
      <c r="G117" s="540">
        <v>94</v>
      </c>
      <c r="H117" s="540">
        <v>92</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31">C119-$K39</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4">
        <f t="shared" si="31"/>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32">C121-$K40</f>
        <v>100</v>
      </c>
      <c r="E121" s="493">
        <f t="shared" si="32"/>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3469</v>
      </c>
      <c r="D122" s="503" t="s">
        <v>3470</v>
      </c>
      <c r="E122" s="503" t="s">
        <v>3471</v>
      </c>
      <c r="F122" s="503" t="s">
        <v>3472</v>
      </c>
      <c r="G122" s="503" t="s">
        <v>3473</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3">C123-$K41</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4">C125-$K42</f>
        <v>100</v>
      </c>
      <c r="E125" s="493">
        <f t="shared" si="34"/>
        <v>100</v>
      </c>
      <c r="F125" s="493">
        <f t="shared" si="34"/>
        <v>100</v>
      </c>
      <c r="G125" s="493">
        <f t="shared" si="34"/>
        <v>100</v>
      </c>
      <c r="H125" s="493">
        <f t="shared" si="34"/>
        <v>100</v>
      </c>
      <c r="I125" s="493">
        <f t="shared" si="34"/>
        <v>100</v>
      </c>
      <c r="J125" s="493">
        <f t="shared" si="34"/>
        <v>100</v>
      </c>
      <c r="K125" s="493">
        <f t="shared" si="34"/>
        <v>100</v>
      </c>
      <c r="L125" s="493">
        <f t="shared" si="34"/>
        <v>100</v>
      </c>
      <c r="M125" s="494">
        <f t="shared" si="34"/>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view="pageBreakPreview" zoomScale="70" zoomScaleNormal="70" zoomScaleSheetLayoutView="70" workbookViewId="0">
      <selection activeCell="C36" sqref="C36: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30.89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53048</v>
      </c>
      <c r="C2" s="1386" t="s">
        <v>805</v>
      </c>
      <c r="D2" s="1386"/>
      <c r="E2" s="1387"/>
      <c r="F2" s="1388"/>
      <c r="G2" s="2705"/>
      <c r="H2" s="2694"/>
      <c r="I2" s="2694"/>
      <c r="J2" s="2694"/>
      <c r="K2" s="2695"/>
      <c r="L2" s="2694"/>
      <c r="M2" s="2694"/>
    </row>
    <row r="3" spans="1:37" ht="18" customHeight="1" thickBot="1">
      <c r="A3" s="1389" t="s">
        <v>806</v>
      </c>
      <c r="B3" s="1390">
        <f ca="1">IF(ISERROR(B2*10000/F43),0,ROUND(B2*10000/F43,0))</f>
        <v>13455</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3501</v>
      </c>
      <c r="D5" s="1363" t="s">
        <v>693</v>
      </c>
      <c r="E5" s="1071"/>
      <c r="F5" s="1072"/>
      <c r="G5" s="1383"/>
      <c r="H5" s="299">
        <v>1</v>
      </c>
      <c r="I5" s="300" t="s">
        <v>692</v>
      </c>
      <c r="J5" s="1070">
        <f ca="1">J6+J10+J12</f>
        <v>0</v>
      </c>
      <c r="K5" s="1363" t="s">
        <v>693</v>
      </c>
      <c r="L5" s="1071"/>
      <c r="M5" s="1072"/>
    </row>
    <row r="6" spans="1:37" ht="18" customHeight="1">
      <c r="A6" s="1069" t="s">
        <v>398</v>
      </c>
      <c r="B6" s="3733" t="s">
        <v>694</v>
      </c>
      <c r="C6" s="1074">
        <f ca="1">ROUND(F6*F8*F7*(1-F9)/10000,0)</f>
        <v>3497</v>
      </c>
      <c r="D6" s="155" t="s">
        <v>2109</v>
      </c>
      <c r="E6" s="302" t="s">
        <v>696</v>
      </c>
      <c r="F6" s="303">
        <f ca="1">INDIRECT("'数据-取费表'!u"&amp;$G$1)</f>
        <v>2.7</v>
      </c>
      <c r="G6" s="1383"/>
      <c r="H6" s="1069" t="s">
        <v>398</v>
      </c>
      <c r="I6" s="3733" t="s">
        <v>694</v>
      </c>
      <c r="J6" s="301">
        <f ca="1">ROUND(M6*M8*M7*(1-M9)/10000,0)</f>
        <v>0</v>
      </c>
      <c r="K6" s="155" t="s">
        <v>2108</v>
      </c>
      <c r="L6" s="302" t="s">
        <v>696</v>
      </c>
      <c r="M6" s="303">
        <f ca="1">INDIRECT("'数据-取费表'!z"&amp;$G$1)</f>
        <v>0</v>
      </c>
    </row>
    <row r="7" spans="1:37" ht="18" customHeight="1">
      <c r="A7" s="1073"/>
      <c r="B7" s="3734"/>
      <c r="C7" s="1075"/>
      <c r="D7" s="307"/>
      <c r="E7" s="3460" t="s">
        <v>697</v>
      </c>
      <c r="F7" s="303">
        <f ca="1">IF(INDIRECT("'数据-取费表'!ah"&amp;$G$1)="",INDIRECT("'数据-取费表'!k"&amp;$G$1),INDIRECT("'数据-取费表'!ah"&amp;$G$1))</f>
        <v>39425.99</v>
      </c>
      <c r="G7" s="1383"/>
      <c r="H7" s="304"/>
      <c r="I7" s="3734"/>
      <c r="J7" s="306"/>
      <c r="K7" s="307"/>
      <c r="L7" s="302" t="s">
        <v>697</v>
      </c>
      <c r="M7" s="303">
        <f ca="1">F7</f>
        <v>39425.99</v>
      </c>
    </row>
    <row r="8" spans="1:37" ht="18" customHeight="1">
      <c r="A8" s="304"/>
      <c r="B8" s="3734"/>
      <c r="C8" s="306"/>
      <c r="D8" s="307"/>
      <c r="E8" s="302" t="s">
        <v>698</v>
      </c>
      <c r="F8" s="303">
        <f ca="1">INDIRECT("'数据-取费表'!ai"&amp;$G$1)</f>
        <v>365</v>
      </c>
      <c r="G8" s="1383"/>
      <c r="H8" s="304"/>
      <c r="I8" s="3734"/>
      <c r="J8" s="306"/>
      <c r="K8" s="307"/>
      <c r="L8" s="302" t="s">
        <v>698</v>
      </c>
      <c r="M8" s="303">
        <f ca="1">INDIRECT("'数据-取费表'!ai"&amp;$G$1)</f>
        <v>365</v>
      </c>
    </row>
    <row r="9" spans="1:37" ht="18" customHeight="1">
      <c r="A9" s="304"/>
      <c r="B9" s="3735"/>
      <c r="C9" s="306"/>
      <c r="D9" s="307"/>
      <c r="E9" s="302" t="s">
        <v>699</v>
      </c>
      <c r="F9" s="312">
        <f ca="1">INDIRECT("'数据-取费表'!w"&amp;$G$1)</f>
        <v>0.1</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4</v>
      </c>
      <c r="D10" s="1365" t="s">
        <v>2116</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27538</v>
      </c>
      <c r="D13" s="3457" t="s">
        <v>705</v>
      </c>
      <c r="E13" s="3457" t="s">
        <v>706</v>
      </c>
      <c r="F13" s="1082">
        <f ca="1">INDIRECT("'数据-取费表'!y"&amp;$G$1)</f>
        <v>0.87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21442</v>
      </c>
      <c r="D14" s="3463" t="s">
        <v>708</v>
      </c>
      <c r="E14" s="3462"/>
      <c r="F14" s="319"/>
      <c r="G14" s="1383"/>
      <c r="H14" s="982" t="s">
        <v>398</v>
      </c>
      <c r="I14" s="302" t="s">
        <v>709</v>
      </c>
      <c r="J14" s="21">
        <f ca="1">C29</f>
        <v>31653</v>
      </c>
      <c r="K14" s="3459"/>
      <c r="L14" s="807"/>
      <c r="M14" s="808"/>
    </row>
    <row r="15" spans="1:37" s="1396" customFormat="1" ht="18" customHeight="1" thickBot="1">
      <c r="A15" s="982" t="s">
        <v>399</v>
      </c>
      <c r="B15" s="302" t="s">
        <v>710</v>
      </c>
      <c r="C15" s="21">
        <f ca="1">ROUND(C14*F15,0)</f>
        <v>1072</v>
      </c>
      <c r="D15" s="3458" t="s">
        <v>711</v>
      </c>
      <c r="E15" s="3458"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64</v>
      </c>
      <c r="K16" s="1087" t="s">
        <v>715</v>
      </c>
      <c r="L16" s="3465"/>
      <c r="M16" s="1072"/>
    </row>
    <row r="17" spans="1:37" s="1396" customFormat="1" ht="18" customHeight="1">
      <c r="A17" s="982" t="s">
        <v>681</v>
      </c>
      <c r="B17" s="302" t="s">
        <v>716</v>
      </c>
      <c r="C17" s="21">
        <f ca="1">ROUND(F17*(F43+INDIRECT("'数据-取费表'!S"&amp;$G$1))/10000,0)</f>
        <v>794</v>
      </c>
      <c r="D17" s="302" t="s">
        <v>717</v>
      </c>
      <c r="E17" s="302" t="s">
        <v>718</v>
      </c>
      <c r="F17" s="23">
        <f>'数据-取费表'!B35</f>
        <v>200</v>
      </c>
      <c r="G17" s="1395"/>
      <c r="H17" s="982" t="s">
        <v>398</v>
      </c>
      <c r="I17" s="302" t="s">
        <v>719</v>
      </c>
      <c r="J17" s="2315">
        <f ca="1">ROUND(IF(AND(项目基本情况!B11="自然人",项目基本情况!B10="北京市"),J6*M17/(1+'数据-取费表'!C42),J18+J19+J20),2)</f>
        <v>0.94</v>
      </c>
      <c r="K17" s="3463" t="s">
        <v>720</v>
      </c>
      <c r="L17" s="346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429</v>
      </c>
      <c r="D18" s="302" t="s">
        <v>711</v>
      </c>
      <c r="E18" s="302" t="s">
        <v>712</v>
      </c>
      <c r="F18" s="322">
        <f>'数据-取费表'!B36</f>
        <v>0.02</v>
      </c>
      <c r="G18" s="1395"/>
      <c r="H18" s="982" t="s">
        <v>397</v>
      </c>
      <c r="I18" s="302" t="s">
        <v>723</v>
      </c>
      <c r="J18" s="21">
        <f ca="1">ROUND(J6*M18/(1+'数据-取费表'!C42),2)</f>
        <v>0</v>
      </c>
      <c r="K18" s="3464"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23737</v>
      </c>
      <c r="D19" s="131" t="s">
        <v>726</v>
      </c>
      <c r="E19" s="3467"/>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712</v>
      </c>
      <c r="D20" s="2427" t="s">
        <v>729</v>
      </c>
      <c r="E20" s="302" t="s">
        <v>712</v>
      </c>
      <c r="F20" s="322">
        <f>'数据-取费表'!B37</f>
        <v>0.03</v>
      </c>
      <c r="G20" s="1395"/>
      <c r="H20" s="982" t="s">
        <v>680</v>
      </c>
      <c r="I20" s="155" t="s">
        <v>730</v>
      </c>
      <c r="J20" s="22">
        <f ca="1">ROUND(M20*M21/10000,2)</f>
        <v>0.94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0.03</v>
      </c>
      <c r="G21" s="1395"/>
      <c r="H21" s="326"/>
      <c r="I21" s="311"/>
      <c r="J21" s="26"/>
      <c r="K21" s="327"/>
      <c r="L21" s="302" t="s">
        <v>736</v>
      </c>
      <c r="M21" s="303">
        <f ca="1">INDIRECT("'数据-取费表'!r"&amp;$G$1)</f>
        <v>6294.36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7"/>
      <c r="F22" s="23"/>
      <c r="G22" s="1383"/>
      <c r="H22" s="982" t="s">
        <v>402</v>
      </c>
      <c r="I22" s="302" t="s">
        <v>738</v>
      </c>
      <c r="J22" s="21">
        <f ca="1">ROUND(J14*M22,2)</f>
        <v>63.31</v>
      </c>
      <c r="K22" s="3464"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758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64"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683</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7"/>
      <c r="F25" s="23"/>
      <c r="G25" s="1383"/>
      <c r="H25" s="1079" t="s">
        <v>394</v>
      </c>
      <c r="I25" s="1094" t="s">
        <v>752</v>
      </c>
      <c r="J25" s="310">
        <f ca="1">J5-J16</f>
        <v>-64</v>
      </c>
      <c r="K25" s="1095" t="s">
        <v>753</v>
      </c>
      <c r="L25" s="1096"/>
      <c r="M25" s="1097"/>
    </row>
    <row r="26" spans="1:37">
      <c r="A26" s="982" t="s">
        <v>397</v>
      </c>
      <c r="B26" s="302" t="s">
        <v>754</v>
      </c>
      <c r="C26" s="21">
        <f ca="1">ROUND((C19+C20)*F26,0)</f>
        <v>3667</v>
      </c>
      <c r="D26" s="2427"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2427" t="s">
        <v>761</v>
      </c>
      <c r="E27" s="345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31653</v>
      </c>
      <c r="D29" s="1092"/>
      <c r="E29" s="1090"/>
      <c r="F29" s="1093"/>
      <c r="G29" s="1395"/>
      <c r="H29" s="334" t="s">
        <v>396</v>
      </c>
      <c r="I29" s="335" t="s">
        <v>768</v>
      </c>
      <c r="J29" s="336">
        <f ca="1">ROUND(J26/(1+F40)^F41,0)</f>
        <v>0</v>
      </c>
      <c r="K29" s="337" t="s">
        <v>769</v>
      </c>
      <c r="L29" s="338"/>
      <c r="M29" s="339">
        <f ca="1">INDIRECT("'数据-取费表'!k"&amp;$G$1)</f>
        <v>39425.99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706</v>
      </c>
      <c r="D30" s="1087" t="s">
        <v>715</v>
      </c>
      <c r="E30" s="3465"/>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583.78</v>
      </c>
      <c r="D31" s="3463" t="s">
        <v>720</v>
      </c>
      <c r="E31" s="3464"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183.18</v>
      </c>
      <c r="D32" s="3464"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399.66</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0.94</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6294.36</v>
      </c>
      <c r="G35" s="1383"/>
      <c r="H35" s="2696"/>
      <c r="I35" s="1397"/>
      <c r="J35" s="1398"/>
      <c r="K35" s="2700"/>
      <c r="L35" s="2699"/>
      <c r="M35" s="2699"/>
    </row>
    <row r="36" spans="1:18" ht="18" customHeight="1">
      <c r="A36" s="1102" t="s">
        <v>402</v>
      </c>
      <c r="B36" s="302" t="s">
        <v>738</v>
      </c>
      <c r="C36" s="21">
        <f ca="1">ROUND(C29*F36,2)</f>
        <v>63.31</v>
      </c>
      <c r="D36" s="3464"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41.31</v>
      </c>
      <c r="D37" s="3464" t="s">
        <v>743</v>
      </c>
      <c r="E37" s="302" t="s">
        <v>744</v>
      </c>
      <c r="F37" s="330">
        <f ca="1">INDIRECT("'数据-取费表'!Al"&amp;$G$1)</f>
        <v>1.5E-3</v>
      </c>
      <c r="G37" s="1383"/>
      <c r="H37" s="2699"/>
      <c r="I37" s="1397"/>
      <c r="J37" s="1398"/>
      <c r="K37" s="2543"/>
      <c r="L37" s="2699"/>
      <c r="M37" s="2699"/>
    </row>
    <row r="38" spans="1:18" ht="18" customHeight="1" thickBot="1">
      <c r="A38" s="1089" t="s">
        <v>683</v>
      </c>
      <c r="B38" s="1090" t="s">
        <v>728</v>
      </c>
      <c r="C38" s="1091">
        <f ca="1">ROUND(C5*F38,2)</f>
        <v>17.510000000000002</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2795</v>
      </c>
      <c r="D39" s="1095" t="s">
        <v>773</v>
      </c>
      <c r="E39" s="1096"/>
      <c r="F39" s="1097"/>
      <c r="G39" s="1383"/>
      <c r="H39" s="2699">
        <f ca="1">C39/C6</f>
        <v>0.7992565055762082</v>
      </c>
      <c r="I39" s="1397"/>
      <c r="J39" s="1398"/>
      <c r="K39" s="2703"/>
      <c r="L39" s="2699"/>
      <c r="M39" s="2699"/>
    </row>
    <row r="40" spans="1:18" ht="18" customHeight="1">
      <c r="A40" s="299" t="s">
        <v>395</v>
      </c>
      <c r="B40" s="300" t="s">
        <v>774</v>
      </c>
      <c r="C40" s="301">
        <f ca="1">ROUND(C39*(1-((1+F42)/(1+F40))^F41)/(F40-F42),0)</f>
        <v>51692</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30.89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13111</v>
      </c>
      <c r="D43" s="337" t="s">
        <v>777</v>
      </c>
      <c r="E43" s="338" t="s">
        <v>778</v>
      </c>
      <c r="F43" s="339">
        <f ca="1">INDIRECT("'数据-取费表'!k"&amp;$G$1)</f>
        <v>39425.99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-53251</v>
      </c>
      <c r="D46" s="1405" t="str">
        <f>C2</f>
        <v>万元</v>
      </c>
      <c r="E46" s="1399"/>
      <c r="F46" s="1399"/>
      <c r="I46" s="1406" t="s">
        <v>810</v>
      </c>
      <c r="J46" s="1407"/>
      <c r="K46" s="1408"/>
      <c r="L46" s="1409">
        <f ca="1">IF(M47="住宅",0,IF(L48&gt;J51,L60,J60))</f>
        <v>1356</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50</v>
      </c>
      <c r="M47" s="1379" t="str">
        <f>IF(ISNUMBER(FIND("住宅",C1)),"住宅","非住宅")</f>
        <v>非住宅</v>
      </c>
      <c r="O47" s="1417" t="s">
        <v>403</v>
      </c>
      <c r="P47" s="1418" t="s">
        <v>817</v>
      </c>
      <c r="Q47" s="1419">
        <f ca="1">C40+J29</f>
        <v>51692</v>
      </c>
      <c r="R47" s="1419" t="s">
        <v>818</v>
      </c>
    </row>
    <row r="48" spans="1:18" s="1383" customFormat="1" ht="28.5" thickBot="1">
      <c r="A48" s="1110" t="s">
        <v>438</v>
      </c>
      <c r="B48" s="300" t="s">
        <v>692</v>
      </c>
      <c r="C48" s="3466">
        <f ca="1">C49+C53+C55</f>
        <v>0</v>
      </c>
      <c r="D48" s="1112"/>
      <c r="E48" s="1113"/>
      <c r="F48" s="962"/>
      <c r="G48" s="722"/>
      <c r="H48" s="723"/>
      <c r="I48" s="1420" t="s">
        <v>819</v>
      </c>
      <c r="J48" s="1421" t="s">
        <v>3444</v>
      </c>
      <c r="K48" s="1422" t="s">
        <v>820</v>
      </c>
      <c r="L48" s="1423">
        <f ca="1">INDIRECT("'数据-取费表'!f"&amp;$G$1)</f>
        <v>30.89</v>
      </c>
      <c r="O48" s="1417" t="s">
        <v>404</v>
      </c>
      <c r="P48" s="1418" t="s">
        <v>821</v>
      </c>
      <c r="Q48" s="1419">
        <f ca="1">J60</f>
        <v>1356</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'数据-取费表'!O17</f>
        <v>2017</v>
      </c>
      <c r="K49" s="1422" t="s">
        <v>824</v>
      </c>
      <c r="L49" s="1426"/>
      <c r="O49" s="1427" t="s">
        <v>405</v>
      </c>
      <c r="P49" s="1418" t="s">
        <v>825</v>
      </c>
      <c r="Q49" s="1419">
        <f ca="1">C29</f>
        <v>31653</v>
      </c>
      <c r="R49" s="1419" t="s">
        <v>818</v>
      </c>
    </row>
    <row r="50" spans="1:18" s="1383" customFormat="1" ht="13.5" thickBot="1">
      <c r="A50" s="976"/>
      <c r="B50" s="979"/>
      <c r="C50" s="1118"/>
      <c r="D50" s="953"/>
      <c r="E50" s="1056" t="s">
        <v>697</v>
      </c>
      <c r="F50" s="1057">
        <f ca="1">F7</f>
        <v>39425.99</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52</v>
      </c>
      <c r="K51" s="1433" t="s">
        <v>830</v>
      </c>
      <c r="L51" s="1434">
        <f ca="1">ROUND(-PV(INDIRECT("'数据-取费表'!h"&amp;$G$1),J51,(C39-C13*C76),0),0)</f>
        <v>15975</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30.89</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30.89</v>
      </c>
      <c r="K53" s="3736" t="s">
        <v>837</v>
      </c>
      <c r="L53" s="3737"/>
      <c r="O53" s="1417" t="s">
        <v>409</v>
      </c>
      <c r="P53" s="1418" t="s">
        <v>838</v>
      </c>
      <c r="Q53" s="1419">
        <f ca="1">Q47+Q48</f>
        <v>53048</v>
      </c>
      <c r="R53" s="1419" t="s">
        <v>410</v>
      </c>
    </row>
    <row r="54" spans="1:18" s="1383" customFormat="1" ht="13.5" thickBot="1">
      <c r="A54" s="1153"/>
      <c r="B54" s="1366" t="s">
        <v>679</v>
      </c>
      <c r="C54" s="959"/>
      <c r="D54" s="1365"/>
      <c r="E54" s="346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61"/>
      <c r="F55" s="1439"/>
      <c r="I55" s="1442" t="s">
        <v>840</v>
      </c>
      <c r="J55" s="1443">
        <f ca="1">ROUND(IF(J47="钢混",J57/J50,1-(1-2%)*(J50-J57)/J50),3)</f>
        <v>0.35199999999999998</v>
      </c>
      <c r="K55" s="1444" t="s">
        <v>841</v>
      </c>
      <c r="L55" s="1445"/>
      <c r="O55" s="1410" t="s">
        <v>811</v>
      </c>
      <c r="P55" s="1411" t="s">
        <v>812</v>
      </c>
      <c r="Q55" s="1412" t="s">
        <v>813</v>
      </c>
      <c r="R55" s="1412" t="s">
        <v>814</v>
      </c>
    </row>
    <row r="56" spans="1:18" s="1383" customFormat="1" ht="25.5" thickTop="1" thickBot="1">
      <c r="A56" s="957">
        <v>2</v>
      </c>
      <c r="B56" s="958" t="s">
        <v>704</v>
      </c>
      <c r="C56" s="232">
        <f ca="1">C13</f>
        <v>27538</v>
      </c>
      <c r="D56" s="1446"/>
      <c r="E56" s="1447"/>
      <c r="F56" s="1439"/>
      <c r="I56" s="1448" t="s">
        <v>842</v>
      </c>
      <c r="J56" s="1449" t="s">
        <v>3445</v>
      </c>
      <c r="K56" s="1420" t="s">
        <v>843</v>
      </c>
      <c r="L56" s="1423" t="str">
        <f ca="1">IF(L48&lt;J51,"——",L48-J53)</f>
        <v>——</v>
      </c>
      <c r="O56" s="1417" t="s">
        <v>403</v>
      </c>
      <c r="P56" s="1418" t="s">
        <v>817</v>
      </c>
      <c r="Q56" s="1419">
        <f ca="1">C40+J29</f>
        <v>51692</v>
      </c>
      <c r="R56" s="1419" t="s">
        <v>818</v>
      </c>
    </row>
    <row r="57" spans="1:18" s="1383" customFormat="1" ht="24.75" thickBot="1">
      <c r="A57" s="1450"/>
      <c r="B57" s="950" t="s">
        <v>767</v>
      </c>
      <c r="C57" s="238">
        <f ca="1">C29</f>
        <v>31653</v>
      </c>
      <c r="D57" s="1451"/>
      <c r="E57" s="1452"/>
      <c r="F57" s="1453"/>
      <c r="I57" s="1454" t="s">
        <v>844</v>
      </c>
      <c r="J57" s="1455">
        <f ca="1">IF(OR(M47="住宅",J51&lt;L48,J56="是"),"——",J51-L48)</f>
        <v>21.11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106</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12661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1356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0.94</v>
      </c>
      <c r="D62" s="965" t="s">
        <v>731</v>
      </c>
      <c r="E62" s="950" t="s">
        <v>787</v>
      </c>
      <c r="F62" s="325">
        <f t="shared" si="0"/>
        <v>1.5</v>
      </c>
      <c r="I62" s="1461" t="s">
        <v>858</v>
      </c>
      <c r="J62" s="1462" t="s">
        <v>859</v>
      </c>
      <c r="K62" s="1462" t="s">
        <v>860</v>
      </c>
      <c r="L62" s="1462" t="s">
        <v>861</v>
      </c>
      <c r="M62" s="1463" t="s">
        <v>862</v>
      </c>
      <c r="O62" s="1417" t="s">
        <v>409</v>
      </c>
      <c r="P62" s="1418" t="s">
        <v>863</v>
      </c>
      <c r="Q62" s="1419">
        <f ca="1">Q56+Q57</f>
        <v>51692</v>
      </c>
      <c r="R62" s="1419" t="s">
        <v>410</v>
      </c>
    </row>
    <row r="63" spans="1:18" s="1383" customFormat="1" ht="13.5" thickBot="1">
      <c r="A63" s="326"/>
      <c r="B63" s="956"/>
      <c r="C63" s="26"/>
      <c r="D63" s="966"/>
      <c r="E63" s="950" t="s">
        <v>788</v>
      </c>
      <c r="F63" s="303">
        <f t="shared" ca="1" si="0"/>
        <v>6294.36</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63.31</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41.31</v>
      </c>
      <c r="D65" s="964" t="s">
        <v>743</v>
      </c>
      <c r="E65" s="950" t="s">
        <v>744</v>
      </c>
      <c r="F65" s="330">
        <f t="shared" ca="1" si="0"/>
        <v>1.5E-3</v>
      </c>
      <c r="I65" s="1461" t="s">
        <v>867</v>
      </c>
      <c r="J65" s="1462">
        <v>40</v>
      </c>
      <c r="K65" s="1462">
        <v>30</v>
      </c>
      <c r="L65" s="1462">
        <v>50</v>
      </c>
      <c r="M65" s="1464">
        <v>0.02</v>
      </c>
      <c r="O65" s="1417" t="s">
        <v>403</v>
      </c>
      <c r="P65" s="1418" t="s">
        <v>868</v>
      </c>
      <c r="Q65" s="1419">
        <f ca="1">C40+J29</f>
        <v>51692</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-106</v>
      </c>
      <c r="D67" s="963" t="s">
        <v>753</v>
      </c>
      <c r="E67" s="968"/>
      <c r="F67" s="969"/>
      <c r="O67" s="1427" t="s">
        <v>405</v>
      </c>
      <c r="P67" s="1418" t="s">
        <v>850</v>
      </c>
      <c r="Q67" s="1465">
        <f ca="1">L51</f>
        <v>15975</v>
      </c>
      <c r="R67" s="1419" t="s">
        <v>870</v>
      </c>
    </row>
    <row r="68" spans="1:18" s="1383" customFormat="1" ht="16.5" thickBot="1">
      <c r="A68" s="947" t="s">
        <v>395</v>
      </c>
      <c r="B68" s="948" t="s">
        <v>774</v>
      </c>
      <c r="C68" s="301">
        <f ca="1">ROUND(C67*(1-((1+F70)/(1+F68))^F69)/(F68-F70),0)</f>
        <v>-1559</v>
      </c>
      <c r="D68" s="965" t="s">
        <v>758</v>
      </c>
      <c r="E68" s="950" t="s">
        <v>759</v>
      </c>
      <c r="F68" s="312">
        <f ca="1">F40</f>
        <v>5.5E-2</v>
      </c>
      <c r="O68" s="1427" t="s">
        <v>406</v>
      </c>
      <c r="P68" s="1466" t="s">
        <v>871</v>
      </c>
      <c r="Q68" s="1419">
        <f ca="1">ROUND(Q69-Q70*Q71,0)</f>
        <v>867</v>
      </c>
      <c r="R68" s="1419" t="s">
        <v>414</v>
      </c>
    </row>
    <row r="69" spans="1:18" s="1383" customFormat="1" ht="13.5" thickBot="1">
      <c r="A69" s="951"/>
      <c r="B69" s="952"/>
      <c r="C69" s="306"/>
      <c r="D69" s="970" t="s">
        <v>762</v>
      </c>
      <c r="E69" s="950" t="s">
        <v>763</v>
      </c>
      <c r="F69" s="333">
        <f ca="1">F41</f>
        <v>30.89</v>
      </c>
      <c r="O69" s="1427" t="s">
        <v>411</v>
      </c>
      <c r="P69" s="1466" t="s">
        <v>872</v>
      </c>
      <c r="Q69" s="1419">
        <f ca="1">C39</f>
        <v>2795</v>
      </c>
      <c r="R69" s="1419" t="s">
        <v>818</v>
      </c>
    </row>
    <row r="70" spans="1:18" s="1383" customFormat="1" ht="13.5" thickBot="1">
      <c r="A70" s="954"/>
      <c r="B70" s="955"/>
      <c r="C70" s="310"/>
      <c r="D70" s="966"/>
      <c r="E70" s="950" t="s">
        <v>766</v>
      </c>
      <c r="F70" s="1054"/>
      <c r="O70" s="1427" t="s">
        <v>412</v>
      </c>
      <c r="P70" s="1466" t="s">
        <v>873</v>
      </c>
      <c r="Q70" s="1419">
        <f ca="1">C13</f>
        <v>27538</v>
      </c>
      <c r="R70" s="1419" t="s">
        <v>818</v>
      </c>
    </row>
    <row r="71" spans="1:18" s="1383" customFormat="1" ht="13.5" thickBot="1">
      <c r="A71" s="971" t="s">
        <v>396</v>
      </c>
      <c r="B71" s="972" t="s">
        <v>776</v>
      </c>
      <c r="C71" s="336">
        <f ca="1">ROUND(C68*10000/F71,0)</f>
        <v>-395</v>
      </c>
      <c r="D71" s="973" t="s">
        <v>777</v>
      </c>
      <c r="E71" s="974" t="s">
        <v>778</v>
      </c>
      <c r="F71" s="339">
        <f ca="1">F43</f>
        <v>39425.99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1928</v>
      </c>
      <c r="D75" s="1383"/>
      <c r="E75" s="1383"/>
      <c r="F75" s="1383"/>
      <c r="K75" s="1401"/>
      <c r="L75" s="1383"/>
      <c r="O75" s="1417" t="s">
        <v>409</v>
      </c>
      <c r="P75" s="1418" t="s">
        <v>838</v>
      </c>
      <c r="Q75" s="1419">
        <f ca="1">Q65+Q66</f>
        <v>51692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0.31000000000000005</v>
      </c>
    </row>
    <row r="80" spans="1:18">
      <c r="B80" s="340" t="s">
        <v>800</v>
      </c>
      <c r="C80" s="274">
        <f ca="1">ROUND(C75/C39,3)</f>
        <v>0.69</v>
      </c>
    </row>
    <row r="81" spans="2:3">
      <c r="B81" s="270" t="s">
        <v>801</v>
      </c>
      <c r="C81" s="238"/>
    </row>
    <row r="82" spans="2:3">
      <c r="B82" s="273" t="s">
        <v>802</v>
      </c>
      <c r="C82" s="275">
        <f ca="1">1-C83</f>
        <v>0.46699999999999997</v>
      </c>
    </row>
    <row r="83" spans="2:3">
      <c r="B83" s="273" t="s">
        <v>803</v>
      </c>
      <c r="C83" s="274">
        <f ca="1">ROUND(C13/C40,3)</f>
        <v>0.53300000000000003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3333</v>
      </c>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733" t="s">
        <v>694</v>
      </c>
      <c r="C6" s="1074">
        <f ca="1">ROUND(F6*F8*F7*(1-F9)/10000,0)</f>
        <v>0</v>
      </c>
      <c r="D6" s="155" t="s">
        <v>2109</v>
      </c>
      <c r="E6" s="302" t="s">
        <v>696</v>
      </c>
      <c r="F6" s="303">
        <f ca="1">INDIRECT("'数据-取费表'!u"&amp;$G$1)</f>
        <v>0</v>
      </c>
      <c r="G6" s="1383"/>
      <c r="H6" s="1069" t="s">
        <v>398</v>
      </c>
      <c r="I6" s="3733" t="s">
        <v>694</v>
      </c>
      <c r="J6" s="301">
        <f ca="1">ROUND(M6*M8*M7*(1-M9)/10000,0)</f>
        <v>0</v>
      </c>
      <c r="K6" s="155" t="s">
        <v>2108</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0</v>
      </c>
      <c r="G7" s="1383"/>
      <c r="H7" s="304"/>
      <c r="I7" s="3734"/>
      <c r="J7" s="306"/>
      <c r="K7" s="307"/>
      <c r="L7" s="302" t="s">
        <v>697</v>
      </c>
      <c r="M7" s="303">
        <f ca="1">F7</f>
        <v>0</v>
      </c>
    </row>
    <row r="8" spans="1:37" ht="18" customHeight="1">
      <c r="A8" s="304"/>
      <c r="B8" s="3734"/>
      <c r="C8" s="306"/>
      <c r="D8" s="307"/>
      <c r="E8" s="302" t="s">
        <v>698</v>
      </c>
      <c r="F8" s="303">
        <f ca="1">INDIRECT("'数据-取费表'!ai"&amp;$G$1)</f>
        <v>0</v>
      </c>
      <c r="G8" s="1383"/>
      <c r="H8" s="304"/>
      <c r="I8" s="3734"/>
      <c r="J8" s="306"/>
      <c r="K8" s="307"/>
      <c r="L8" s="302" t="s">
        <v>698</v>
      </c>
      <c r="M8" s="303">
        <f ca="1">INDIRECT("'数据-取费表'!ai"&amp;$G$1)</f>
        <v>0</v>
      </c>
    </row>
    <row r="9" spans="1:37" ht="18" customHeight="1">
      <c r="A9" s="304"/>
      <c r="B9" s="3735"/>
      <c r="C9" s="306"/>
      <c r="D9" s="307"/>
      <c r="E9" s="302" t="s">
        <v>699</v>
      </c>
      <c r="F9" s="312">
        <f ca="1">INDIRECT("'数据-取费表'!w"&amp;$G$1)</f>
        <v>0</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t="s">
        <v>3444</v>
      </c>
      <c r="K48" s="1422" t="s">
        <v>820</v>
      </c>
      <c r="L48" s="1423">
        <f ca="1">INDIRECT("'数据-取费表'!f"&amp;$G$1)</f>
        <v>0</v>
      </c>
      <c r="O48" s="1417" t="s">
        <v>404</v>
      </c>
      <c r="P48" s="1418" t="s">
        <v>821</v>
      </c>
      <c r="Q48" s="1419">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'数据-取费表'!O17</f>
        <v>2017</v>
      </c>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60</v>
      </c>
      <c r="K50" s="1422" t="s">
        <v>827</v>
      </c>
      <c r="L50" s="1426"/>
      <c r="M50" s="1429"/>
      <c r="O50" s="1427" t="s">
        <v>406</v>
      </c>
      <c r="P50" s="1418" t="s">
        <v>828</v>
      </c>
      <c r="Q50" s="1430">
        <f ca="1">J58</f>
        <v>0.86699999999999999</v>
      </c>
      <c r="R50" s="1419"/>
    </row>
    <row r="51" spans="1:18" s="1383" customFormat="1" ht="13.5" thickBot="1">
      <c r="A51" s="977"/>
      <c r="B51" s="979"/>
      <c r="C51" s="980"/>
      <c r="D51" s="953"/>
      <c r="E51" s="981" t="s">
        <v>698</v>
      </c>
      <c r="F51" s="303">
        <f ca="1">F8</f>
        <v>0</v>
      </c>
      <c r="I51" s="1431" t="s">
        <v>829</v>
      </c>
      <c r="J51" s="1432">
        <f>IF(J49="",J50,J49+J50-YEAR('数据-取费表'!B2))</f>
        <v>52</v>
      </c>
      <c r="K51" s="1433" t="s">
        <v>830</v>
      </c>
      <c r="L51" s="1434">
        <f ca="1">ROUND(-PV(INDIRECT("'数据-取费表'!h"&amp;$G$1),J51,(C39-C13*C76),0),0)</f>
        <v>0</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736" t="s">
        <v>837</v>
      </c>
      <c r="L53" s="3737"/>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0.86699999999999999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t="s">
        <v>3445</v>
      </c>
      <c r="K56" s="1420" t="s">
        <v>843</v>
      </c>
      <c r="L56" s="1423" t="str">
        <f ca="1">IF(L48&lt;J51,"——",L48-J53)</f>
        <v>——</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52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0</v>
      </c>
      <c r="D58" s="960" t="s">
        <v>715</v>
      </c>
      <c r="E58" s="961"/>
      <c r="F58" s="962"/>
      <c r="I58" s="1454" t="s">
        <v>848</v>
      </c>
      <c r="J58" s="1456">
        <f ca="1">IF(J55&lt;0.4,0.4,J55)</f>
        <v>0.86699999999999999</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f ca="1">L60</f>
        <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33" t="s">
        <v>694</v>
      </c>
      <c r="C6" s="1074">
        <f ca="1">ROUND(F6*F8*F7*(1-F9),0)</f>
        <v>0</v>
      </c>
      <c r="D6" s="155" t="s">
        <v>2106</v>
      </c>
      <c r="E6" s="302" t="s">
        <v>696</v>
      </c>
      <c r="F6" s="303">
        <f ca="1">INDIRECT("'数据-取费表'!u"&amp;$G$1)</f>
        <v>0</v>
      </c>
      <c r="G6" s="1383"/>
      <c r="H6" s="1069" t="s">
        <v>398</v>
      </c>
      <c r="I6" s="3733" t="s">
        <v>694</v>
      </c>
      <c r="J6" s="301">
        <f ca="1">ROUND(M6*M8*M7*(1-M9),0)</f>
        <v>0</v>
      </c>
      <c r="K6" s="1375" t="s">
        <v>2107</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0</v>
      </c>
      <c r="G7" s="1383"/>
      <c r="H7" s="304"/>
      <c r="I7" s="3734"/>
      <c r="J7" s="306"/>
      <c r="K7" s="307"/>
      <c r="L7" s="302" t="s">
        <v>697</v>
      </c>
      <c r="M7" s="303">
        <f ca="1">F7</f>
        <v>0</v>
      </c>
    </row>
    <row r="8" spans="1:37" ht="18" customHeight="1">
      <c r="A8" s="304"/>
      <c r="B8" s="3734"/>
      <c r="C8" s="306"/>
      <c r="D8" s="307"/>
      <c r="E8" s="302" t="s">
        <v>698</v>
      </c>
      <c r="F8" s="303">
        <f ca="1">INDIRECT("'数据-取费表'!ai"&amp;$G$1)</f>
        <v>0</v>
      </c>
      <c r="G8" s="1383"/>
      <c r="H8" s="304"/>
      <c r="I8" s="3734"/>
      <c r="J8" s="306"/>
      <c r="K8" s="307"/>
      <c r="L8" s="302" t="s">
        <v>698</v>
      </c>
      <c r="M8" s="303">
        <f ca="1">INDIRECT("'数据-取费表'!ai"&amp;$G$1)</f>
        <v>0</v>
      </c>
    </row>
    <row r="9" spans="1:37" ht="18" customHeight="1">
      <c r="A9" s="304"/>
      <c r="B9" s="3735"/>
      <c r="C9" s="306"/>
      <c r="D9" s="307"/>
      <c r="E9" s="302" t="s">
        <v>699</v>
      </c>
      <c r="F9" s="312">
        <f ca="1">INDIRECT("'数据-取费表'!w"&amp;$G$1)</f>
        <v>0</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36" t="s">
        <v>837</v>
      </c>
      <c r="L53" s="3737"/>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38" t="s">
        <v>2317</v>
      </c>
      <c r="K2" s="3739"/>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40" t="s">
        <v>2327</v>
      </c>
      <c r="K3" s="3741"/>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40" t="s">
        <v>2329</v>
      </c>
      <c r="K4" s="3741"/>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42" t="s">
        <v>2333</v>
      </c>
      <c r="B6" s="3743"/>
      <c r="C6" s="3744"/>
      <c r="D6" s="2869"/>
      <c r="E6" s="2870"/>
      <c r="F6" s="2871"/>
      <c r="G6" s="2872"/>
      <c r="H6" s="2847"/>
      <c r="I6" s="2848"/>
      <c r="J6" s="3745">
        <v>1</v>
      </c>
      <c r="K6" s="3746"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45"/>
      <c r="K7" s="3747"/>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49" t="s">
        <v>2347</v>
      </c>
      <c r="C8" s="3750"/>
      <c r="D8" s="2888" t="s">
        <v>2348</v>
      </c>
      <c r="E8" s="2889" t="s">
        <v>2349</v>
      </c>
      <c r="F8" s="2890" t="s">
        <v>2350</v>
      </c>
      <c r="G8" s="2891"/>
      <c r="H8" s="2847"/>
      <c r="I8" s="2848"/>
      <c r="J8" s="3745"/>
      <c r="K8" s="3747"/>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49" t="s">
        <v>2353</v>
      </c>
      <c r="C9" s="3750"/>
      <c r="D9" s="2888">
        <f>ROUND(D6*E9,0)</f>
        <v>0</v>
      </c>
      <c r="E9" s="2892"/>
      <c r="F9" s="2893" t="s">
        <v>2354</v>
      </c>
      <c r="G9" s="2872"/>
      <c r="H9" s="2847"/>
      <c r="I9" s="2848"/>
      <c r="J9" s="3745"/>
      <c r="K9" s="3747"/>
      <c r="L9" s="2882" t="s">
        <v>2355</v>
      </c>
      <c r="M9" s="2883"/>
      <c r="N9" s="2859"/>
      <c r="O9" s="2884"/>
      <c r="P9" s="2884"/>
      <c r="Q9" s="2885">
        <v>365</v>
      </c>
      <c r="R9" s="2886">
        <f t="shared" si="0"/>
        <v>0</v>
      </c>
      <c r="S9" s="2840"/>
      <c r="T9" s="2840"/>
      <c r="U9" s="2840"/>
      <c r="V9" s="2848"/>
    </row>
    <row r="10" spans="1:22" s="2852" customFormat="1" ht="13.15" customHeight="1">
      <c r="A10" s="2887">
        <v>2</v>
      </c>
      <c r="B10" s="3749" t="s">
        <v>2356</v>
      </c>
      <c r="C10" s="3750"/>
      <c r="D10" s="2888">
        <f>ROUND(D6*E10,0)</f>
        <v>0</v>
      </c>
      <c r="E10" s="2892"/>
      <c r="F10" s="2893" t="s">
        <v>2357</v>
      </c>
      <c r="G10" s="2872"/>
      <c r="H10" s="2847"/>
      <c r="I10" s="2848"/>
      <c r="J10" s="3745"/>
      <c r="K10" s="3747"/>
      <c r="L10" s="2882" t="s">
        <v>2358</v>
      </c>
      <c r="M10" s="2883"/>
      <c r="N10" s="2859"/>
      <c r="O10" s="2884"/>
      <c r="P10" s="2884"/>
      <c r="Q10" s="2885">
        <v>365</v>
      </c>
      <c r="R10" s="2886">
        <f t="shared" si="0"/>
        <v>0</v>
      </c>
      <c r="S10" s="2840"/>
      <c r="T10" s="2840"/>
      <c r="U10" s="2840"/>
      <c r="V10" s="2848"/>
    </row>
    <row r="11" spans="1:22" s="2852" customFormat="1" ht="13.15" customHeight="1">
      <c r="A11" s="2887">
        <v>3</v>
      </c>
      <c r="B11" s="3749" t="s">
        <v>2359</v>
      </c>
      <c r="C11" s="3750"/>
      <c r="D11" s="2888">
        <f>D12+D14+D15+D16</f>
        <v>0</v>
      </c>
      <c r="E11" s="2894" t="e">
        <f>D11/D6</f>
        <v>#DIV/0!</v>
      </c>
      <c r="F11" s="2890"/>
      <c r="G11" s="2891"/>
      <c r="H11" s="2847"/>
      <c r="I11" s="2848"/>
      <c r="J11" s="3745"/>
      <c r="K11" s="3747"/>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51" t="s">
        <v>2362</v>
      </c>
      <c r="C12" s="3752"/>
      <c r="D12" s="2896">
        <f>ROUND(D13*1.2%*(1-30%),0)</f>
        <v>0</v>
      </c>
      <c r="E12" s="2897">
        <v>1.2E-2</v>
      </c>
      <c r="F12" s="2890" t="s">
        <v>2363</v>
      </c>
      <c r="G12" s="2891"/>
      <c r="H12" s="2847"/>
      <c r="I12" s="2848"/>
      <c r="J12" s="3745"/>
      <c r="K12" s="3747"/>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45"/>
      <c r="K13" s="3747"/>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51" t="s">
        <v>2368</v>
      </c>
      <c r="C14" s="3752"/>
      <c r="D14" s="2896">
        <f>ROUND(E14*B5/10000,0)</f>
        <v>0</v>
      </c>
      <c r="E14" s="2885"/>
      <c r="F14" s="2890" t="s">
        <v>2369</v>
      </c>
      <c r="G14" s="2891"/>
      <c r="H14" s="2847"/>
      <c r="I14" s="2848"/>
      <c r="J14" s="3745"/>
      <c r="K14" s="3748"/>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51" t="s">
        <v>2372</v>
      </c>
      <c r="C15" s="3752"/>
      <c r="D15" s="2896">
        <f>ROUND(D6*E15,0)</f>
        <v>0</v>
      </c>
      <c r="E15" s="2897">
        <v>5.5E-2</v>
      </c>
      <c r="F15" s="2890" t="s">
        <v>2373</v>
      </c>
      <c r="G15" s="2872"/>
      <c r="H15" s="2847"/>
      <c r="I15" s="2848"/>
      <c r="J15" s="3745">
        <v>2</v>
      </c>
      <c r="K15" s="3746"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51" t="s">
        <v>2381</v>
      </c>
      <c r="C16" s="3752"/>
      <c r="D16" s="2907">
        <f>D6*E16</f>
        <v>0</v>
      </c>
      <c r="E16" s="2908"/>
      <c r="F16" s="2893" t="s">
        <v>2382</v>
      </c>
      <c r="G16" s="2872"/>
      <c r="H16" s="2847"/>
      <c r="I16" s="2848"/>
      <c r="J16" s="3745"/>
      <c r="K16" s="3747"/>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53" t="s">
        <v>2384</v>
      </c>
      <c r="C17" s="3754"/>
      <c r="D17" s="2910">
        <f>ROUND(D6*E17,0)</f>
        <v>0</v>
      </c>
      <c r="E17" s="2911"/>
      <c r="F17" s="2912" t="s">
        <v>2385</v>
      </c>
      <c r="G17" s="2872"/>
      <c r="H17" s="2847"/>
      <c r="I17" s="2848"/>
      <c r="J17" s="3745"/>
      <c r="K17" s="3747"/>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45"/>
      <c r="K18" s="3747"/>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45"/>
      <c r="K19" s="3748"/>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5">
        <v>3</v>
      </c>
      <c r="K20" s="3746"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45"/>
      <c r="K21" s="3747"/>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45"/>
      <c r="K22" s="3747"/>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45"/>
      <c r="K23" s="3747"/>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45"/>
      <c r="K24" s="3748"/>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55">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5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38" t="s">
        <v>2317</v>
      </c>
      <c r="K32" s="3739"/>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40" t="s">
        <v>2327</v>
      </c>
      <c r="K33" s="3741"/>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40" t="s">
        <v>2329</v>
      </c>
      <c r="K34" s="374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45">
        <v>1</v>
      </c>
      <c r="K36" s="3746"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45"/>
      <c r="K37" s="3747"/>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5"/>
      <c r="K38" s="3747"/>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45"/>
      <c r="K39" s="3747"/>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45"/>
      <c r="K40" s="3748"/>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5">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5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I41" sqref="I41"/>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53048</v>
      </c>
      <c r="C2" s="1871" t="s">
        <v>1651</v>
      </c>
      <c r="D2" s="1872" t="s">
        <v>1652</v>
      </c>
      <c r="E2" s="2606">
        <f>SUM(E6:E13)</f>
        <v>39707.96</v>
      </c>
      <c r="F2" s="2706"/>
      <c r="G2" s="1488"/>
      <c r="H2" s="1488"/>
      <c r="I2" s="1488"/>
      <c r="J2" s="1488"/>
      <c r="K2" s="1488"/>
      <c r="L2" s="1488"/>
      <c r="M2" s="1488"/>
      <c r="N2" s="1488"/>
      <c r="O2" s="1488"/>
      <c r="P2" s="1488"/>
      <c r="Q2" s="1488"/>
      <c r="R2" s="1488"/>
      <c r="S2" s="1488"/>
    </row>
    <row r="3" spans="1:22" ht="15.75">
      <c r="A3" s="1869" t="s">
        <v>686</v>
      </c>
      <c r="B3" s="2600">
        <f ca="1">ROUND(B2*10000/E2,0)</f>
        <v>13360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7" t="s">
        <v>1654</v>
      </c>
      <c r="C5" s="375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53048</v>
      </c>
      <c r="C6" s="1871" t="s">
        <v>1651</v>
      </c>
      <c r="D6" s="2708"/>
      <c r="E6" s="2605">
        <f>IF(OR(A6=0,F6="否"),0,'数据-取费表'!K6+'数据-取费表'!S6)</f>
        <v>39707.96</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估价对象为北京市房地产,属开发建设的，该项目尚在开发建设中。根据《国有土地使用证》[]，估价对象（分摊）出让国有建设用地使用权面积为6294.36平方米，规划建筑面积为39707.96平方米。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2025年3月25日（评估专业人员实地查勘之日）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39707.96</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9" t="s">
        <v>1667</v>
      </c>
      <c r="D4" s="3710"/>
      <c r="E4" s="3711" t="s">
        <v>1668</v>
      </c>
      <c r="F4" s="3712"/>
      <c r="G4" s="3709" t="s">
        <v>1669</v>
      </c>
      <c r="H4" s="3710"/>
      <c r="I4" s="3709" t="s">
        <v>1670</v>
      </c>
      <c r="J4" s="3710"/>
      <c r="K4" s="1888" t="s">
        <v>1671</v>
      </c>
      <c r="L4" s="2714"/>
      <c r="M4" s="2715"/>
      <c r="N4" s="2715"/>
      <c r="O4" s="2715"/>
      <c r="P4" s="3713" t="s">
        <v>1672</v>
      </c>
      <c r="Q4" s="3714"/>
      <c r="R4" s="3696" t="s">
        <v>1668</v>
      </c>
      <c r="S4" s="3697"/>
      <c r="T4" s="3696" t="s">
        <v>1669</v>
      </c>
      <c r="U4" s="3697"/>
      <c r="V4" s="3721" t="s">
        <v>1670</v>
      </c>
      <c r="W4" s="3721"/>
      <c r="X4" s="1354"/>
      <c r="Y4" s="3696" t="s">
        <v>1672</v>
      </c>
      <c r="Z4" s="3697"/>
      <c r="AA4" s="3691" t="s">
        <v>1668</v>
      </c>
      <c r="AB4" s="3691" t="s">
        <v>1669</v>
      </c>
      <c r="AC4" s="3691" t="s">
        <v>1670</v>
      </c>
    </row>
    <row r="5" spans="1:29" ht="15">
      <c r="A5" s="358"/>
      <c r="B5" s="359"/>
      <c r="C5" s="3702" t="s">
        <v>1673</v>
      </c>
      <c r="D5" s="3703"/>
      <c r="E5" s="3700" t="s">
        <v>1674</v>
      </c>
      <c r="F5" s="3701"/>
      <c r="G5" s="3702" t="s">
        <v>1675</v>
      </c>
      <c r="H5" s="3703"/>
      <c r="I5" s="3702" t="s">
        <v>1676</v>
      </c>
      <c r="J5" s="3703"/>
      <c r="K5" s="1889"/>
      <c r="L5" s="2714"/>
      <c r="M5" s="2715"/>
      <c r="N5" s="2715"/>
      <c r="O5" s="2715"/>
      <c r="P5" s="3715"/>
      <c r="Q5" s="3716"/>
      <c r="R5" s="3698"/>
      <c r="S5" s="3699"/>
      <c r="T5" s="3698"/>
      <c r="U5" s="3699"/>
      <c r="V5" s="3721"/>
      <c r="W5" s="3721"/>
      <c r="X5" s="1354"/>
      <c r="Y5" s="3698"/>
      <c r="Z5" s="3699"/>
      <c r="AA5" s="3692"/>
      <c r="AB5" s="3692"/>
      <c r="AC5" s="3692"/>
    </row>
    <row r="6" spans="1:29" ht="15.75" thickBot="1">
      <c r="A6" s="360"/>
      <c r="B6" s="361"/>
      <c r="C6" s="3704" t="s">
        <v>1677</v>
      </c>
      <c r="D6" s="3705"/>
      <c r="E6" s="3706" t="s">
        <v>1677</v>
      </c>
      <c r="F6" s="3707"/>
      <c r="G6" s="3704" t="s">
        <v>1677</v>
      </c>
      <c r="H6" s="3705"/>
      <c r="I6" s="3704" t="s">
        <v>1677</v>
      </c>
      <c r="J6" s="3705"/>
      <c r="K6" s="1889" t="s">
        <v>1678</v>
      </c>
      <c r="L6" s="2714"/>
      <c r="M6" s="2715"/>
      <c r="N6" s="2715"/>
      <c r="O6" s="2715"/>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45741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4" t="s">
        <v>1680</v>
      </c>
      <c r="Q7" s="3722"/>
      <c r="R7" s="701" t="s">
        <v>20</v>
      </c>
      <c r="S7" s="702">
        <f t="shared" ref="S7:S15" si="0">F7</f>
        <v>0</v>
      </c>
      <c r="T7" s="701" t="s">
        <v>20</v>
      </c>
      <c r="U7" s="702">
        <f t="shared" ref="U7:U15" si="1">H7</f>
        <v>0</v>
      </c>
      <c r="V7" s="701" t="s">
        <v>20</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4" t="s">
        <v>1683</v>
      </c>
      <c r="Q8" s="3695"/>
      <c r="R8" s="701" t="s">
        <v>20</v>
      </c>
      <c r="S8" s="702">
        <f t="shared" si="0"/>
        <v>100</v>
      </c>
      <c r="T8" s="701" t="s">
        <v>20</v>
      </c>
      <c r="U8" s="702">
        <f t="shared" si="1"/>
        <v>100</v>
      </c>
      <c r="V8" s="701" t="s">
        <v>20</v>
      </c>
      <c r="W8" s="702">
        <f t="shared" si="2"/>
        <v>100</v>
      </c>
      <c r="X8" s="703"/>
      <c r="Y8" s="3694" t="s">
        <v>1683</v>
      </c>
      <c r="Z8" s="369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32"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32"/>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32"/>
      <c r="Q11" s="1342" t="str">
        <f t="shared" si="6"/>
        <v>容积率</v>
      </c>
      <c r="R11" s="701" t="s">
        <v>18</v>
      </c>
      <c r="S11" s="702" t="e">
        <f t="shared" si="0"/>
        <v>#N/A</v>
      </c>
      <c r="T11" s="701" t="s">
        <v>18</v>
      </c>
      <c r="U11" s="702" t="e">
        <f t="shared" si="1"/>
        <v>#N/A</v>
      </c>
      <c r="V11" s="701" t="s">
        <v>18</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32"/>
      <c r="Q12" s="1342">
        <f t="shared" si="6"/>
        <v>111</v>
      </c>
      <c r="R12" s="701" t="s">
        <v>18</v>
      </c>
      <c r="S12" s="702">
        <f t="shared" si="0"/>
        <v>100</v>
      </c>
      <c r="T12" s="701" t="s">
        <v>18</v>
      </c>
      <c r="U12" s="702">
        <f t="shared" si="1"/>
        <v>100</v>
      </c>
      <c r="V12" s="701" t="s">
        <v>18</v>
      </c>
      <c r="W12" s="702">
        <f t="shared" si="2"/>
        <v>100</v>
      </c>
      <c r="X12" s="703"/>
      <c r="Y12" s="366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32"/>
      <c r="Q13" s="1342">
        <f t="shared" si="6"/>
        <v>111</v>
      </c>
      <c r="R13" s="701" t="s">
        <v>18</v>
      </c>
      <c r="S13" s="702">
        <f t="shared" si="0"/>
        <v>100</v>
      </c>
      <c r="T13" s="701" t="s">
        <v>18</v>
      </c>
      <c r="U13" s="702">
        <f t="shared" si="1"/>
        <v>100</v>
      </c>
      <c r="V13" s="701" t="s">
        <v>18</v>
      </c>
      <c r="W13" s="702">
        <f t="shared" si="2"/>
        <v>100</v>
      </c>
      <c r="X13" s="703"/>
      <c r="Y13" s="3660"/>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32"/>
      <c r="Q14" s="1342">
        <f t="shared" si="6"/>
        <v>111</v>
      </c>
      <c r="R14" s="701" t="s">
        <v>18</v>
      </c>
      <c r="S14" s="702">
        <f t="shared" si="0"/>
        <v>100</v>
      </c>
      <c r="T14" s="701" t="s">
        <v>18</v>
      </c>
      <c r="U14" s="702">
        <f t="shared" si="1"/>
        <v>100</v>
      </c>
      <c r="V14" s="701" t="s">
        <v>18</v>
      </c>
      <c r="W14" s="702">
        <f t="shared" si="2"/>
        <v>100</v>
      </c>
      <c r="X14" s="703"/>
      <c r="Y14" s="3660"/>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65" t="s">
        <v>1691</v>
      </c>
      <c r="Q15" s="1351" t="str">
        <f t="shared" si="6"/>
        <v>居住社区成熟度</v>
      </c>
      <c r="R15" s="705" t="s">
        <v>18</v>
      </c>
      <c r="S15" s="706">
        <f t="shared" si="0"/>
        <v>100</v>
      </c>
      <c r="T15" s="705" t="s">
        <v>18</v>
      </c>
      <c r="U15" s="706">
        <f t="shared" si="1"/>
        <v>100</v>
      </c>
      <c r="V15" s="705" t="s">
        <v>18</v>
      </c>
      <c r="W15" s="706">
        <f t="shared" si="2"/>
        <v>100</v>
      </c>
      <c r="X15" s="1354"/>
      <c r="Y15" s="372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66"/>
      <c r="Q16" s="1351"/>
      <c r="R16" s="705"/>
      <c r="S16" s="706"/>
      <c r="T16" s="705"/>
      <c r="U16" s="706"/>
      <c r="V16" s="705"/>
      <c r="W16" s="706"/>
      <c r="X16" s="1354"/>
      <c r="Y16" s="372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66"/>
      <c r="Q17" s="1351" t="str">
        <f>B17</f>
        <v>交通便捷度</v>
      </c>
      <c r="R17" s="705" t="s">
        <v>18</v>
      </c>
      <c r="S17" s="706">
        <f>F17</f>
        <v>100</v>
      </c>
      <c r="T17" s="705" t="s">
        <v>18</v>
      </c>
      <c r="U17" s="706">
        <f>H17</f>
        <v>100</v>
      </c>
      <c r="V17" s="705" t="s">
        <v>18</v>
      </c>
      <c r="W17" s="706">
        <f>J17</f>
        <v>100</v>
      </c>
      <c r="X17" s="1354"/>
      <c r="Y17" s="372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66"/>
      <c r="Q18" s="1351"/>
      <c r="R18" s="705"/>
      <c r="S18" s="706"/>
      <c r="T18" s="705"/>
      <c r="U18" s="706"/>
      <c r="V18" s="705"/>
      <c r="W18" s="706"/>
      <c r="X18" s="1354"/>
      <c r="Y18" s="372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66"/>
      <c r="Q19" s="1351" t="str">
        <f>B19</f>
        <v>公共配套设施</v>
      </c>
      <c r="R19" s="705" t="s">
        <v>18</v>
      </c>
      <c r="S19" s="706">
        <f>F19</f>
        <v>100</v>
      </c>
      <c r="T19" s="705" t="s">
        <v>18</v>
      </c>
      <c r="U19" s="706">
        <f>H19</f>
        <v>100</v>
      </c>
      <c r="V19" s="705" t="s">
        <v>18</v>
      </c>
      <c r="W19" s="706">
        <f>J19</f>
        <v>100</v>
      </c>
      <c r="X19" s="1354"/>
      <c r="Y19" s="372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66"/>
      <c r="Q20" s="1351"/>
      <c r="R20" s="705"/>
      <c r="S20" s="706"/>
      <c r="T20" s="705"/>
      <c r="U20" s="706"/>
      <c r="V20" s="705"/>
      <c r="W20" s="706"/>
      <c r="X20" s="1354"/>
      <c r="Y20" s="3724"/>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66"/>
      <c r="Q21" s="1351" t="str">
        <f>B21</f>
        <v>基础设施水平</v>
      </c>
      <c r="R21" s="705" t="s">
        <v>14</v>
      </c>
      <c r="S21" s="706">
        <f>F21</f>
        <v>100</v>
      </c>
      <c r="T21" s="705" t="s">
        <v>14</v>
      </c>
      <c r="U21" s="706">
        <f>H21</f>
        <v>100</v>
      </c>
      <c r="V21" s="705" t="s">
        <v>14</v>
      </c>
      <c r="W21" s="706">
        <f>J21</f>
        <v>100</v>
      </c>
      <c r="X21" s="1354"/>
      <c r="Y21" s="372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66"/>
      <c r="Q22" s="1351"/>
      <c r="R22" s="705"/>
      <c r="S22" s="706"/>
      <c r="T22" s="705"/>
      <c r="U22" s="706"/>
      <c r="V22" s="705"/>
      <c r="W22" s="706"/>
      <c r="X22" s="1354"/>
      <c r="Y22" s="372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66"/>
      <c r="Q23" s="1351" t="str">
        <f>B23</f>
        <v>自然及人文环境</v>
      </c>
      <c r="R23" s="705" t="s">
        <v>18</v>
      </c>
      <c r="S23" s="706">
        <f>F23</f>
        <v>100</v>
      </c>
      <c r="T23" s="705" t="s">
        <v>18</v>
      </c>
      <c r="U23" s="706">
        <f>H23</f>
        <v>100</v>
      </c>
      <c r="V23" s="705" t="s">
        <v>18</v>
      </c>
      <c r="W23" s="706">
        <f>J23</f>
        <v>100</v>
      </c>
      <c r="X23" s="1354"/>
      <c r="Y23" s="372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66"/>
      <c r="Q24" s="1351"/>
      <c r="R24" s="705"/>
      <c r="S24" s="706"/>
      <c r="T24" s="705"/>
      <c r="U24" s="706"/>
      <c r="V24" s="705"/>
      <c r="W24" s="706"/>
      <c r="X24" s="1354"/>
      <c r="Y24" s="372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6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66"/>
      <c r="Q26" s="1351" t="str">
        <f t="shared" si="11"/>
        <v>朝向</v>
      </c>
      <c r="R26" s="705" t="s">
        <v>18</v>
      </c>
      <c r="S26" s="706">
        <f t="shared" si="12"/>
        <v>100</v>
      </c>
      <c r="T26" s="705" t="s">
        <v>18</v>
      </c>
      <c r="U26" s="706">
        <f t="shared" si="13"/>
        <v>100</v>
      </c>
      <c r="V26" s="705" t="s">
        <v>18</v>
      </c>
      <c r="W26" s="706">
        <f t="shared" si="14"/>
        <v>100</v>
      </c>
      <c r="X26" s="1354"/>
      <c r="Y26" s="3724"/>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66"/>
      <c r="Q27" s="1342">
        <f t="shared" si="11"/>
        <v>111</v>
      </c>
      <c r="R27" s="701" t="s">
        <v>18</v>
      </c>
      <c r="S27" s="702">
        <f t="shared" si="12"/>
        <v>100</v>
      </c>
      <c r="T27" s="701" t="s">
        <v>18</v>
      </c>
      <c r="U27" s="702">
        <f t="shared" si="13"/>
        <v>100</v>
      </c>
      <c r="V27" s="701" t="s">
        <v>18</v>
      </c>
      <c r="W27" s="702">
        <f t="shared" si="14"/>
        <v>100</v>
      </c>
      <c r="X27" s="703"/>
      <c r="Y27" s="3724"/>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66"/>
      <c r="Q28" s="1351">
        <f t="shared" si="11"/>
        <v>111</v>
      </c>
      <c r="R28" s="705" t="s">
        <v>18</v>
      </c>
      <c r="S28" s="706">
        <f t="shared" si="12"/>
        <v>100</v>
      </c>
      <c r="T28" s="705" t="s">
        <v>18</v>
      </c>
      <c r="U28" s="706">
        <f t="shared" si="13"/>
        <v>100</v>
      </c>
      <c r="V28" s="705" t="s">
        <v>18</v>
      </c>
      <c r="W28" s="706">
        <f t="shared" si="14"/>
        <v>100</v>
      </c>
      <c r="X28" s="1354"/>
      <c r="Y28" s="3724"/>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66"/>
      <c r="Q29" s="1351">
        <f t="shared" si="11"/>
        <v>111</v>
      </c>
      <c r="R29" s="705" t="s">
        <v>18</v>
      </c>
      <c r="S29" s="706">
        <f t="shared" si="12"/>
        <v>100</v>
      </c>
      <c r="T29" s="705" t="s">
        <v>18</v>
      </c>
      <c r="U29" s="706">
        <f t="shared" si="13"/>
        <v>100</v>
      </c>
      <c r="V29" s="705" t="s">
        <v>18</v>
      </c>
      <c r="W29" s="706">
        <f t="shared" si="14"/>
        <v>100</v>
      </c>
      <c r="X29" s="1354"/>
      <c r="Y29" s="3724"/>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66"/>
      <c r="Q30" s="1351">
        <f t="shared" si="11"/>
        <v>111</v>
      </c>
      <c r="R30" s="705" t="s">
        <v>18</v>
      </c>
      <c r="S30" s="706">
        <f t="shared" si="12"/>
        <v>100</v>
      </c>
      <c r="T30" s="705" t="s">
        <v>18</v>
      </c>
      <c r="U30" s="706">
        <f t="shared" si="13"/>
        <v>100</v>
      </c>
      <c r="V30" s="705" t="s">
        <v>18</v>
      </c>
      <c r="W30" s="706">
        <f t="shared" si="14"/>
        <v>100</v>
      </c>
      <c r="X30" s="1354"/>
      <c r="Y30" s="3724"/>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66"/>
      <c r="Q31" s="1351">
        <f t="shared" si="11"/>
        <v>111</v>
      </c>
      <c r="R31" s="705" t="s">
        <v>18</v>
      </c>
      <c r="S31" s="706">
        <f t="shared" si="12"/>
        <v>100</v>
      </c>
      <c r="T31" s="705" t="s">
        <v>18</v>
      </c>
      <c r="U31" s="706">
        <f t="shared" si="13"/>
        <v>100</v>
      </c>
      <c r="V31" s="705" t="s">
        <v>18</v>
      </c>
      <c r="W31" s="706">
        <f t="shared" si="14"/>
        <v>100</v>
      </c>
      <c r="X31" s="1354"/>
      <c r="Y31" s="372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61" t="s">
        <v>1696</v>
      </c>
      <c r="Q32" s="1351" t="str">
        <f t="shared" si="11"/>
        <v>建筑类型</v>
      </c>
      <c r="R32" s="705" t="s">
        <v>18</v>
      </c>
      <c r="S32" s="706">
        <f t="shared" si="12"/>
        <v>100</v>
      </c>
      <c r="T32" s="705" t="s">
        <v>18</v>
      </c>
      <c r="U32" s="706">
        <f t="shared" si="13"/>
        <v>100</v>
      </c>
      <c r="V32" s="705" t="s">
        <v>18</v>
      </c>
      <c r="W32" s="706">
        <f t="shared" si="14"/>
        <v>100</v>
      </c>
      <c r="X32" s="1354"/>
      <c r="Y32" s="372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62"/>
      <c r="Q33" s="707" t="str">
        <f t="shared" si="11"/>
        <v>项目建筑规模</v>
      </c>
      <c r="R33" s="708" t="s">
        <v>18</v>
      </c>
      <c r="S33" s="709" t="e">
        <f t="shared" si="12"/>
        <v>#N/A</v>
      </c>
      <c r="T33" s="708" t="s">
        <v>18</v>
      </c>
      <c r="U33" s="709" t="e">
        <f t="shared" si="13"/>
        <v>#N/A</v>
      </c>
      <c r="V33" s="708" t="s">
        <v>18</v>
      </c>
      <c r="W33" s="709" t="e">
        <f t="shared" si="14"/>
        <v>#N/A</v>
      </c>
      <c r="X33" s="710"/>
      <c r="Y33" s="3726"/>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62"/>
      <c r="Q34" s="1351" t="str">
        <f t="shared" si="11"/>
        <v>建筑结构</v>
      </c>
      <c r="R34" s="705" t="s">
        <v>18</v>
      </c>
      <c r="S34" s="706">
        <f t="shared" si="12"/>
        <v>100</v>
      </c>
      <c r="T34" s="705" t="s">
        <v>18</v>
      </c>
      <c r="U34" s="706">
        <f t="shared" si="13"/>
        <v>100</v>
      </c>
      <c r="V34" s="705" t="s">
        <v>18</v>
      </c>
      <c r="W34" s="706">
        <f t="shared" si="14"/>
        <v>100</v>
      </c>
      <c r="X34" s="1354"/>
      <c r="Y34" s="372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62"/>
      <c r="Q35" s="1351" t="str">
        <f t="shared" si="11"/>
        <v>建筑品质</v>
      </c>
      <c r="R35" s="705" t="s">
        <v>18</v>
      </c>
      <c r="S35" s="706">
        <f t="shared" si="12"/>
        <v>100</v>
      </c>
      <c r="T35" s="705" t="s">
        <v>18</v>
      </c>
      <c r="U35" s="706">
        <f t="shared" si="13"/>
        <v>100</v>
      </c>
      <c r="V35" s="705" t="s">
        <v>18</v>
      </c>
      <c r="W35" s="706">
        <f t="shared" si="14"/>
        <v>100</v>
      </c>
      <c r="X35" s="1354"/>
      <c r="Y35" s="372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62"/>
      <c r="Q36" s="1351" t="str">
        <f t="shared" si="11"/>
        <v>公共部分装修</v>
      </c>
      <c r="R36" s="705" t="s">
        <v>18</v>
      </c>
      <c r="S36" s="706">
        <f t="shared" si="12"/>
        <v>100</v>
      </c>
      <c r="T36" s="705" t="s">
        <v>18</v>
      </c>
      <c r="U36" s="706">
        <f t="shared" si="13"/>
        <v>100</v>
      </c>
      <c r="V36" s="705" t="s">
        <v>18</v>
      </c>
      <c r="W36" s="706">
        <f t="shared" si="14"/>
        <v>100</v>
      </c>
      <c r="X36" s="1354"/>
      <c r="Y36" s="372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62"/>
      <c r="Q37" s="1342" t="str">
        <f t="shared" si="11"/>
        <v>成新度</v>
      </c>
      <c r="R37" s="701" t="s">
        <v>18</v>
      </c>
      <c r="S37" s="702" t="e">
        <f t="shared" si="12"/>
        <v>#N/A</v>
      </c>
      <c r="T37" s="701" t="s">
        <v>18</v>
      </c>
      <c r="U37" s="702" t="e">
        <f t="shared" si="13"/>
        <v>#N/A</v>
      </c>
      <c r="V37" s="701" t="s">
        <v>18</v>
      </c>
      <c r="W37" s="702" t="e">
        <f t="shared" si="14"/>
        <v>#N/A</v>
      </c>
      <c r="X37" s="703"/>
      <c r="Y37" s="3726"/>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62" t="s">
        <v>1696</v>
      </c>
      <c r="Q38" s="1351" t="str">
        <f t="shared" si="11"/>
        <v>物业管理</v>
      </c>
      <c r="R38" s="705" t="s">
        <v>18</v>
      </c>
      <c r="S38" s="706">
        <f t="shared" si="12"/>
        <v>100</v>
      </c>
      <c r="T38" s="705" t="s">
        <v>18</v>
      </c>
      <c r="U38" s="706">
        <f t="shared" si="13"/>
        <v>100</v>
      </c>
      <c r="V38" s="705" t="s">
        <v>18</v>
      </c>
      <c r="W38" s="706">
        <f t="shared" si="14"/>
        <v>100</v>
      </c>
      <c r="X38" s="1354"/>
      <c r="Y38" s="372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62"/>
      <c r="Q39" s="1351" t="str">
        <f t="shared" si="11"/>
        <v>市政基础设施</v>
      </c>
      <c r="R39" s="705" t="s">
        <v>18</v>
      </c>
      <c r="S39" s="706">
        <f t="shared" si="12"/>
        <v>100</v>
      </c>
      <c r="T39" s="705" t="s">
        <v>18</v>
      </c>
      <c r="U39" s="706">
        <f t="shared" si="13"/>
        <v>100</v>
      </c>
      <c r="V39" s="705" t="s">
        <v>18</v>
      </c>
      <c r="W39" s="706">
        <f t="shared" si="14"/>
        <v>100</v>
      </c>
      <c r="X39" s="1354"/>
      <c r="Y39" s="372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62"/>
      <c r="Q40" s="1351" t="str">
        <f t="shared" si="11"/>
        <v>房型</v>
      </c>
      <c r="R40" s="705" t="s">
        <v>18</v>
      </c>
      <c r="S40" s="706">
        <f t="shared" si="12"/>
        <v>100</v>
      </c>
      <c r="T40" s="705" t="s">
        <v>18</v>
      </c>
      <c r="U40" s="706">
        <f t="shared" si="13"/>
        <v>100</v>
      </c>
      <c r="V40" s="705" t="s">
        <v>18</v>
      </c>
      <c r="W40" s="706">
        <f t="shared" si="14"/>
        <v>100</v>
      </c>
      <c r="X40" s="1354"/>
      <c r="Y40" s="372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62"/>
      <c r="Q41" s="707" t="str">
        <f t="shared" si="11"/>
        <v>单套/主力户型建筑面积</v>
      </c>
      <c r="R41" s="708" t="s">
        <v>18</v>
      </c>
      <c r="S41" s="709">
        <f t="shared" si="12"/>
        <v>100</v>
      </c>
      <c r="T41" s="708" t="s">
        <v>18</v>
      </c>
      <c r="U41" s="709">
        <f t="shared" si="13"/>
        <v>100</v>
      </c>
      <c r="V41" s="708" t="s">
        <v>18</v>
      </c>
      <c r="W41" s="709">
        <f t="shared" si="14"/>
        <v>100</v>
      </c>
      <c r="X41" s="710"/>
      <c r="Y41" s="3726"/>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62"/>
      <c r="Q42" s="1351" t="str">
        <f t="shared" si="11"/>
        <v>内部装修</v>
      </c>
      <c r="R42" s="705" t="s">
        <v>18</v>
      </c>
      <c r="S42" s="706">
        <f t="shared" si="12"/>
        <v>100</v>
      </c>
      <c r="T42" s="705" t="s">
        <v>18</v>
      </c>
      <c r="U42" s="706">
        <f t="shared" si="13"/>
        <v>100</v>
      </c>
      <c r="V42" s="705" t="s">
        <v>18</v>
      </c>
      <c r="W42" s="706">
        <f t="shared" si="14"/>
        <v>100</v>
      </c>
      <c r="X42" s="1354"/>
      <c r="Y42" s="372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62"/>
      <c r="Q43" s="1351" t="str">
        <f t="shared" si="11"/>
        <v>内部装修维护情况</v>
      </c>
      <c r="R43" s="705" t="s">
        <v>18</v>
      </c>
      <c r="S43" s="706">
        <f t="shared" si="12"/>
        <v>100</v>
      </c>
      <c r="T43" s="705" t="s">
        <v>18</v>
      </c>
      <c r="U43" s="706">
        <f t="shared" si="13"/>
        <v>100</v>
      </c>
      <c r="V43" s="705" t="s">
        <v>18</v>
      </c>
      <c r="W43" s="706">
        <f t="shared" si="14"/>
        <v>100</v>
      </c>
      <c r="X43" s="1354"/>
      <c r="Y43" s="3726"/>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62"/>
      <c r="Q44" s="1342">
        <f t="shared" si="11"/>
        <v>111</v>
      </c>
      <c r="R44" s="701" t="s">
        <v>18</v>
      </c>
      <c r="S44" s="702">
        <f t="shared" si="12"/>
        <v>100</v>
      </c>
      <c r="T44" s="701" t="s">
        <v>18</v>
      </c>
      <c r="U44" s="702">
        <f t="shared" si="13"/>
        <v>100</v>
      </c>
      <c r="V44" s="701" t="s">
        <v>18</v>
      </c>
      <c r="W44" s="702">
        <f t="shared" si="14"/>
        <v>100</v>
      </c>
      <c r="X44" s="703"/>
      <c r="Y44" s="372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62"/>
      <c r="Q45" s="1351">
        <f t="shared" si="11"/>
        <v>111</v>
      </c>
      <c r="R45" s="705" t="s">
        <v>18</v>
      </c>
      <c r="S45" s="706">
        <f t="shared" si="12"/>
        <v>100</v>
      </c>
      <c r="T45" s="705" t="s">
        <v>18</v>
      </c>
      <c r="U45" s="706">
        <f t="shared" si="13"/>
        <v>100</v>
      </c>
      <c r="V45" s="705" t="s">
        <v>18</v>
      </c>
      <c r="W45" s="706">
        <f t="shared" si="14"/>
        <v>100</v>
      </c>
      <c r="X45" s="1354"/>
      <c r="Y45" s="372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63"/>
      <c r="Q46" s="1351">
        <f t="shared" si="11"/>
        <v>111</v>
      </c>
      <c r="R46" s="705" t="s">
        <v>17</v>
      </c>
      <c r="S46" s="706">
        <f t="shared" si="12"/>
        <v>100</v>
      </c>
      <c r="T46" s="705" t="s">
        <v>17</v>
      </c>
      <c r="U46" s="706">
        <f t="shared" si="13"/>
        <v>100</v>
      </c>
      <c r="V46" s="705" t="s">
        <v>17</v>
      </c>
      <c r="W46" s="706">
        <f t="shared" si="14"/>
        <v>100</v>
      </c>
      <c r="X46" s="1354"/>
      <c r="Y46" s="3764"/>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08" t="str">
        <f>A47</f>
        <v>成交单价（元/平方米）</v>
      </c>
      <c r="Q47" s="3708"/>
      <c r="R47" s="3760">
        <f>E47</f>
        <v>0</v>
      </c>
      <c r="S47" s="3760"/>
      <c r="T47" s="3760">
        <f>G47</f>
        <v>0</v>
      </c>
      <c r="U47" s="3760"/>
      <c r="V47" s="3760">
        <f>I47</f>
        <v>0</v>
      </c>
      <c r="W47" s="3760"/>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08" t="str">
        <f>A48</f>
        <v>比较价值（元/平方米）</v>
      </c>
      <c r="Q48" s="3708"/>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28" t="str">
        <f>A49</f>
        <v>估价对象XX用房的比较价值（楼面单价，元/平方米）</v>
      </c>
      <c r="Q49" s="3729"/>
      <c r="R49" s="3759" t="e">
        <f>IF(F1="售价",ROUND(IF(D48="简单平均",AVERAGE(R48:V48),R48*F48+T48*H48+V48*J48),0),ROUND(IF(D48="简单平均",AVERAGE(R48:V48),R48*F48+T48*H48+V48*J48),1))</f>
        <v>#DIV/0!</v>
      </c>
      <c r="S49" s="3759"/>
      <c r="T49" s="3759"/>
      <c r="U49" s="3759"/>
      <c r="V49" s="3759"/>
      <c r="W49" s="375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2025-3</v>
      </c>
      <c r="D58" s="1184">
        <f>EDATE(C58,-1)</f>
        <v>45689</v>
      </c>
      <c r="E58" s="1184">
        <f>EDATE(D58,-1)</f>
        <v>45658</v>
      </c>
      <c r="F58" s="1184">
        <f t="shared" ref="F58:O58" si="19">EDATE(E58,-1)</f>
        <v>45627</v>
      </c>
      <c r="G58" s="1184">
        <f t="shared" si="19"/>
        <v>45597</v>
      </c>
      <c r="H58" s="1184">
        <f t="shared" si="19"/>
        <v>45566</v>
      </c>
      <c r="I58" s="1184">
        <f t="shared" si="19"/>
        <v>45536</v>
      </c>
      <c r="J58" s="1184">
        <f t="shared" si="19"/>
        <v>45505</v>
      </c>
      <c r="K58" s="1184">
        <f t="shared" si="19"/>
        <v>45474</v>
      </c>
      <c r="L58" s="1184">
        <f t="shared" si="19"/>
        <v>45444</v>
      </c>
      <c r="M58" s="1184">
        <f t="shared" si="19"/>
        <v>45413</v>
      </c>
      <c r="N58" s="1184">
        <f t="shared" si="19"/>
        <v>45383</v>
      </c>
      <c r="O58" s="1184">
        <f t="shared" si="19"/>
        <v>45352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39707.96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721" t="s">
        <v>1772</v>
      </c>
      <c r="AC4" s="3691" t="s">
        <v>1773</v>
      </c>
    </row>
    <row r="5" spans="1:29" ht="15">
      <c r="A5" s="358"/>
      <c r="B5" s="359"/>
      <c r="C5" s="3702" t="s">
        <v>1673</v>
      </c>
      <c r="D5" s="3703"/>
      <c r="E5" s="3700" t="s">
        <v>1674</v>
      </c>
      <c r="F5" s="3701"/>
      <c r="G5" s="3702" t="s">
        <v>1675</v>
      </c>
      <c r="H5" s="3703"/>
      <c r="I5" s="3702" t="s">
        <v>1676</v>
      </c>
      <c r="J5" s="3703"/>
      <c r="K5" s="559"/>
      <c r="L5" s="2714"/>
      <c r="M5" s="2715"/>
      <c r="N5" s="2715"/>
      <c r="O5" s="2715"/>
      <c r="P5" s="3715"/>
      <c r="Q5" s="3716"/>
      <c r="R5" s="3698"/>
      <c r="S5" s="3699"/>
      <c r="T5" s="3698"/>
      <c r="U5" s="3699"/>
      <c r="V5" s="3721"/>
      <c r="W5" s="3721"/>
      <c r="X5" s="1354"/>
      <c r="Y5" s="3698"/>
      <c r="Z5" s="3699"/>
      <c r="AA5" s="3692"/>
      <c r="AB5" s="3721"/>
      <c r="AC5" s="3692"/>
    </row>
    <row r="6" spans="1:29" ht="15.75" thickBot="1">
      <c r="A6" s="360"/>
      <c r="B6" s="361"/>
      <c r="C6" s="3704" t="s">
        <v>1677</v>
      </c>
      <c r="D6" s="3705"/>
      <c r="E6" s="3706" t="s">
        <v>1677</v>
      </c>
      <c r="F6" s="3707"/>
      <c r="G6" s="3704" t="s">
        <v>1677</v>
      </c>
      <c r="H6" s="3705"/>
      <c r="I6" s="3704" t="s">
        <v>1677</v>
      </c>
      <c r="J6" s="3705"/>
      <c r="K6" s="559" t="s">
        <v>1678</v>
      </c>
      <c r="L6" s="2714"/>
      <c r="M6" s="2715"/>
      <c r="N6" s="2715"/>
      <c r="O6" s="2715"/>
      <c r="P6" s="3717"/>
      <c r="Q6" s="3718"/>
      <c r="R6" s="3698"/>
      <c r="S6" s="3699"/>
      <c r="T6" s="3719"/>
      <c r="U6" s="3720"/>
      <c r="V6" s="3721"/>
      <c r="W6" s="3721"/>
      <c r="X6" s="1354"/>
      <c r="Y6" s="3719"/>
      <c r="Z6" s="3720"/>
      <c r="AA6" s="3693"/>
      <c r="AB6" s="3721"/>
      <c r="AC6" s="3693"/>
    </row>
    <row r="7" spans="1:29" s="108" customFormat="1" ht="15.75" thickBot="1">
      <c r="A7" s="362" t="s">
        <v>1679</v>
      </c>
      <c r="B7" s="363"/>
      <c r="C7" s="364">
        <f>'数据-取费表'!B2</f>
        <v>45741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4" t="s">
        <v>1683</v>
      </c>
      <c r="Q8" s="3695"/>
      <c r="R8" s="701" t="s">
        <v>14</v>
      </c>
      <c r="S8" s="702">
        <f t="shared" si="0"/>
        <v>100</v>
      </c>
      <c r="T8" s="701" t="s">
        <v>14</v>
      </c>
      <c r="U8" s="702">
        <f t="shared" si="1"/>
        <v>100</v>
      </c>
      <c r="V8" s="701" t="s">
        <v>14</v>
      </c>
      <c r="W8" s="702">
        <f t="shared" si="2"/>
        <v>100</v>
      </c>
      <c r="X8" s="703"/>
      <c r="Y8" s="3694" t="s">
        <v>1683</v>
      </c>
      <c r="Z8" s="369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32"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32"/>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32"/>
      <c r="Q11" s="1342"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32"/>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32"/>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32"/>
      <c r="Q14" s="1342">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65" t="s">
        <v>1691</v>
      </c>
      <c r="Q15" s="1351" t="str">
        <f t="shared" si="6"/>
        <v>商业繁华度</v>
      </c>
      <c r="R15" s="705" t="s">
        <v>14</v>
      </c>
      <c r="S15" s="706">
        <f t="shared" si="0"/>
        <v>100</v>
      </c>
      <c r="T15" s="705" t="s">
        <v>14</v>
      </c>
      <c r="U15" s="706">
        <f t="shared" si="1"/>
        <v>100</v>
      </c>
      <c r="V15" s="705" t="s">
        <v>14</v>
      </c>
      <c r="W15" s="706">
        <f t="shared" si="2"/>
        <v>100</v>
      </c>
      <c r="X15" s="1354"/>
      <c r="Y15" s="3723"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66"/>
      <c r="Q16" s="1351"/>
      <c r="R16" s="705"/>
      <c r="S16" s="706"/>
      <c r="T16" s="705"/>
      <c r="U16" s="706"/>
      <c r="V16" s="705"/>
      <c r="W16" s="706"/>
      <c r="X16" s="1354"/>
      <c r="Y16" s="372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66"/>
      <c r="Q17" s="1351" t="str">
        <f>B17</f>
        <v>交通便捷度</v>
      </c>
      <c r="R17" s="705" t="s">
        <v>14</v>
      </c>
      <c r="S17" s="706">
        <f>F17</f>
        <v>100</v>
      </c>
      <c r="T17" s="705" t="s">
        <v>14</v>
      </c>
      <c r="U17" s="706">
        <f>H17</f>
        <v>100</v>
      </c>
      <c r="V17" s="705" t="s">
        <v>14</v>
      </c>
      <c r="W17" s="706">
        <f>J17</f>
        <v>100</v>
      </c>
      <c r="X17" s="1354"/>
      <c r="Y17" s="372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66"/>
      <c r="Q18" s="1351"/>
      <c r="R18" s="705"/>
      <c r="S18" s="706"/>
      <c r="T18" s="705"/>
      <c r="U18" s="706"/>
      <c r="V18" s="705"/>
      <c r="W18" s="706"/>
      <c r="X18" s="1354"/>
      <c r="Y18" s="372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66"/>
      <c r="Q19" s="1351" t="str">
        <f>B19</f>
        <v>公共配套设施</v>
      </c>
      <c r="R19" s="705" t="s">
        <v>14</v>
      </c>
      <c r="S19" s="706">
        <f>F19</f>
        <v>100</v>
      </c>
      <c r="T19" s="705" t="s">
        <v>14</v>
      </c>
      <c r="U19" s="706">
        <f>H19</f>
        <v>100</v>
      </c>
      <c r="V19" s="705" t="s">
        <v>14</v>
      </c>
      <c r="W19" s="706">
        <f>J19</f>
        <v>100</v>
      </c>
      <c r="X19" s="1354"/>
      <c r="Y19" s="372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66"/>
      <c r="Q20" s="1351"/>
      <c r="R20" s="705"/>
      <c r="S20" s="706"/>
      <c r="T20" s="705"/>
      <c r="U20" s="706"/>
      <c r="V20" s="705"/>
      <c r="W20" s="706"/>
      <c r="X20" s="1354"/>
      <c r="Y20" s="3724"/>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66"/>
      <c r="Q21" s="1351" t="str">
        <f>B21</f>
        <v>基础设施水平</v>
      </c>
      <c r="R21" s="705" t="s">
        <v>14</v>
      </c>
      <c r="S21" s="706">
        <f>F21</f>
        <v>100</v>
      </c>
      <c r="T21" s="705" t="s">
        <v>14</v>
      </c>
      <c r="U21" s="706">
        <f>H21</f>
        <v>100</v>
      </c>
      <c r="V21" s="705" t="s">
        <v>14</v>
      </c>
      <c r="W21" s="706">
        <f>J21</f>
        <v>100</v>
      </c>
      <c r="X21" s="1354"/>
      <c r="Y21" s="372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66"/>
      <c r="Q22" s="1351"/>
      <c r="R22" s="705"/>
      <c r="S22" s="706"/>
      <c r="T22" s="705"/>
      <c r="U22" s="706"/>
      <c r="V22" s="705"/>
      <c r="W22" s="706"/>
      <c r="X22" s="1354"/>
      <c r="Y22" s="372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66"/>
      <c r="Q23" s="1351" t="str">
        <f>B23</f>
        <v>自然及人文环境</v>
      </c>
      <c r="R23" s="705" t="s">
        <v>14</v>
      </c>
      <c r="S23" s="706">
        <f>F23</f>
        <v>100</v>
      </c>
      <c r="T23" s="705" t="s">
        <v>14</v>
      </c>
      <c r="U23" s="706">
        <f>H23</f>
        <v>100</v>
      </c>
      <c r="V23" s="705" t="s">
        <v>14</v>
      </c>
      <c r="W23" s="706">
        <f>J23</f>
        <v>100</v>
      </c>
      <c r="X23" s="1354"/>
      <c r="Y23" s="3724"/>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66"/>
      <c r="Q24" s="1351"/>
      <c r="R24" s="705"/>
      <c r="S24" s="706"/>
      <c r="T24" s="705"/>
      <c r="U24" s="706"/>
      <c r="V24" s="705"/>
      <c r="W24" s="706"/>
      <c r="X24" s="1354"/>
      <c r="Y24" s="3724"/>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66"/>
      <c r="Q25" s="1351" t="str">
        <f t="shared" ref="Q25:Q46" si="11">B25</f>
        <v>临街状况</v>
      </c>
      <c r="R25" s="705" t="s">
        <v>14</v>
      </c>
      <c r="S25" s="706">
        <f>F25</f>
        <v>100</v>
      </c>
      <c r="T25" s="705" t="s">
        <v>14</v>
      </c>
      <c r="U25" s="706">
        <f>H25</f>
        <v>100</v>
      </c>
      <c r="V25" s="705" t="s">
        <v>14</v>
      </c>
      <c r="W25" s="706">
        <f>J25</f>
        <v>100</v>
      </c>
      <c r="X25" s="1354"/>
      <c r="Y25" s="3724"/>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66"/>
      <c r="Q26" s="1351" t="str">
        <f t="shared" si="11"/>
        <v>平面位置/可视性</v>
      </c>
      <c r="R26" s="705" t="s">
        <v>14</v>
      </c>
      <c r="S26" s="706">
        <f>F26</f>
        <v>100</v>
      </c>
      <c r="T26" s="705" t="s">
        <v>14</v>
      </c>
      <c r="U26" s="706">
        <f>H26</f>
        <v>100</v>
      </c>
      <c r="V26" s="705" t="s">
        <v>14</v>
      </c>
      <c r="W26" s="706">
        <f>J26</f>
        <v>100</v>
      </c>
      <c r="X26" s="1354"/>
      <c r="Y26" s="3724"/>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66"/>
      <c r="Q27" s="1342" t="str">
        <f t="shared" si="11"/>
        <v>人流量</v>
      </c>
      <c r="R27" s="701" t="s">
        <v>14</v>
      </c>
      <c r="S27" s="702">
        <f>F27</f>
        <v>100</v>
      </c>
      <c r="T27" s="701" t="s">
        <v>14</v>
      </c>
      <c r="U27" s="702">
        <f>H27</f>
        <v>100</v>
      </c>
      <c r="V27" s="701" t="s">
        <v>14</v>
      </c>
      <c r="W27" s="702">
        <f>J27</f>
        <v>100</v>
      </c>
      <c r="X27" s="703"/>
      <c r="Y27" s="3724"/>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6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4"/>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66"/>
      <c r="Q29" s="1351">
        <f t="shared" si="11"/>
        <v>111</v>
      </c>
      <c r="R29" s="705" t="s">
        <v>14</v>
      </c>
      <c r="S29" s="706">
        <f t="shared" si="12"/>
        <v>100</v>
      </c>
      <c r="T29" s="705" t="s">
        <v>14</v>
      </c>
      <c r="U29" s="706">
        <f t="shared" si="13"/>
        <v>100</v>
      </c>
      <c r="V29" s="705" t="s">
        <v>14</v>
      </c>
      <c r="W29" s="706">
        <f t="shared" si="14"/>
        <v>100</v>
      </c>
      <c r="X29" s="1354"/>
      <c r="Y29" s="3724"/>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66"/>
      <c r="Q30" s="1351">
        <f t="shared" si="11"/>
        <v>111</v>
      </c>
      <c r="R30" s="705" t="s">
        <v>14</v>
      </c>
      <c r="S30" s="706">
        <f t="shared" si="12"/>
        <v>100</v>
      </c>
      <c r="T30" s="705" t="s">
        <v>14</v>
      </c>
      <c r="U30" s="706">
        <f t="shared" si="13"/>
        <v>100</v>
      </c>
      <c r="V30" s="705" t="s">
        <v>14</v>
      </c>
      <c r="W30" s="706">
        <f t="shared" si="14"/>
        <v>100</v>
      </c>
      <c r="X30" s="1354"/>
      <c r="Y30" s="3724"/>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66"/>
      <c r="Q31" s="1351">
        <f t="shared" si="11"/>
        <v>111</v>
      </c>
      <c r="R31" s="705" t="s">
        <v>14</v>
      </c>
      <c r="S31" s="706">
        <f t="shared" si="12"/>
        <v>100</v>
      </c>
      <c r="T31" s="705" t="s">
        <v>14</v>
      </c>
      <c r="U31" s="706">
        <f t="shared" si="13"/>
        <v>100</v>
      </c>
      <c r="V31" s="705" t="s">
        <v>14</v>
      </c>
      <c r="W31" s="706">
        <f t="shared" si="14"/>
        <v>100</v>
      </c>
      <c r="X31" s="1354"/>
      <c r="Y31" s="3724"/>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61" t="s">
        <v>1696</v>
      </c>
      <c r="Q32" s="1351" t="str">
        <f t="shared" si="11"/>
        <v>商业类型</v>
      </c>
      <c r="R32" s="705" t="s">
        <v>14</v>
      </c>
      <c r="S32" s="706">
        <f t="shared" si="12"/>
        <v>100</v>
      </c>
      <c r="T32" s="705" t="s">
        <v>14</v>
      </c>
      <c r="U32" s="706">
        <f t="shared" si="13"/>
        <v>100</v>
      </c>
      <c r="V32" s="705" t="s">
        <v>14</v>
      </c>
      <c r="W32" s="706">
        <f t="shared" si="14"/>
        <v>100</v>
      </c>
      <c r="X32" s="1354"/>
      <c r="Y32" s="372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62"/>
      <c r="Q33" s="707" t="str">
        <f t="shared" si="11"/>
        <v>项目建筑规模</v>
      </c>
      <c r="R33" s="708" t="s">
        <v>14</v>
      </c>
      <c r="S33" s="709" t="e">
        <f t="shared" si="12"/>
        <v>#N/A</v>
      </c>
      <c r="T33" s="708" t="s">
        <v>14</v>
      </c>
      <c r="U33" s="709" t="e">
        <f t="shared" si="13"/>
        <v>#N/A</v>
      </c>
      <c r="V33" s="708" t="s">
        <v>14</v>
      </c>
      <c r="W33" s="709" t="e">
        <f t="shared" si="14"/>
        <v>#N/A</v>
      </c>
      <c r="X33" s="710"/>
      <c r="Y33" s="3726"/>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62"/>
      <c r="Q34" s="1351" t="str">
        <f t="shared" si="11"/>
        <v>建筑结构</v>
      </c>
      <c r="R34" s="705" t="s">
        <v>14</v>
      </c>
      <c r="S34" s="706">
        <f t="shared" si="12"/>
        <v>100</v>
      </c>
      <c r="T34" s="705" t="s">
        <v>14</v>
      </c>
      <c r="U34" s="706">
        <f t="shared" si="13"/>
        <v>100</v>
      </c>
      <c r="V34" s="705" t="s">
        <v>14</v>
      </c>
      <c r="W34" s="706">
        <f t="shared" si="14"/>
        <v>100</v>
      </c>
      <c r="X34" s="1354"/>
      <c r="Y34" s="372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62"/>
      <c r="Q35" s="1351" t="str">
        <f t="shared" si="11"/>
        <v>公共部分装修</v>
      </c>
      <c r="R35" s="705" t="s">
        <v>14</v>
      </c>
      <c r="S35" s="706">
        <f t="shared" si="12"/>
        <v>100</v>
      </c>
      <c r="T35" s="705" t="s">
        <v>14</v>
      </c>
      <c r="U35" s="706">
        <f t="shared" si="13"/>
        <v>100</v>
      </c>
      <c r="V35" s="705" t="s">
        <v>14</v>
      </c>
      <c r="W35" s="706">
        <f t="shared" si="14"/>
        <v>100</v>
      </c>
      <c r="X35" s="1354"/>
      <c r="Y35" s="372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62"/>
      <c r="Q36" s="1351" t="str">
        <f t="shared" si="11"/>
        <v>成新度</v>
      </c>
      <c r="R36" s="705" t="s">
        <v>14</v>
      </c>
      <c r="S36" s="706" t="e">
        <f t="shared" si="12"/>
        <v>#N/A</v>
      </c>
      <c r="T36" s="705" t="s">
        <v>14</v>
      </c>
      <c r="U36" s="706" t="e">
        <f t="shared" si="13"/>
        <v>#N/A</v>
      </c>
      <c r="V36" s="705" t="s">
        <v>14</v>
      </c>
      <c r="W36" s="706" t="e">
        <f t="shared" si="14"/>
        <v>#N/A</v>
      </c>
      <c r="X36" s="1354"/>
      <c r="Y36" s="372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62"/>
      <c r="Q37" s="1342" t="str">
        <f t="shared" si="11"/>
        <v>市政基础设施</v>
      </c>
      <c r="R37" s="701" t="s">
        <v>14</v>
      </c>
      <c r="S37" s="702">
        <f t="shared" si="12"/>
        <v>100</v>
      </c>
      <c r="T37" s="701" t="s">
        <v>14</v>
      </c>
      <c r="U37" s="702">
        <f t="shared" si="13"/>
        <v>100</v>
      </c>
      <c r="V37" s="701" t="s">
        <v>14</v>
      </c>
      <c r="W37" s="702">
        <f t="shared" si="14"/>
        <v>100</v>
      </c>
      <c r="X37" s="703"/>
      <c r="Y37" s="372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62" t="s">
        <v>1696</v>
      </c>
      <c r="Q38" s="1351" t="str">
        <f t="shared" si="11"/>
        <v>业态</v>
      </c>
      <c r="R38" s="705" t="s">
        <v>14</v>
      </c>
      <c r="S38" s="706">
        <f t="shared" si="12"/>
        <v>100</v>
      </c>
      <c r="T38" s="705" t="s">
        <v>14</v>
      </c>
      <c r="U38" s="706">
        <f t="shared" si="13"/>
        <v>100</v>
      </c>
      <c r="V38" s="705" t="s">
        <v>14</v>
      </c>
      <c r="W38" s="706">
        <f t="shared" si="14"/>
        <v>100</v>
      </c>
      <c r="X38" s="1354"/>
      <c r="Y38" s="372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62"/>
      <c r="Q39" s="1351" t="str">
        <f t="shared" si="11"/>
        <v>层高</v>
      </c>
      <c r="R39" s="705" t="s">
        <v>14</v>
      </c>
      <c r="S39" s="706">
        <f t="shared" si="12"/>
        <v>100</v>
      </c>
      <c r="T39" s="705" t="s">
        <v>14</v>
      </c>
      <c r="U39" s="706">
        <f t="shared" si="13"/>
        <v>100</v>
      </c>
      <c r="V39" s="705" t="s">
        <v>14</v>
      </c>
      <c r="W39" s="706">
        <f t="shared" si="14"/>
        <v>100</v>
      </c>
      <c r="X39" s="1354"/>
      <c r="Y39" s="372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62"/>
      <c r="Q40" s="1351" t="str">
        <f t="shared" si="11"/>
        <v>单套建筑面积</v>
      </c>
      <c r="R40" s="705" t="s">
        <v>14</v>
      </c>
      <c r="S40" s="706">
        <f t="shared" si="12"/>
        <v>100</v>
      </c>
      <c r="T40" s="705" t="s">
        <v>14</v>
      </c>
      <c r="U40" s="706">
        <f t="shared" si="13"/>
        <v>100</v>
      </c>
      <c r="V40" s="705" t="s">
        <v>14</v>
      </c>
      <c r="W40" s="706">
        <f t="shared" si="14"/>
        <v>100</v>
      </c>
      <c r="X40" s="1354"/>
      <c r="Y40" s="372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62"/>
      <c r="Q41" s="707" t="str">
        <f t="shared" si="11"/>
        <v>进深比</v>
      </c>
      <c r="R41" s="708" t="s">
        <v>14</v>
      </c>
      <c r="S41" s="709">
        <f t="shared" si="12"/>
        <v>100</v>
      </c>
      <c r="T41" s="708" t="s">
        <v>14</v>
      </c>
      <c r="U41" s="709">
        <f t="shared" si="13"/>
        <v>100</v>
      </c>
      <c r="V41" s="708" t="s">
        <v>14</v>
      </c>
      <c r="W41" s="709">
        <f t="shared" si="14"/>
        <v>100</v>
      </c>
      <c r="X41" s="710"/>
      <c r="Y41" s="3726"/>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62"/>
      <c r="Q42" s="1351" t="str">
        <f t="shared" si="11"/>
        <v>内部装修</v>
      </c>
      <c r="R42" s="705" t="s">
        <v>14</v>
      </c>
      <c r="S42" s="706">
        <f t="shared" si="12"/>
        <v>100</v>
      </c>
      <c r="T42" s="705" t="s">
        <v>14</v>
      </c>
      <c r="U42" s="706">
        <f t="shared" si="13"/>
        <v>100</v>
      </c>
      <c r="V42" s="705" t="s">
        <v>14</v>
      </c>
      <c r="W42" s="706">
        <f t="shared" si="14"/>
        <v>100</v>
      </c>
      <c r="X42" s="1354"/>
      <c r="Y42" s="372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62"/>
      <c r="Q43" s="1351" t="str">
        <f t="shared" si="11"/>
        <v>内部装修维护情况</v>
      </c>
      <c r="R43" s="705" t="s">
        <v>14</v>
      </c>
      <c r="S43" s="706">
        <f t="shared" si="12"/>
        <v>100</v>
      </c>
      <c r="T43" s="705" t="s">
        <v>14</v>
      </c>
      <c r="U43" s="706">
        <f t="shared" si="13"/>
        <v>100</v>
      </c>
      <c r="V43" s="705" t="s">
        <v>14</v>
      </c>
      <c r="W43" s="706">
        <f t="shared" si="14"/>
        <v>100</v>
      </c>
      <c r="X43" s="1354"/>
      <c r="Y43" s="372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62"/>
      <c r="Q44" s="1342">
        <f t="shared" si="11"/>
        <v>111</v>
      </c>
      <c r="R44" s="701" t="s">
        <v>14</v>
      </c>
      <c r="S44" s="702">
        <f t="shared" si="12"/>
        <v>100</v>
      </c>
      <c r="T44" s="701" t="s">
        <v>14</v>
      </c>
      <c r="U44" s="702">
        <f t="shared" si="13"/>
        <v>100</v>
      </c>
      <c r="V44" s="701" t="s">
        <v>14</v>
      </c>
      <c r="W44" s="702">
        <f t="shared" si="14"/>
        <v>100</v>
      </c>
      <c r="X44" s="703"/>
      <c r="Y44" s="372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62"/>
      <c r="Q45" s="1351">
        <f t="shared" si="11"/>
        <v>111</v>
      </c>
      <c r="R45" s="705" t="s">
        <v>14</v>
      </c>
      <c r="S45" s="706">
        <f t="shared" si="12"/>
        <v>100</v>
      </c>
      <c r="T45" s="705" t="s">
        <v>14</v>
      </c>
      <c r="U45" s="706">
        <f t="shared" si="13"/>
        <v>100</v>
      </c>
      <c r="V45" s="705" t="s">
        <v>14</v>
      </c>
      <c r="W45" s="706">
        <f t="shared" si="14"/>
        <v>100</v>
      </c>
      <c r="X45" s="1354"/>
      <c r="Y45" s="372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63"/>
      <c r="Q46" s="1351">
        <f t="shared" si="11"/>
        <v>111</v>
      </c>
      <c r="R46" s="705" t="s">
        <v>14</v>
      </c>
      <c r="S46" s="706">
        <f t="shared" si="12"/>
        <v>100</v>
      </c>
      <c r="T46" s="705" t="s">
        <v>14</v>
      </c>
      <c r="U46" s="706">
        <f t="shared" si="13"/>
        <v>100</v>
      </c>
      <c r="V46" s="705" t="s">
        <v>14</v>
      </c>
      <c r="W46" s="706">
        <f t="shared" si="14"/>
        <v>100</v>
      </c>
      <c r="X46" s="1354"/>
      <c r="Y46" s="3764"/>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08" t="str">
        <f>A47</f>
        <v>成交单价（元/平方米）</v>
      </c>
      <c r="Q47" s="3708"/>
      <c r="R47" s="3721">
        <f>E47</f>
        <v>0</v>
      </c>
      <c r="S47" s="3721"/>
      <c r="T47" s="3721">
        <f>G47</f>
        <v>0</v>
      </c>
      <c r="U47" s="3721"/>
      <c r="V47" s="3721">
        <f>I47</f>
        <v>0</v>
      </c>
      <c r="W47" s="3721"/>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08" t="str">
        <f>A48</f>
        <v>比较价值（元/平方米）</v>
      </c>
      <c r="Q48" s="3708"/>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8" t="str">
        <f>A49</f>
        <v>估价对象XX用房的比较价值（楼面单价，元/平方米）</v>
      </c>
      <c r="Q49" s="3729"/>
      <c r="R49" s="3759" t="e">
        <f>IF(F1="售价",ROUND(IF(D48="简单平均",AVERAGE(R48:V48),R48*F48+T48*H48+V48*J48),0),ROUND(IF(D48="简单平均",AVERAGE(R48:V48),R48*F48+T48*H48+V48*J48),1))</f>
        <v>#DIV/0!</v>
      </c>
      <c r="S49" s="3759"/>
      <c r="T49" s="3759"/>
      <c r="U49" s="3759"/>
      <c r="V49" s="3759"/>
      <c r="W49" s="375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2025-3</v>
      </c>
      <c r="D58" s="1184">
        <f>EDATE(C58,-1)</f>
        <v>45689</v>
      </c>
      <c r="E58" s="1184">
        <f t="shared" ref="E58:N58" si="16">EDATE(D58,-1)</f>
        <v>45658</v>
      </c>
      <c r="F58" s="1184">
        <f t="shared" si="16"/>
        <v>45627</v>
      </c>
      <c r="G58" s="1184">
        <f t="shared" si="16"/>
        <v>45597</v>
      </c>
      <c r="H58" s="1184">
        <f t="shared" si="16"/>
        <v>45566</v>
      </c>
      <c r="I58" s="1184">
        <f t="shared" si="16"/>
        <v>45536</v>
      </c>
      <c r="J58" s="1184">
        <f t="shared" si="16"/>
        <v>45505</v>
      </c>
      <c r="K58" s="1184">
        <f t="shared" si="16"/>
        <v>45474</v>
      </c>
      <c r="L58" s="1184">
        <f t="shared" si="16"/>
        <v>45444</v>
      </c>
      <c r="M58" s="1184">
        <f t="shared" si="16"/>
        <v>45413</v>
      </c>
      <c r="N58" s="1184">
        <f t="shared" si="16"/>
        <v>45383</v>
      </c>
      <c r="O58" s="1184">
        <f>EDATE(N58,-1)</f>
        <v>45352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39707.96</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73" t="s">
        <v>1775</v>
      </c>
      <c r="Q4" s="3774"/>
      <c r="R4" s="3768" t="s">
        <v>1771</v>
      </c>
      <c r="S4" s="3769"/>
      <c r="T4" s="3768" t="s">
        <v>1772</v>
      </c>
      <c r="U4" s="3769"/>
      <c r="V4" s="3777" t="s">
        <v>1773</v>
      </c>
      <c r="W4" s="3777"/>
      <c r="X4" s="1957"/>
      <c r="Y4" s="3768" t="s">
        <v>1775</v>
      </c>
      <c r="Z4" s="3769"/>
      <c r="AA4" s="3767" t="s">
        <v>1771</v>
      </c>
      <c r="AB4" s="3767" t="s">
        <v>1772</v>
      </c>
      <c r="AC4" s="3770" t="s">
        <v>1773</v>
      </c>
    </row>
    <row r="5" spans="1:29" ht="15">
      <c r="A5" s="358"/>
      <c r="B5" s="359"/>
      <c r="C5" s="3702" t="s">
        <v>1673</v>
      </c>
      <c r="D5" s="3703"/>
      <c r="E5" s="3700" t="s">
        <v>1674</v>
      </c>
      <c r="F5" s="3701"/>
      <c r="G5" s="3702" t="s">
        <v>1675</v>
      </c>
      <c r="H5" s="3703"/>
      <c r="I5" s="3702" t="s">
        <v>1676</v>
      </c>
      <c r="J5" s="3703"/>
      <c r="K5" s="559"/>
      <c r="L5" s="2714"/>
      <c r="M5" s="2715"/>
      <c r="N5" s="2715"/>
      <c r="O5" s="2715"/>
      <c r="P5" s="3775"/>
      <c r="Q5" s="3716"/>
      <c r="R5" s="3698"/>
      <c r="S5" s="3699"/>
      <c r="T5" s="3698"/>
      <c r="U5" s="3699"/>
      <c r="V5" s="3721"/>
      <c r="W5" s="3721"/>
      <c r="X5" s="1354"/>
      <c r="Y5" s="3698"/>
      <c r="Z5" s="3699"/>
      <c r="AA5" s="3692"/>
      <c r="AB5" s="3692"/>
      <c r="AC5" s="3771"/>
    </row>
    <row r="6" spans="1:29" ht="15.75" thickBot="1">
      <c r="A6" s="360"/>
      <c r="B6" s="361"/>
      <c r="C6" s="3704" t="s">
        <v>1677</v>
      </c>
      <c r="D6" s="3705"/>
      <c r="E6" s="3706" t="s">
        <v>1677</v>
      </c>
      <c r="F6" s="3707"/>
      <c r="G6" s="3704" t="s">
        <v>1677</v>
      </c>
      <c r="H6" s="3705"/>
      <c r="I6" s="3704" t="s">
        <v>1677</v>
      </c>
      <c r="J6" s="3705"/>
      <c r="K6" s="559" t="s">
        <v>1678</v>
      </c>
      <c r="L6" s="2714"/>
      <c r="M6" s="2715"/>
      <c r="N6" s="2715"/>
      <c r="O6" s="2715"/>
      <c r="P6" s="3776"/>
      <c r="Q6" s="3718"/>
      <c r="R6" s="3698"/>
      <c r="S6" s="3699"/>
      <c r="T6" s="3719"/>
      <c r="U6" s="3720"/>
      <c r="V6" s="3721"/>
      <c r="W6" s="3721"/>
      <c r="X6" s="1354"/>
      <c r="Y6" s="3719"/>
      <c r="Z6" s="3720"/>
      <c r="AA6" s="3693"/>
      <c r="AB6" s="3693"/>
      <c r="AC6" s="3772"/>
    </row>
    <row r="7" spans="1:29" s="108" customFormat="1" ht="15.75" thickBot="1">
      <c r="A7" s="362" t="s">
        <v>1679</v>
      </c>
      <c r="B7" s="363"/>
      <c r="C7" s="364">
        <f>'数据-取费表'!B2</f>
        <v>45741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78"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78" t="s">
        <v>1683</v>
      </c>
      <c r="Q8" s="3695"/>
      <c r="R8" s="701" t="s">
        <v>14</v>
      </c>
      <c r="S8" s="702">
        <f t="shared" si="0"/>
        <v>100</v>
      </c>
      <c r="T8" s="701" t="s">
        <v>14</v>
      </c>
      <c r="U8" s="702">
        <f t="shared" si="1"/>
        <v>100</v>
      </c>
      <c r="V8" s="701" t="s">
        <v>14</v>
      </c>
      <c r="W8" s="702">
        <f t="shared" si="2"/>
        <v>100</v>
      </c>
      <c r="X8" s="703"/>
      <c r="Y8" s="3694" t="s">
        <v>1683</v>
      </c>
      <c r="Z8" s="3695"/>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32"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32"/>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32"/>
      <c r="Q11" s="1342"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32"/>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32"/>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32"/>
      <c r="Q14" s="1342">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65" t="s">
        <v>1691</v>
      </c>
      <c r="Q15" s="1351" t="str">
        <f t="shared" si="6"/>
        <v>办公集聚程度</v>
      </c>
      <c r="R15" s="705" t="s">
        <v>14</v>
      </c>
      <c r="S15" s="706">
        <f t="shared" si="0"/>
        <v>100</v>
      </c>
      <c r="T15" s="705" t="s">
        <v>14</v>
      </c>
      <c r="U15" s="706">
        <f t="shared" si="1"/>
        <v>100</v>
      </c>
      <c r="V15" s="705" t="s">
        <v>14</v>
      </c>
      <c r="W15" s="706">
        <f t="shared" si="2"/>
        <v>100</v>
      </c>
      <c r="X15" s="1354"/>
      <c r="Y15" s="372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66"/>
      <c r="Q16" s="1351"/>
      <c r="R16" s="705"/>
      <c r="S16" s="706"/>
      <c r="T16" s="705"/>
      <c r="U16" s="706"/>
      <c r="V16" s="705"/>
      <c r="W16" s="706"/>
      <c r="X16" s="1354"/>
      <c r="Y16" s="3724"/>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66"/>
      <c r="Q17" s="1351" t="str">
        <f>B17</f>
        <v>交通便捷度</v>
      </c>
      <c r="R17" s="705" t="s">
        <v>14</v>
      </c>
      <c r="S17" s="706">
        <f>F17</f>
        <v>100</v>
      </c>
      <c r="T17" s="705" t="s">
        <v>14</v>
      </c>
      <c r="U17" s="706">
        <f>H17</f>
        <v>100</v>
      </c>
      <c r="V17" s="705" t="s">
        <v>14</v>
      </c>
      <c r="W17" s="706">
        <f>J17</f>
        <v>100</v>
      </c>
      <c r="X17" s="1354"/>
      <c r="Y17" s="372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66"/>
      <c r="Q18" s="1351"/>
      <c r="R18" s="705"/>
      <c r="S18" s="706"/>
      <c r="T18" s="705"/>
      <c r="U18" s="706"/>
      <c r="V18" s="705"/>
      <c r="W18" s="706"/>
      <c r="X18" s="1354"/>
      <c r="Y18" s="3724"/>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66"/>
      <c r="Q19" s="1351" t="str">
        <f>B19</f>
        <v>公共配套设施</v>
      </c>
      <c r="R19" s="705" t="s">
        <v>14</v>
      </c>
      <c r="S19" s="706">
        <f>F19</f>
        <v>100</v>
      </c>
      <c r="T19" s="705" t="s">
        <v>14</v>
      </c>
      <c r="U19" s="706">
        <f>H19</f>
        <v>100</v>
      </c>
      <c r="V19" s="705" t="s">
        <v>14</v>
      </c>
      <c r="W19" s="706">
        <f>J19</f>
        <v>100</v>
      </c>
      <c r="X19" s="1354"/>
      <c r="Y19" s="372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66"/>
      <c r="Q20" s="1351"/>
      <c r="R20" s="705"/>
      <c r="S20" s="706"/>
      <c r="T20" s="705"/>
      <c r="U20" s="706"/>
      <c r="V20" s="705"/>
      <c r="W20" s="706"/>
      <c r="X20" s="1354"/>
      <c r="Y20" s="3724"/>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66"/>
      <c r="Q21" s="1351" t="str">
        <f>B21</f>
        <v>基础设施水平</v>
      </c>
      <c r="R21" s="705" t="s">
        <v>14</v>
      </c>
      <c r="S21" s="706">
        <f>F21</f>
        <v>100</v>
      </c>
      <c r="T21" s="705" t="s">
        <v>14</v>
      </c>
      <c r="U21" s="706">
        <f>H21</f>
        <v>100</v>
      </c>
      <c r="V21" s="705" t="s">
        <v>14</v>
      </c>
      <c r="W21" s="706">
        <f>J21</f>
        <v>100</v>
      </c>
      <c r="X21" s="1354"/>
      <c r="Y21" s="372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66"/>
      <c r="Q22" s="1351"/>
      <c r="R22" s="705"/>
      <c r="S22" s="706"/>
      <c r="T22" s="705"/>
      <c r="U22" s="706"/>
      <c r="V22" s="705"/>
      <c r="W22" s="706"/>
      <c r="X22" s="1354"/>
      <c r="Y22" s="3724"/>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66"/>
      <c r="Q23" s="1351" t="str">
        <f>B23</f>
        <v>环境质量</v>
      </c>
      <c r="R23" s="705" t="s">
        <v>14</v>
      </c>
      <c r="S23" s="706">
        <f>F23</f>
        <v>100</v>
      </c>
      <c r="T23" s="705" t="s">
        <v>14</v>
      </c>
      <c r="U23" s="706">
        <f>H23</f>
        <v>100</v>
      </c>
      <c r="V23" s="705" t="s">
        <v>14</v>
      </c>
      <c r="W23" s="706">
        <f>J23</f>
        <v>100</v>
      </c>
      <c r="X23" s="1354"/>
      <c r="Y23" s="372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66"/>
      <c r="Q24" s="1351"/>
      <c r="R24" s="705"/>
      <c r="S24" s="706"/>
      <c r="T24" s="705"/>
      <c r="U24" s="706"/>
      <c r="V24" s="705"/>
      <c r="W24" s="706"/>
      <c r="X24" s="1354"/>
      <c r="Y24" s="3724"/>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66"/>
      <c r="Q25" s="1351" t="str">
        <f>B25</f>
        <v>毗邻道路的类型与等级</v>
      </c>
      <c r="R25" s="705" t="s">
        <v>14</v>
      </c>
      <c r="S25" s="706">
        <f>F25</f>
        <v>100</v>
      </c>
      <c r="T25" s="705" t="s">
        <v>14</v>
      </c>
      <c r="U25" s="706">
        <f>H25</f>
        <v>100</v>
      </c>
      <c r="V25" s="705" t="s">
        <v>14</v>
      </c>
      <c r="W25" s="706">
        <f>J25</f>
        <v>100</v>
      </c>
      <c r="X25" s="1354"/>
      <c r="Y25" s="372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66"/>
      <c r="Q26" s="1351"/>
      <c r="R26" s="705"/>
      <c r="S26" s="706"/>
      <c r="T26" s="705"/>
      <c r="U26" s="706"/>
      <c r="V26" s="705"/>
      <c r="W26" s="706"/>
      <c r="X26" s="1354"/>
      <c r="Y26" s="372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66"/>
      <c r="Q27" s="1351" t="str">
        <f t="shared" ref="Q27:Q47" si="11">B27</f>
        <v>楼层</v>
      </c>
      <c r="R27" s="705" t="s">
        <v>14</v>
      </c>
      <c r="S27" s="706">
        <f>F27</f>
        <v>100</v>
      </c>
      <c r="T27" s="705" t="s">
        <v>14</v>
      </c>
      <c r="U27" s="706">
        <f>H27</f>
        <v>100</v>
      </c>
      <c r="V27" s="705" t="s">
        <v>14</v>
      </c>
      <c r="W27" s="706">
        <f>J27</f>
        <v>100</v>
      </c>
      <c r="X27" s="1354"/>
      <c r="Y27" s="372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66"/>
      <c r="Q28" s="1342" t="str">
        <f t="shared" si="11"/>
        <v>朝向</v>
      </c>
      <c r="R28" s="701" t="s">
        <v>14</v>
      </c>
      <c r="S28" s="702">
        <f>F28</f>
        <v>100</v>
      </c>
      <c r="T28" s="701" t="s">
        <v>14</v>
      </c>
      <c r="U28" s="702">
        <f>H28</f>
        <v>100</v>
      </c>
      <c r="V28" s="701" t="s">
        <v>14</v>
      </c>
      <c r="W28" s="702">
        <f>J28</f>
        <v>100</v>
      </c>
      <c r="X28" s="703"/>
      <c r="Y28" s="372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66"/>
      <c r="Q29" s="1351">
        <f t="shared" si="11"/>
        <v>111</v>
      </c>
      <c r="R29" s="705" t="s">
        <v>14</v>
      </c>
      <c r="S29" s="706">
        <f t="shared" ref="S29:S47" si="12">F29</f>
        <v>100</v>
      </c>
      <c r="T29" s="705" t="s">
        <v>14</v>
      </c>
      <c r="U29" s="706">
        <f t="shared" ref="U29:U47" si="13">H29</f>
        <v>100</v>
      </c>
      <c r="V29" s="705" t="s">
        <v>14</v>
      </c>
      <c r="W29" s="706">
        <f t="shared" ref="W29:W47" si="14">J29</f>
        <v>100</v>
      </c>
      <c r="X29" s="1354"/>
      <c r="Y29" s="372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66"/>
      <c r="Q30" s="1351">
        <f t="shared" si="11"/>
        <v>111</v>
      </c>
      <c r="R30" s="705" t="s">
        <v>14</v>
      </c>
      <c r="S30" s="706">
        <f t="shared" si="12"/>
        <v>100</v>
      </c>
      <c r="T30" s="705" t="s">
        <v>14</v>
      </c>
      <c r="U30" s="706">
        <f t="shared" si="13"/>
        <v>100</v>
      </c>
      <c r="V30" s="705" t="s">
        <v>14</v>
      </c>
      <c r="W30" s="706">
        <f t="shared" si="14"/>
        <v>100</v>
      </c>
      <c r="X30" s="1354"/>
      <c r="Y30" s="372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66"/>
      <c r="Q31" s="1351">
        <f t="shared" si="11"/>
        <v>111</v>
      </c>
      <c r="R31" s="705" t="s">
        <v>14</v>
      </c>
      <c r="S31" s="706">
        <f t="shared" si="12"/>
        <v>100</v>
      </c>
      <c r="T31" s="705" t="s">
        <v>14</v>
      </c>
      <c r="U31" s="706">
        <f t="shared" si="13"/>
        <v>100</v>
      </c>
      <c r="V31" s="705" t="s">
        <v>14</v>
      </c>
      <c r="W31" s="706">
        <f t="shared" si="14"/>
        <v>100</v>
      </c>
      <c r="X31" s="1354"/>
      <c r="Y31" s="372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66"/>
      <c r="Q32" s="1351">
        <f t="shared" si="11"/>
        <v>111</v>
      </c>
      <c r="R32" s="705" t="s">
        <v>14</v>
      </c>
      <c r="S32" s="706">
        <f t="shared" si="12"/>
        <v>100</v>
      </c>
      <c r="T32" s="705" t="s">
        <v>14</v>
      </c>
      <c r="U32" s="706">
        <f t="shared" si="13"/>
        <v>100</v>
      </c>
      <c r="V32" s="705" t="s">
        <v>14</v>
      </c>
      <c r="W32" s="706">
        <f t="shared" si="14"/>
        <v>100</v>
      </c>
      <c r="X32" s="1354"/>
      <c r="Y32" s="372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61" t="s">
        <v>1696</v>
      </c>
      <c r="Q33" s="1351" t="str">
        <f t="shared" si="11"/>
        <v>建筑类型</v>
      </c>
      <c r="R33" s="705" t="s">
        <v>14</v>
      </c>
      <c r="S33" s="706">
        <f t="shared" si="12"/>
        <v>100</v>
      </c>
      <c r="T33" s="705" t="s">
        <v>14</v>
      </c>
      <c r="U33" s="706">
        <f t="shared" si="13"/>
        <v>100</v>
      </c>
      <c r="V33" s="705" t="s">
        <v>14</v>
      </c>
      <c r="W33" s="706">
        <f t="shared" si="14"/>
        <v>100</v>
      </c>
      <c r="X33" s="1354"/>
      <c r="Y33" s="372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62"/>
      <c r="Q34" s="707" t="str">
        <f t="shared" si="11"/>
        <v>项目建筑规模</v>
      </c>
      <c r="R34" s="708" t="s">
        <v>14</v>
      </c>
      <c r="S34" s="709" t="e">
        <f t="shared" si="12"/>
        <v>#N/A</v>
      </c>
      <c r="T34" s="708" t="s">
        <v>14</v>
      </c>
      <c r="U34" s="709" t="e">
        <f t="shared" si="13"/>
        <v>#N/A</v>
      </c>
      <c r="V34" s="708" t="s">
        <v>14</v>
      </c>
      <c r="W34" s="709" t="e">
        <f t="shared" si="14"/>
        <v>#N/A</v>
      </c>
      <c r="X34" s="710"/>
      <c r="Y34" s="3726"/>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62"/>
      <c r="Q35" s="1351" t="str">
        <f t="shared" si="11"/>
        <v>建筑结构</v>
      </c>
      <c r="R35" s="705" t="s">
        <v>14</v>
      </c>
      <c r="S35" s="706">
        <f t="shared" si="12"/>
        <v>100</v>
      </c>
      <c r="T35" s="705" t="s">
        <v>14</v>
      </c>
      <c r="U35" s="706">
        <f t="shared" si="13"/>
        <v>100</v>
      </c>
      <c r="V35" s="705" t="s">
        <v>14</v>
      </c>
      <c r="W35" s="706">
        <f t="shared" si="14"/>
        <v>100</v>
      </c>
      <c r="X35" s="1354"/>
      <c r="Y35" s="372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62"/>
      <c r="Q36" s="1351" t="str">
        <f t="shared" si="11"/>
        <v>公共部分装修</v>
      </c>
      <c r="R36" s="705" t="s">
        <v>14</v>
      </c>
      <c r="S36" s="706">
        <f t="shared" si="12"/>
        <v>100</v>
      </c>
      <c r="T36" s="705" t="s">
        <v>14</v>
      </c>
      <c r="U36" s="706">
        <f t="shared" si="13"/>
        <v>100</v>
      </c>
      <c r="V36" s="705" t="s">
        <v>14</v>
      </c>
      <c r="W36" s="706">
        <f t="shared" si="14"/>
        <v>100</v>
      </c>
      <c r="X36" s="1354"/>
      <c r="Y36" s="372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62"/>
      <c r="Q37" s="1351" t="str">
        <f t="shared" si="11"/>
        <v>成新度</v>
      </c>
      <c r="R37" s="705" t="s">
        <v>14</v>
      </c>
      <c r="S37" s="706" t="e">
        <f t="shared" si="12"/>
        <v>#N/A</v>
      </c>
      <c r="T37" s="705" t="s">
        <v>14</v>
      </c>
      <c r="U37" s="706" t="e">
        <f t="shared" si="13"/>
        <v>#N/A</v>
      </c>
      <c r="V37" s="705" t="s">
        <v>14</v>
      </c>
      <c r="W37" s="706" t="e">
        <f t="shared" si="14"/>
        <v>#N/A</v>
      </c>
      <c r="X37" s="1354"/>
      <c r="Y37" s="372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62"/>
      <c r="Q38" s="1342" t="str">
        <f t="shared" si="11"/>
        <v>写字楼等级</v>
      </c>
      <c r="R38" s="701" t="s">
        <v>14</v>
      </c>
      <c r="S38" s="702">
        <f t="shared" si="12"/>
        <v>100</v>
      </c>
      <c r="T38" s="701" t="s">
        <v>14</v>
      </c>
      <c r="U38" s="702">
        <f t="shared" si="13"/>
        <v>100</v>
      </c>
      <c r="V38" s="701" t="s">
        <v>14</v>
      </c>
      <c r="W38" s="702">
        <f t="shared" si="14"/>
        <v>100</v>
      </c>
      <c r="X38" s="703"/>
      <c r="Y38" s="372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62" t="s">
        <v>1696</v>
      </c>
      <c r="Q39" s="1351" t="str">
        <f t="shared" si="11"/>
        <v>物业管理</v>
      </c>
      <c r="R39" s="705" t="s">
        <v>14</v>
      </c>
      <c r="S39" s="706">
        <f t="shared" si="12"/>
        <v>100</v>
      </c>
      <c r="T39" s="705" t="s">
        <v>14</v>
      </c>
      <c r="U39" s="706">
        <f t="shared" si="13"/>
        <v>100</v>
      </c>
      <c r="V39" s="705" t="s">
        <v>14</v>
      </c>
      <c r="W39" s="706">
        <f t="shared" si="14"/>
        <v>100</v>
      </c>
      <c r="X39" s="1354"/>
      <c r="Y39" s="372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62"/>
      <c r="Q40" s="1351" t="str">
        <f t="shared" si="11"/>
        <v>市政基础设施</v>
      </c>
      <c r="R40" s="705" t="s">
        <v>14</v>
      </c>
      <c r="S40" s="706">
        <f t="shared" si="12"/>
        <v>100</v>
      </c>
      <c r="T40" s="705" t="s">
        <v>14</v>
      </c>
      <c r="U40" s="706">
        <f t="shared" si="13"/>
        <v>100</v>
      </c>
      <c r="V40" s="705" t="s">
        <v>14</v>
      </c>
      <c r="W40" s="706">
        <f t="shared" si="14"/>
        <v>100</v>
      </c>
      <c r="X40" s="1354"/>
      <c r="Y40" s="372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62"/>
      <c r="Q41" s="1351" t="str">
        <f t="shared" si="11"/>
        <v>层高</v>
      </c>
      <c r="R41" s="705" t="s">
        <v>14</v>
      </c>
      <c r="S41" s="706">
        <f t="shared" si="12"/>
        <v>100</v>
      </c>
      <c r="T41" s="705" t="s">
        <v>14</v>
      </c>
      <c r="U41" s="706">
        <f t="shared" si="13"/>
        <v>100</v>
      </c>
      <c r="V41" s="705" t="s">
        <v>14</v>
      </c>
      <c r="W41" s="706">
        <f t="shared" si="14"/>
        <v>100</v>
      </c>
      <c r="X41" s="1354"/>
      <c r="Y41" s="372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62"/>
      <c r="Q42" s="707" t="str">
        <f t="shared" si="11"/>
        <v>单套建筑面积</v>
      </c>
      <c r="R42" s="708" t="s">
        <v>14</v>
      </c>
      <c r="S42" s="709">
        <f t="shared" si="12"/>
        <v>100</v>
      </c>
      <c r="T42" s="708" t="s">
        <v>14</v>
      </c>
      <c r="U42" s="709">
        <f t="shared" si="13"/>
        <v>100</v>
      </c>
      <c r="V42" s="708" t="s">
        <v>14</v>
      </c>
      <c r="W42" s="709">
        <f t="shared" si="14"/>
        <v>100</v>
      </c>
      <c r="X42" s="710"/>
      <c r="Y42" s="3726"/>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62"/>
      <c r="Q43" s="1351" t="str">
        <f t="shared" si="11"/>
        <v>内部装修</v>
      </c>
      <c r="R43" s="705" t="s">
        <v>14</v>
      </c>
      <c r="S43" s="706">
        <f t="shared" si="12"/>
        <v>100</v>
      </c>
      <c r="T43" s="705" t="s">
        <v>14</v>
      </c>
      <c r="U43" s="706">
        <f t="shared" si="13"/>
        <v>100</v>
      </c>
      <c r="V43" s="705" t="s">
        <v>14</v>
      </c>
      <c r="W43" s="706">
        <f t="shared" si="14"/>
        <v>100</v>
      </c>
      <c r="X43" s="1354"/>
      <c r="Y43" s="372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62"/>
      <c r="Q44" s="1351" t="str">
        <f t="shared" si="11"/>
        <v>内部装修维护情况</v>
      </c>
      <c r="R44" s="705" t="s">
        <v>14</v>
      </c>
      <c r="S44" s="706">
        <f t="shared" si="12"/>
        <v>100</v>
      </c>
      <c r="T44" s="705" t="s">
        <v>14</v>
      </c>
      <c r="U44" s="706">
        <f t="shared" si="13"/>
        <v>100</v>
      </c>
      <c r="V44" s="705" t="s">
        <v>14</v>
      </c>
      <c r="W44" s="706">
        <f t="shared" si="14"/>
        <v>100</v>
      </c>
      <c r="X44" s="1354"/>
      <c r="Y44" s="3726"/>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62"/>
      <c r="Q45" s="1342">
        <f t="shared" si="11"/>
        <v>111</v>
      </c>
      <c r="R45" s="701" t="s">
        <v>14</v>
      </c>
      <c r="S45" s="702">
        <f t="shared" si="12"/>
        <v>100</v>
      </c>
      <c r="T45" s="701" t="s">
        <v>14</v>
      </c>
      <c r="U45" s="702">
        <f t="shared" si="13"/>
        <v>100</v>
      </c>
      <c r="V45" s="701" t="s">
        <v>14</v>
      </c>
      <c r="W45" s="702">
        <f t="shared" si="14"/>
        <v>100</v>
      </c>
      <c r="X45" s="703"/>
      <c r="Y45" s="372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62"/>
      <c r="Q46" s="1351">
        <f t="shared" si="11"/>
        <v>111</v>
      </c>
      <c r="R46" s="705" t="s">
        <v>14</v>
      </c>
      <c r="S46" s="706">
        <f t="shared" si="12"/>
        <v>100</v>
      </c>
      <c r="T46" s="705" t="s">
        <v>14</v>
      </c>
      <c r="U46" s="706">
        <f t="shared" si="13"/>
        <v>100</v>
      </c>
      <c r="V46" s="705" t="s">
        <v>14</v>
      </c>
      <c r="W46" s="706">
        <f t="shared" si="14"/>
        <v>100</v>
      </c>
      <c r="X46" s="1354"/>
      <c r="Y46" s="372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63"/>
      <c r="Q47" s="1351">
        <f t="shared" si="11"/>
        <v>111</v>
      </c>
      <c r="R47" s="705" t="s">
        <v>14</v>
      </c>
      <c r="S47" s="706">
        <f t="shared" si="12"/>
        <v>100</v>
      </c>
      <c r="T47" s="705" t="s">
        <v>14</v>
      </c>
      <c r="U47" s="706">
        <f t="shared" si="13"/>
        <v>100</v>
      </c>
      <c r="V47" s="705" t="s">
        <v>14</v>
      </c>
      <c r="W47" s="706">
        <f t="shared" si="14"/>
        <v>100</v>
      </c>
      <c r="X47" s="1354"/>
      <c r="Y47" s="3764"/>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32" t="str">
        <f>A48</f>
        <v>成交单价（元/平方米）</v>
      </c>
      <c r="Q48" s="3708"/>
      <c r="R48" s="3760">
        <f>E48</f>
        <v>0</v>
      </c>
      <c r="S48" s="3760"/>
      <c r="T48" s="3760">
        <f>G48</f>
        <v>0</v>
      </c>
      <c r="U48" s="3760"/>
      <c r="V48" s="3760">
        <f>I48</f>
        <v>0</v>
      </c>
      <c r="W48" s="3760"/>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32" t="str">
        <f>A49</f>
        <v>比较价值（元/平方米）</v>
      </c>
      <c r="Q49" s="3708"/>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79" t="str">
        <f>A50</f>
        <v>估价对象XX用房的比较价值（楼面单价，元/平方米）</v>
      </c>
      <c r="Q50" s="3780"/>
      <c r="R50" s="3781" t="e">
        <f>IF(F1="售价",ROUND(IF(D49="简单平均",AVERAGE(R49:V49),R49*F49+T49*H49+V49*J49),0),ROUND(IF(D49="简单平均",AVERAGE(R49:V49),R49*F49+T49*H49+V49*J49),1))</f>
        <v>#DIV/0!</v>
      </c>
      <c r="S50" s="3781"/>
      <c r="T50" s="3781"/>
      <c r="U50" s="3781"/>
      <c r="V50" s="3781"/>
      <c r="W50" s="378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39707.96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913"/>
      <c r="M4" s="914"/>
      <c r="N4" s="914"/>
      <c r="O4" s="914"/>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913"/>
      <c r="M5" s="914"/>
      <c r="N5" s="914"/>
      <c r="O5" s="914"/>
      <c r="P5" s="3715"/>
      <c r="Q5" s="3716"/>
      <c r="R5" s="3698"/>
      <c r="S5" s="3699"/>
      <c r="T5" s="3698"/>
      <c r="U5" s="3699"/>
      <c r="V5" s="3721"/>
      <c r="W5" s="3721"/>
      <c r="X5" s="1354"/>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913"/>
      <c r="M6" s="914"/>
      <c r="N6" s="914"/>
      <c r="O6" s="914"/>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45741</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1683</v>
      </c>
      <c r="Q8" s="3695"/>
      <c r="R8" s="701" t="s">
        <v>14</v>
      </c>
      <c r="S8" s="702">
        <f t="shared" si="0"/>
        <v>100</v>
      </c>
      <c r="T8" s="701" t="s">
        <v>14</v>
      </c>
      <c r="U8" s="702">
        <f t="shared" si="1"/>
        <v>100</v>
      </c>
      <c r="V8" s="701" t="s">
        <v>14</v>
      </c>
      <c r="W8" s="702">
        <f t="shared" si="2"/>
        <v>100</v>
      </c>
      <c r="X8" s="703"/>
      <c r="Y8" s="3694" t="s">
        <v>1683</v>
      </c>
      <c r="Z8" s="369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8"/>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2"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8"/>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8"/>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8"/>
      <c r="Q14" s="1342">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3" t="s">
        <v>1691</v>
      </c>
      <c r="Q15" s="1351" t="str">
        <f t="shared" si="6"/>
        <v>产业集聚程度</v>
      </c>
      <c r="R15" s="705" t="s">
        <v>14</v>
      </c>
      <c r="S15" s="706">
        <f t="shared" si="0"/>
        <v>100</v>
      </c>
      <c r="T15" s="705" t="s">
        <v>14</v>
      </c>
      <c r="U15" s="706">
        <f t="shared" si="1"/>
        <v>100</v>
      </c>
      <c r="V15" s="705" t="s">
        <v>14</v>
      </c>
      <c r="W15" s="706">
        <f t="shared" si="2"/>
        <v>100</v>
      </c>
      <c r="X15" s="1354"/>
      <c r="Y15" s="372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4"/>
      <c r="Q16" s="1351"/>
      <c r="R16" s="705"/>
      <c r="S16" s="706"/>
      <c r="T16" s="705"/>
      <c r="U16" s="706"/>
      <c r="V16" s="705"/>
      <c r="W16" s="706"/>
      <c r="X16" s="1354"/>
      <c r="Y16" s="372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4"/>
      <c r="Q17" s="1351" t="str">
        <f>B17</f>
        <v>交通便捷度</v>
      </c>
      <c r="R17" s="705" t="s">
        <v>14</v>
      </c>
      <c r="S17" s="706">
        <f>F17</f>
        <v>100</v>
      </c>
      <c r="T17" s="705" t="s">
        <v>14</v>
      </c>
      <c r="U17" s="706">
        <f>H17</f>
        <v>100</v>
      </c>
      <c r="V17" s="705" t="s">
        <v>14</v>
      </c>
      <c r="W17" s="706">
        <f>J17</f>
        <v>100</v>
      </c>
      <c r="X17" s="1354"/>
      <c r="Y17" s="372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24"/>
      <c r="Q18" s="1351"/>
      <c r="R18" s="705"/>
      <c r="S18" s="706"/>
      <c r="T18" s="705"/>
      <c r="U18" s="706"/>
      <c r="V18" s="705"/>
      <c r="W18" s="706"/>
      <c r="X18" s="1354"/>
      <c r="Y18" s="372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4"/>
      <c r="Q19" s="1351" t="str">
        <f>B19</f>
        <v>公共配套设施</v>
      </c>
      <c r="R19" s="705" t="s">
        <v>14</v>
      </c>
      <c r="S19" s="706">
        <f>F19</f>
        <v>100</v>
      </c>
      <c r="T19" s="705" t="s">
        <v>14</v>
      </c>
      <c r="U19" s="706">
        <f>H19</f>
        <v>100</v>
      </c>
      <c r="V19" s="705" t="s">
        <v>14</v>
      </c>
      <c r="W19" s="706">
        <f>J19</f>
        <v>100</v>
      </c>
      <c r="X19" s="1354"/>
      <c r="Y19" s="372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24"/>
      <c r="Q20" s="1351"/>
      <c r="R20" s="705"/>
      <c r="S20" s="706"/>
      <c r="T20" s="705"/>
      <c r="U20" s="706"/>
      <c r="V20" s="705"/>
      <c r="W20" s="706"/>
      <c r="X20" s="1354"/>
      <c r="Y20" s="3724"/>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4"/>
      <c r="Q21" s="1351" t="str">
        <f>B21</f>
        <v>基础设施水平</v>
      </c>
      <c r="R21" s="705" t="s">
        <v>14</v>
      </c>
      <c r="S21" s="706">
        <f>F21</f>
        <v>100</v>
      </c>
      <c r="T21" s="705" t="s">
        <v>14</v>
      </c>
      <c r="U21" s="706">
        <f>H21</f>
        <v>100</v>
      </c>
      <c r="V21" s="705" t="s">
        <v>14</v>
      </c>
      <c r="W21" s="706">
        <f>J21</f>
        <v>100</v>
      </c>
      <c r="X21" s="1354"/>
      <c r="Y21" s="372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24"/>
      <c r="Q22" s="1351"/>
      <c r="R22" s="705"/>
      <c r="S22" s="706"/>
      <c r="T22" s="705"/>
      <c r="U22" s="706"/>
      <c r="V22" s="705"/>
      <c r="W22" s="706"/>
      <c r="X22" s="1354"/>
      <c r="Y22" s="372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4"/>
      <c r="Q23" s="1351" t="str">
        <f>B23</f>
        <v>环境质量</v>
      </c>
      <c r="R23" s="705" t="s">
        <v>14</v>
      </c>
      <c r="S23" s="706">
        <f>F23</f>
        <v>100</v>
      </c>
      <c r="T23" s="705" t="s">
        <v>14</v>
      </c>
      <c r="U23" s="706">
        <f>H23</f>
        <v>100</v>
      </c>
      <c r="V23" s="705" t="s">
        <v>14</v>
      </c>
      <c r="W23" s="706">
        <f>J23</f>
        <v>100</v>
      </c>
      <c r="X23" s="1354"/>
      <c r="Y23" s="3724"/>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24"/>
      <c r="Q24" s="1351"/>
      <c r="R24" s="705"/>
      <c r="S24" s="706"/>
      <c r="T24" s="705"/>
      <c r="U24" s="706"/>
      <c r="V24" s="705"/>
      <c r="W24" s="706"/>
      <c r="X24" s="1354"/>
      <c r="Y24" s="3724"/>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4"/>
      <c r="Q25" s="1351">
        <f>B25</f>
        <v>111</v>
      </c>
      <c r="R25" s="705" t="s">
        <v>14</v>
      </c>
      <c r="S25" s="706">
        <f>F25</f>
        <v>100</v>
      </c>
      <c r="T25" s="705" t="s">
        <v>14</v>
      </c>
      <c r="U25" s="706">
        <f>H25</f>
        <v>100</v>
      </c>
      <c r="V25" s="705" t="s">
        <v>14</v>
      </c>
      <c r="W25" s="706">
        <f>J25</f>
        <v>100</v>
      </c>
      <c r="X25" s="1354"/>
      <c r="Y25" s="3724"/>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4"/>
      <c r="Q26" s="1351">
        <f t="shared" ref="Q26:Q40" si="11">B26</f>
        <v>111</v>
      </c>
      <c r="R26" s="705" t="s">
        <v>14</v>
      </c>
      <c r="S26" s="706">
        <f>F26</f>
        <v>100</v>
      </c>
      <c r="T26" s="705" t="s">
        <v>14</v>
      </c>
      <c r="U26" s="706">
        <f>H26</f>
        <v>100</v>
      </c>
      <c r="V26" s="705" t="s">
        <v>14</v>
      </c>
      <c r="W26" s="706">
        <f>J26</f>
        <v>100</v>
      </c>
      <c r="X26" s="1354"/>
      <c r="Y26" s="3724"/>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4"/>
      <c r="Q27" s="1342">
        <f t="shared" si="11"/>
        <v>111</v>
      </c>
      <c r="R27" s="701" t="s">
        <v>14</v>
      </c>
      <c r="S27" s="702">
        <f>F27</f>
        <v>100</v>
      </c>
      <c r="T27" s="701" t="s">
        <v>14</v>
      </c>
      <c r="U27" s="702">
        <f>H27</f>
        <v>100</v>
      </c>
      <c r="V27" s="701" t="s">
        <v>14</v>
      </c>
      <c r="W27" s="702">
        <f>J27</f>
        <v>100</v>
      </c>
      <c r="X27" s="703"/>
      <c r="Y27" s="3724"/>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4"/>
      <c r="Q28" s="1351">
        <f t="shared" si="11"/>
        <v>111</v>
      </c>
      <c r="R28" s="705" t="s">
        <v>14</v>
      </c>
      <c r="S28" s="706">
        <f t="shared" ref="S28:S40" si="12">F28</f>
        <v>100</v>
      </c>
      <c r="T28" s="705" t="s">
        <v>14</v>
      </c>
      <c r="U28" s="706">
        <f t="shared" ref="U28:U40" si="13">H28</f>
        <v>100</v>
      </c>
      <c r="V28" s="705" t="s">
        <v>14</v>
      </c>
      <c r="W28" s="706">
        <f t="shared" ref="W28:W40" si="14">J28</f>
        <v>100</v>
      </c>
      <c r="X28" s="1354"/>
      <c r="Y28" s="372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5" t="s">
        <v>1696</v>
      </c>
      <c r="Q29" s="1351" t="str">
        <f t="shared" si="11"/>
        <v>建筑类型</v>
      </c>
      <c r="R29" s="705" t="s">
        <v>14</v>
      </c>
      <c r="S29" s="706">
        <f t="shared" si="12"/>
        <v>100</v>
      </c>
      <c r="T29" s="705" t="s">
        <v>14</v>
      </c>
      <c r="U29" s="706">
        <f t="shared" si="13"/>
        <v>100</v>
      </c>
      <c r="V29" s="705" t="s">
        <v>14</v>
      </c>
      <c r="W29" s="706">
        <f t="shared" si="14"/>
        <v>100</v>
      </c>
      <c r="X29" s="1354"/>
      <c r="Y29" s="372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6"/>
      <c r="Q30" s="707" t="str">
        <f t="shared" si="11"/>
        <v>项目建筑规模</v>
      </c>
      <c r="R30" s="708" t="s">
        <v>14</v>
      </c>
      <c r="S30" s="709" t="e">
        <f t="shared" si="12"/>
        <v>#N/A</v>
      </c>
      <c r="T30" s="708" t="s">
        <v>14</v>
      </c>
      <c r="U30" s="709" t="e">
        <f t="shared" si="13"/>
        <v>#N/A</v>
      </c>
      <c r="V30" s="708" t="s">
        <v>14</v>
      </c>
      <c r="W30" s="709" t="e">
        <f t="shared" si="14"/>
        <v>#N/A</v>
      </c>
      <c r="X30" s="710"/>
      <c r="Y30" s="372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6"/>
      <c r="Q31" s="1351" t="str">
        <f t="shared" si="11"/>
        <v>建筑结构</v>
      </c>
      <c r="R31" s="705" t="s">
        <v>14</v>
      </c>
      <c r="S31" s="706">
        <f t="shared" si="12"/>
        <v>100</v>
      </c>
      <c r="T31" s="705" t="s">
        <v>14</v>
      </c>
      <c r="U31" s="706">
        <f t="shared" si="13"/>
        <v>100</v>
      </c>
      <c r="V31" s="705" t="s">
        <v>14</v>
      </c>
      <c r="W31" s="706">
        <f t="shared" si="14"/>
        <v>100</v>
      </c>
      <c r="X31" s="1354"/>
      <c r="Y31" s="372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6"/>
      <c r="Q32" s="1351" t="str">
        <f t="shared" si="11"/>
        <v>公共部分装修</v>
      </c>
      <c r="R32" s="705" t="s">
        <v>14</v>
      </c>
      <c r="S32" s="706">
        <f t="shared" si="12"/>
        <v>100</v>
      </c>
      <c r="T32" s="705" t="s">
        <v>14</v>
      </c>
      <c r="U32" s="706">
        <f t="shared" si="13"/>
        <v>100</v>
      </c>
      <c r="V32" s="705" t="s">
        <v>14</v>
      </c>
      <c r="W32" s="706">
        <f t="shared" si="14"/>
        <v>100</v>
      </c>
      <c r="X32" s="1354"/>
      <c r="Y32" s="372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6"/>
      <c r="Q33" s="1351" t="str">
        <f t="shared" si="11"/>
        <v>成新度</v>
      </c>
      <c r="R33" s="705" t="s">
        <v>14</v>
      </c>
      <c r="S33" s="706" t="e">
        <f t="shared" si="12"/>
        <v>#N/A</v>
      </c>
      <c r="T33" s="705" t="s">
        <v>14</v>
      </c>
      <c r="U33" s="706" t="e">
        <f t="shared" si="13"/>
        <v>#N/A</v>
      </c>
      <c r="V33" s="705" t="s">
        <v>14</v>
      </c>
      <c r="W33" s="706" t="e">
        <f t="shared" si="14"/>
        <v>#N/A</v>
      </c>
      <c r="X33" s="1354"/>
      <c r="Y33" s="372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6"/>
      <c r="Q34" s="1342" t="str">
        <f t="shared" si="11"/>
        <v>物业管理</v>
      </c>
      <c r="R34" s="701" t="s">
        <v>14</v>
      </c>
      <c r="S34" s="702">
        <f t="shared" si="12"/>
        <v>100</v>
      </c>
      <c r="T34" s="701" t="s">
        <v>14</v>
      </c>
      <c r="U34" s="702">
        <f t="shared" si="13"/>
        <v>100</v>
      </c>
      <c r="V34" s="701" t="s">
        <v>14</v>
      </c>
      <c r="W34" s="702">
        <f t="shared" si="14"/>
        <v>100</v>
      </c>
      <c r="X34" s="703"/>
      <c r="Y34" s="372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6" t="s">
        <v>1696</v>
      </c>
      <c r="Q35" s="1351" t="str">
        <f t="shared" si="11"/>
        <v>市政基础设施</v>
      </c>
      <c r="R35" s="705" t="s">
        <v>14</v>
      </c>
      <c r="S35" s="706">
        <f t="shared" si="12"/>
        <v>100</v>
      </c>
      <c r="T35" s="705" t="s">
        <v>14</v>
      </c>
      <c r="U35" s="706">
        <f t="shared" si="13"/>
        <v>100</v>
      </c>
      <c r="V35" s="705" t="s">
        <v>14</v>
      </c>
      <c r="W35" s="706">
        <f t="shared" si="14"/>
        <v>100</v>
      </c>
      <c r="X35" s="1354"/>
      <c r="Y35" s="372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6"/>
      <c r="Q36" s="1351" t="str">
        <f t="shared" si="11"/>
        <v>内部装修</v>
      </c>
      <c r="R36" s="705" t="s">
        <v>14</v>
      </c>
      <c r="S36" s="706">
        <f t="shared" si="12"/>
        <v>100</v>
      </c>
      <c r="T36" s="705" t="s">
        <v>14</v>
      </c>
      <c r="U36" s="706">
        <f t="shared" si="13"/>
        <v>100</v>
      </c>
      <c r="V36" s="705" t="s">
        <v>14</v>
      </c>
      <c r="W36" s="706">
        <f t="shared" si="14"/>
        <v>100</v>
      </c>
      <c r="X36" s="1354"/>
      <c r="Y36" s="372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6"/>
      <c r="Q37" s="1351" t="str">
        <f t="shared" si="11"/>
        <v>内部装修状况</v>
      </c>
      <c r="R37" s="705" t="s">
        <v>14</v>
      </c>
      <c r="S37" s="706">
        <f t="shared" si="12"/>
        <v>100</v>
      </c>
      <c r="T37" s="705" t="s">
        <v>14</v>
      </c>
      <c r="U37" s="706">
        <f t="shared" si="13"/>
        <v>100</v>
      </c>
      <c r="V37" s="705" t="s">
        <v>14</v>
      </c>
      <c r="W37" s="706">
        <f t="shared" si="14"/>
        <v>100</v>
      </c>
      <c r="X37" s="1354"/>
      <c r="Y37" s="372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6"/>
      <c r="Q38" s="707">
        <f t="shared" si="11"/>
        <v>111</v>
      </c>
      <c r="R38" s="708" t="s">
        <v>14</v>
      </c>
      <c r="S38" s="709">
        <f t="shared" si="12"/>
        <v>100</v>
      </c>
      <c r="T38" s="708" t="s">
        <v>14</v>
      </c>
      <c r="U38" s="709">
        <f t="shared" si="13"/>
        <v>100</v>
      </c>
      <c r="V38" s="708" t="s">
        <v>14</v>
      </c>
      <c r="W38" s="709">
        <f t="shared" si="14"/>
        <v>100</v>
      </c>
      <c r="X38" s="710"/>
      <c r="Y38" s="372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6"/>
      <c r="Q39" s="1351">
        <f t="shared" si="11"/>
        <v>111</v>
      </c>
      <c r="R39" s="705" t="s">
        <v>14</v>
      </c>
      <c r="S39" s="706">
        <f t="shared" si="12"/>
        <v>100</v>
      </c>
      <c r="T39" s="705" t="s">
        <v>14</v>
      </c>
      <c r="U39" s="706">
        <f t="shared" si="13"/>
        <v>100</v>
      </c>
      <c r="V39" s="705" t="s">
        <v>14</v>
      </c>
      <c r="W39" s="706">
        <f t="shared" si="14"/>
        <v>100</v>
      </c>
      <c r="X39" s="1354"/>
      <c r="Y39" s="372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4"/>
      <c r="Q40" s="1351">
        <f t="shared" si="11"/>
        <v>111</v>
      </c>
      <c r="R40" s="705" t="s">
        <v>14</v>
      </c>
      <c r="S40" s="706">
        <f t="shared" si="12"/>
        <v>100</v>
      </c>
      <c r="T40" s="705" t="s">
        <v>14</v>
      </c>
      <c r="U40" s="706">
        <f t="shared" si="13"/>
        <v>100</v>
      </c>
      <c r="V40" s="705" t="s">
        <v>14</v>
      </c>
      <c r="W40" s="706">
        <f t="shared" si="14"/>
        <v>100</v>
      </c>
      <c r="X40" s="1354"/>
      <c r="Y40" s="3764"/>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60">
        <f>E41</f>
        <v>0</v>
      </c>
      <c r="S41" s="3760"/>
      <c r="T41" s="3760">
        <f>G41</f>
        <v>0</v>
      </c>
      <c r="U41" s="3760"/>
      <c r="V41" s="3760">
        <f>I41</f>
        <v>0</v>
      </c>
      <c r="W41" s="3760"/>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08" t="str">
        <f>A42</f>
        <v>比较价值（元/平方米）</v>
      </c>
      <c r="Q42" s="3708"/>
      <c r="R42" s="3760" t="e">
        <f>IF(F1="售价",ROUND(PRODUCT(R41,AA7:AA40),0),ROUND(PRODUCT(R41,AA7:AA40),1))</f>
        <v>#DIV/0!</v>
      </c>
      <c r="S42" s="3760"/>
      <c r="T42" s="3760" t="e">
        <f>IF(F1="售价",ROUND(PRODUCT(T41,AB7:AB40),0),ROUND(PRODUCT(T41,AB7:AB40),1))</f>
        <v>#DIV/0!</v>
      </c>
      <c r="U42" s="3760"/>
      <c r="V42" s="3760" t="e">
        <f>IF(F1="售价",ROUND(PRODUCT(V41,AC7:AC40),0),ROUND(PRODUCT(V41,AC7:AC40),1))</f>
        <v>#DIV/0!</v>
      </c>
      <c r="W42" s="376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59" t="e">
        <f>IF(F1="售价",ROUND(IF(D42="简单平均",AVERAGE(R42:V42),R42*F42+T42*H42+V42*J42),0),ROUND(IF(D42="简单平均",AVERAGE(R42:V42),R42*F42+T42*H42+V42*J42),1))</f>
        <v>#DIV/0!</v>
      </c>
      <c r="S43" s="3759"/>
      <c r="T43" s="3759"/>
      <c r="U43" s="3759"/>
      <c r="V43" s="3759"/>
      <c r="W43" s="375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2025-3</v>
      </c>
      <c r="D52" s="1184">
        <f>EDATE(C52,-1)</f>
        <v>45689</v>
      </c>
      <c r="E52" s="1184">
        <f t="shared" ref="E52:O52" si="16">EDATE(D52,-1)</f>
        <v>45658</v>
      </c>
      <c r="F52" s="1184">
        <f t="shared" si="16"/>
        <v>45627</v>
      </c>
      <c r="G52" s="1184">
        <f t="shared" si="16"/>
        <v>45597</v>
      </c>
      <c r="H52" s="1184">
        <f t="shared" si="16"/>
        <v>45566</v>
      </c>
      <c r="I52" s="1184">
        <f t="shared" si="16"/>
        <v>45536</v>
      </c>
      <c r="J52" s="1184">
        <f t="shared" si="16"/>
        <v>45505</v>
      </c>
      <c r="K52" s="1184">
        <f t="shared" si="16"/>
        <v>45474</v>
      </c>
      <c r="L52" s="1184">
        <f t="shared" si="16"/>
        <v>45444</v>
      </c>
      <c r="M52" s="1184">
        <f t="shared" si="16"/>
        <v>45413</v>
      </c>
      <c r="N52" s="1184">
        <f t="shared" si="16"/>
        <v>45383</v>
      </c>
      <c r="O52" s="1184">
        <f t="shared" si="16"/>
        <v>45352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4"/>
      <c r="M5" s="2715"/>
      <c r="N5" s="2715"/>
      <c r="O5" s="2715"/>
      <c r="P5" s="3715"/>
      <c r="Q5" s="3716"/>
      <c r="R5" s="3698"/>
      <c r="S5" s="3699"/>
      <c r="T5" s="3698"/>
      <c r="U5" s="3699"/>
      <c r="V5" s="3721"/>
      <c r="W5" s="3721"/>
      <c r="X5" s="1354"/>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4"/>
      <c r="M6" s="2715"/>
      <c r="N6" s="2715"/>
      <c r="O6" s="2715"/>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45741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4" t="s">
        <v>1680</v>
      </c>
      <c r="Q7" s="3722"/>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4" t="s">
        <v>1683</v>
      </c>
      <c r="Q8" s="3695"/>
      <c r="R8" s="701" t="s">
        <v>14</v>
      </c>
      <c r="S8" s="702">
        <f t="shared" si="0"/>
        <v>100</v>
      </c>
      <c r="T8" s="701" t="s">
        <v>14</v>
      </c>
      <c r="U8" s="702">
        <f t="shared" si="1"/>
        <v>100</v>
      </c>
      <c r="V8" s="701" t="s">
        <v>14</v>
      </c>
      <c r="W8" s="702">
        <f t="shared" si="2"/>
        <v>100</v>
      </c>
      <c r="X8" s="703"/>
      <c r="Y8" s="3694" t="s">
        <v>1683</v>
      </c>
      <c r="Z8" s="369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8" t="s">
        <v>1686</v>
      </c>
      <c r="Q9" s="1342"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8"/>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8"/>
      <c r="Q11" s="1342">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8"/>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8"/>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3" t="s">
        <v>1691</v>
      </c>
      <c r="Q14" s="1351" t="str">
        <f t="shared" si="6"/>
        <v>交通便捷度</v>
      </c>
      <c r="R14" s="705" t="s">
        <v>14</v>
      </c>
      <c r="S14" s="706">
        <f t="shared" si="0"/>
        <v>100</v>
      </c>
      <c r="T14" s="705" t="s">
        <v>14</v>
      </c>
      <c r="U14" s="706">
        <f t="shared" si="1"/>
        <v>100</v>
      </c>
      <c r="V14" s="705" t="s">
        <v>14</v>
      </c>
      <c r="W14" s="706">
        <f t="shared" si="2"/>
        <v>100</v>
      </c>
      <c r="X14" s="1354"/>
      <c r="Y14" s="372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4"/>
      <c r="Q15" s="1351"/>
      <c r="R15" s="705"/>
      <c r="S15" s="706"/>
      <c r="T15" s="705"/>
      <c r="U15" s="706"/>
      <c r="V15" s="705"/>
      <c r="W15" s="706"/>
      <c r="X15" s="1354"/>
      <c r="Y15" s="3724"/>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4"/>
      <c r="Q16" s="1351" t="str">
        <f>B16</f>
        <v>公共配套设施</v>
      </c>
      <c r="R16" s="705" t="s">
        <v>14</v>
      </c>
      <c r="S16" s="706">
        <f>F16</f>
        <v>100</v>
      </c>
      <c r="T16" s="705" t="s">
        <v>14</v>
      </c>
      <c r="U16" s="706">
        <f>H16</f>
        <v>100</v>
      </c>
      <c r="V16" s="705" t="s">
        <v>14</v>
      </c>
      <c r="W16" s="706">
        <f>J16</f>
        <v>100</v>
      </c>
      <c r="X16" s="1354"/>
      <c r="Y16" s="372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4"/>
      <c r="Q17" s="1351"/>
      <c r="R17" s="705"/>
      <c r="S17" s="706"/>
      <c r="T17" s="705"/>
      <c r="U17" s="706"/>
      <c r="V17" s="705"/>
      <c r="W17" s="706"/>
      <c r="X17" s="1354"/>
      <c r="Y17" s="3724"/>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4"/>
      <c r="Q18" s="1351" t="str">
        <f>B18</f>
        <v>基础设施水平</v>
      </c>
      <c r="R18" s="705" t="s">
        <v>14</v>
      </c>
      <c r="S18" s="706">
        <f>F18</f>
        <v>100</v>
      </c>
      <c r="T18" s="705" t="s">
        <v>14</v>
      </c>
      <c r="U18" s="706">
        <f>H18</f>
        <v>100</v>
      </c>
      <c r="V18" s="705" t="s">
        <v>14</v>
      </c>
      <c r="W18" s="706">
        <f>J18</f>
        <v>100</v>
      </c>
      <c r="X18" s="1354"/>
      <c r="Y18" s="372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24"/>
      <c r="Q19" s="1351"/>
      <c r="R19" s="705"/>
      <c r="S19" s="706"/>
      <c r="T19" s="705"/>
      <c r="U19" s="706"/>
      <c r="V19" s="705"/>
      <c r="W19" s="706"/>
      <c r="X19" s="1354"/>
      <c r="Y19" s="3724"/>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4"/>
      <c r="Q20" s="1351" t="str">
        <f>B20</f>
        <v>自然及人文环境</v>
      </c>
      <c r="R20" s="705" t="s">
        <v>14</v>
      </c>
      <c r="S20" s="706">
        <f>F20</f>
        <v>100</v>
      </c>
      <c r="T20" s="705" t="s">
        <v>14</v>
      </c>
      <c r="U20" s="706">
        <f>H20</f>
        <v>100</v>
      </c>
      <c r="V20" s="705" t="s">
        <v>14</v>
      </c>
      <c r="W20" s="706">
        <f>J20</f>
        <v>100</v>
      </c>
      <c r="X20" s="1354"/>
      <c r="Y20" s="372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4"/>
      <c r="Q21" s="1351"/>
      <c r="R21" s="705"/>
      <c r="S21" s="706"/>
      <c r="T21" s="705"/>
      <c r="U21" s="706"/>
      <c r="V21" s="705"/>
      <c r="W21" s="706"/>
      <c r="X21" s="1354"/>
      <c r="Y21" s="372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4"/>
      <c r="Q22" s="1351" t="str">
        <f>B22</f>
        <v>楼层</v>
      </c>
      <c r="R22" s="705" t="s">
        <v>14</v>
      </c>
      <c r="S22" s="706">
        <f>F22</f>
        <v>100</v>
      </c>
      <c r="T22" s="705" t="s">
        <v>14</v>
      </c>
      <c r="U22" s="706">
        <f>H22</f>
        <v>100</v>
      </c>
      <c r="V22" s="705" t="s">
        <v>14</v>
      </c>
      <c r="W22" s="706">
        <f>J22</f>
        <v>100</v>
      </c>
      <c r="X22" s="1354"/>
      <c r="Y22" s="372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4"/>
      <c r="Q23" s="1351">
        <f>B23</f>
        <v>111</v>
      </c>
      <c r="R23" s="705" t="s">
        <v>14</v>
      </c>
      <c r="S23" s="706">
        <f>F23</f>
        <v>100</v>
      </c>
      <c r="T23" s="705" t="s">
        <v>14</v>
      </c>
      <c r="U23" s="706">
        <f>H23</f>
        <v>100</v>
      </c>
      <c r="V23" s="705" t="s">
        <v>14</v>
      </c>
      <c r="W23" s="706">
        <f>J23</f>
        <v>100</v>
      </c>
      <c r="X23" s="1354"/>
      <c r="Y23" s="372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4"/>
      <c r="Q24" s="1351">
        <f t="shared" ref="Q24:Q36" si="11">B24</f>
        <v>111</v>
      </c>
      <c r="R24" s="705" t="s">
        <v>14</v>
      </c>
      <c r="S24" s="706">
        <f>F24</f>
        <v>100</v>
      </c>
      <c r="T24" s="705" t="s">
        <v>14</v>
      </c>
      <c r="U24" s="706">
        <f>H24</f>
        <v>100</v>
      </c>
      <c r="V24" s="705" t="s">
        <v>14</v>
      </c>
      <c r="W24" s="706">
        <f>J24</f>
        <v>100</v>
      </c>
      <c r="X24" s="1354"/>
      <c r="Y24" s="372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4"/>
      <c r="Q25" s="1342">
        <f t="shared" si="11"/>
        <v>111</v>
      </c>
      <c r="R25" s="701" t="s">
        <v>14</v>
      </c>
      <c r="S25" s="702">
        <f>F25</f>
        <v>100</v>
      </c>
      <c r="T25" s="701" t="s">
        <v>14</v>
      </c>
      <c r="U25" s="702">
        <f>H25</f>
        <v>100</v>
      </c>
      <c r="V25" s="701" t="s">
        <v>14</v>
      </c>
      <c r="W25" s="702">
        <f>J25</f>
        <v>100</v>
      </c>
      <c r="X25" s="703"/>
      <c r="Y25" s="3724"/>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6"/>
      <c r="Q27" s="707" t="str">
        <f t="shared" si="11"/>
        <v>项目停车位配比</v>
      </c>
      <c r="R27" s="708" t="s">
        <v>14</v>
      </c>
      <c r="S27" s="709">
        <f t="shared" si="12"/>
        <v>100</v>
      </c>
      <c r="T27" s="708" t="s">
        <v>14</v>
      </c>
      <c r="U27" s="709">
        <f t="shared" si="13"/>
        <v>100</v>
      </c>
      <c r="V27" s="708" t="s">
        <v>14</v>
      </c>
      <c r="W27" s="709">
        <f t="shared" si="14"/>
        <v>100</v>
      </c>
      <c r="X27" s="710"/>
      <c r="Y27" s="372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6"/>
      <c r="Q28" s="1351" t="str">
        <f t="shared" si="11"/>
        <v>公共部分装修</v>
      </c>
      <c r="R28" s="705" t="s">
        <v>14</v>
      </c>
      <c r="S28" s="706">
        <f t="shared" si="12"/>
        <v>100</v>
      </c>
      <c r="T28" s="705" t="s">
        <v>14</v>
      </c>
      <c r="U28" s="706">
        <f t="shared" si="13"/>
        <v>100</v>
      </c>
      <c r="V28" s="705" t="s">
        <v>14</v>
      </c>
      <c r="W28" s="706">
        <f t="shared" si="14"/>
        <v>100</v>
      </c>
      <c r="X28" s="1354"/>
      <c r="Y28" s="372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6"/>
      <c r="Q29" s="1351" t="str">
        <f t="shared" si="11"/>
        <v>成新率</v>
      </c>
      <c r="R29" s="705" t="s">
        <v>14</v>
      </c>
      <c r="S29" s="706" t="e">
        <f t="shared" si="12"/>
        <v>#N/A</v>
      </c>
      <c r="T29" s="705" t="s">
        <v>14</v>
      </c>
      <c r="U29" s="706" t="e">
        <f t="shared" si="13"/>
        <v>#N/A</v>
      </c>
      <c r="V29" s="705" t="s">
        <v>14</v>
      </c>
      <c r="W29" s="706" t="e">
        <f t="shared" si="14"/>
        <v>#N/A</v>
      </c>
      <c r="X29" s="1354"/>
      <c r="Y29" s="372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6"/>
      <c r="Q30" s="1351" t="str">
        <f t="shared" si="11"/>
        <v>物业等级</v>
      </c>
      <c r="R30" s="705" t="s">
        <v>14</v>
      </c>
      <c r="S30" s="706">
        <f t="shared" si="12"/>
        <v>100</v>
      </c>
      <c r="T30" s="705" t="s">
        <v>14</v>
      </c>
      <c r="U30" s="706">
        <f t="shared" si="13"/>
        <v>100</v>
      </c>
      <c r="V30" s="705" t="s">
        <v>14</v>
      </c>
      <c r="W30" s="706">
        <f t="shared" si="14"/>
        <v>100</v>
      </c>
      <c r="X30" s="1354"/>
      <c r="Y30" s="372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6"/>
      <c r="Q31" s="1342" t="str">
        <f t="shared" si="11"/>
        <v>停车位面积</v>
      </c>
      <c r="R31" s="701" t="s">
        <v>14</v>
      </c>
      <c r="S31" s="702" t="e">
        <f t="shared" si="12"/>
        <v>#N/A</v>
      </c>
      <c r="T31" s="701" t="s">
        <v>14</v>
      </c>
      <c r="U31" s="702" t="e">
        <f t="shared" si="13"/>
        <v>#N/A</v>
      </c>
      <c r="V31" s="701" t="s">
        <v>14</v>
      </c>
      <c r="W31" s="702" t="e">
        <f t="shared" si="14"/>
        <v>#N/A</v>
      </c>
      <c r="X31" s="703"/>
      <c r="Y31" s="372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6" t="s">
        <v>1696</v>
      </c>
      <c r="Q32" s="1351" t="str">
        <f t="shared" si="11"/>
        <v>车位类型</v>
      </c>
      <c r="R32" s="705" t="s">
        <v>14</v>
      </c>
      <c r="S32" s="706">
        <f t="shared" si="12"/>
        <v>100</v>
      </c>
      <c r="T32" s="705" t="s">
        <v>14</v>
      </c>
      <c r="U32" s="706">
        <f t="shared" si="13"/>
        <v>100</v>
      </c>
      <c r="V32" s="705" t="s">
        <v>14</v>
      </c>
      <c r="W32" s="706">
        <f t="shared" si="14"/>
        <v>100</v>
      </c>
      <c r="X32" s="1354"/>
      <c r="Y32" s="372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6"/>
      <c r="Q33" s="1351" t="str">
        <f t="shared" si="11"/>
        <v>是否直接入户</v>
      </c>
      <c r="R33" s="705" t="s">
        <v>14</v>
      </c>
      <c r="S33" s="706">
        <f t="shared" si="12"/>
        <v>100</v>
      </c>
      <c r="T33" s="705" t="s">
        <v>14</v>
      </c>
      <c r="U33" s="706">
        <f t="shared" si="13"/>
        <v>100</v>
      </c>
      <c r="V33" s="705" t="s">
        <v>14</v>
      </c>
      <c r="W33" s="706">
        <f t="shared" si="14"/>
        <v>100</v>
      </c>
      <c r="X33" s="1354"/>
      <c r="Y33" s="372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6"/>
      <c r="Q34" s="1351">
        <f t="shared" si="11"/>
        <v>111</v>
      </c>
      <c r="R34" s="705" t="s">
        <v>14</v>
      </c>
      <c r="S34" s="706">
        <f t="shared" si="12"/>
        <v>100</v>
      </c>
      <c r="T34" s="705" t="s">
        <v>14</v>
      </c>
      <c r="U34" s="706">
        <f t="shared" si="13"/>
        <v>100</v>
      </c>
      <c r="V34" s="705" t="s">
        <v>14</v>
      </c>
      <c r="W34" s="706">
        <f t="shared" si="14"/>
        <v>100</v>
      </c>
      <c r="X34" s="1354"/>
      <c r="Y34" s="372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6"/>
      <c r="Q35" s="707">
        <f t="shared" si="11"/>
        <v>111</v>
      </c>
      <c r="R35" s="708" t="s">
        <v>14</v>
      </c>
      <c r="S35" s="709">
        <f t="shared" si="12"/>
        <v>100</v>
      </c>
      <c r="T35" s="708" t="s">
        <v>14</v>
      </c>
      <c r="U35" s="709">
        <f t="shared" si="13"/>
        <v>100</v>
      </c>
      <c r="V35" s="708" t="s">
        <v>14</v>
      </c>
      <c r="W35" s="709">
        <f t="shared" si="14"/>
        <v>100</v>
      </c>
      <c r="X35" s="710"/>
      <c r="Y35" s="372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6"/>
      <c r="Q36" s="1351">
        <f t="shared" si="11"/>
        <v>111</v>
      </c>
      <c r="R36" s="705" t="s">
        <v>14</v>
      </c>
      <c r="S36" s="706">
        <f t="shared" si="12"/>
        <v>100</v>
      </c>
      <c r="T36" s="705" t="s">
        <v>14</v>
      </c>
      <c r="U36" s="706">
        <f t="shared" si="13"/>
        <v>100</v>
      </c>
      <c r="V36" s="705" t="s">
        <v>14</v>
      </c>
      <c r="W36" s="706">
        <f t="shared" si="14"/>
        <v>100</v>
      </c>
      <c r="X36" s="1354"/>
      <c r="Y36" s="3726"/>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708" t="str">
        <f>A37</f>
        <v>成交单价</v>
      </c>
      <c r="Q37" s="3708"/>
      <c r="R37" s="3760">
        <f>E37</f>
        <v>0</v>
      </c>
      <c r="S37" s="3760"/>
      <c r="T37" s="3760">
        <f>G37</f>
        <v>0</v>
      </c>
      <c r="U37" s="3760"/>
      <c r="V37" s="3760">
        <f>I37</f>
        <v>0</v>
      </c>
      <c r="W37" s="3760"/>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08" t="str">
        <f>A38</f>
        <v>比较价值（元/平方米）</v>
      </c>
      <c r="Q38" s="3708"/>
      <c r="R38" s="3760" t="e">
        <f>IF(F1="售价",ROUND(PRODUCT(R37,AA7:AA36),0),ROUND(PRODUCT(R37,AA7:AA36),1))</f>
        <v>#DIV/0!</v>
      </c>
      <c r="S38" s="3760"/>
      <c r="T38" s="3760" t="e">
        <f>IF(F1="售价",ROUND(PRODUCT(T37,AB7:AB36),0),ROUND(PRODUCT(T37,AB7:AB36),1))</f>
        <v>#DIV/0!</v>
      </c>
      <c r="U38" s="3760"/>
      <c r="V38" s="3760" t="e">
        <f>IF(F1="售价",ROUND(PRODUCT(V37,AC7:AC36),0),ROUND(PRODUCT(V37,AC7:AC36),1))</f>
        <v>#DIV/0!</v>
      </c>
      <c r="W38" s="376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8" t="str">
        <f>A39</f>
        <v>估价对象XX用房的比较价值（楼面单价，元/平方米）</v>
      </c>
      <c r="Q39" s="3729"/>
      <c r="R39" s="3782" t="e">
        <f>IF(F1="售价",ROUND(IF(D38="简单平均",AVERAGE(R38:W38),R38*F38+T38*H38+V38*J38),0),ROUND(IF(D38="简单平均",AVERAGE(R38:V38),R38*F38+T38*H38+V38*J38),1))</f>
        <v>#DIV/0!</v>
      </c>
      <c r="S39" s="3782"/>
      <c r="T39" s="3782"/>
      <c r="U39" s="3782"/>
      <c r="V39" s="3782"/>
      <c r="W39" s="378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2025-3</v>
      </c>
      <c r="D48" s="1184">
        <f>EDATE(C48,-1)</f>
        <v>45689</v>
      </c>
      <c r="E48" s="1184">
        <f t="shared" ref="E48:O48" si="16">EDATE(D48,-1)</f>
        <v>45658</v>
      </c>
      <c r="F48" s="1184">
        <f t="shared" si="16"/>
        <v>45627</v>
      </c>
      <c r="G48" s="1184">
        <f t="shared" si="16"/>
        <v>45597</v>
      </c>
      <c r="H48" s="1184">
        <f t="shared" si="16"/>
        <v>45566</v>
      </c>
      <c r="I48" s="1184">
        <f t="shared" si="16"/>
        <v>45536</v>
      </c>
      <c r="J48" s="1184">
        <f t="shared" si="16"/>
        <v>45505</v>
      </c>
      <c r="K48" s="1184">
        <f t="shared" si="16"/>
        <v>45474</v>
      </c>
      <c r="L48" s="1184">
        <f t="shared" si="16"/>
        <v>45444</v>
      </c>
      <c r="M48" s="1184">
        <f t="shared" si="16"/>
        <v>45413</v>
      </c>
      <c r="N48" s="1184">
        <f t="shared" si="16"/>
        <v>45383</v>
      </c>
      <c r="O48" s="1184">
        <f t="shared" si="16"/>
        <v>45352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4"/>
      <c r="M5" s="2715"/>
      <c r="N5" s="2715"/>
      <c r="O5" s="2715"/>
      <c r="P5" s="3715"/>
      <c r="Q5" s="3716"/>
      <c r="R5" s="3698"/>
      <c r="S5" s="3699"/>
      <c r="T5" s="3698"/>
      <c r="U5" s="3699"/>
      <c r="V5" s="3721"/>
      <c r="W5" s="3721"/>
      <c r="X5" s="1354"/>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4"/>
      <c r="M6" s="2715"/>
      <c r="N6" s="2715"/>
      <c r="O6" s="2715"/>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45741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4" t="s">
        <v>1680</v>
      </c>
      <c r="Q7" s="3722"/>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4" t="s">
        <v>1683</v>
      </c>
      <c r="Q8" s="3695"/>
      <c r="R8" s="701" t="s">
        <v>14</v>
      </c>
      <c r="S8" s="702">
        <f t="shared" si="0"/>
        <v>100</v>
      </c>
      <c r="T8" s="701" t="s">
        <v>14</v>
      </c>
      <c r="U8" s="702">
        <f t="shared" si="1"/>
        <v>100</v>
      </c>
      <c r="V8" s="701" t="s">
        <v>14</v>
      </c>
      <c r="W8" s="702">
        <f t="shared" si="2"/>
        <v>100</v>
      </c>
      <c r="X8" s="703"/>
      <c r="Y8" s="3694" t="s">
        <v>1683</v>
      </c>
      <c r="Z8" s="369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8" t="s">
        <v>1686</v>
      </c>
      <c r="Q9" s="1342"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8"/>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8"/>
      <c r="Q11" s="1342">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8"/>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8"/>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3" t="s">
        <v>1691</v>
      </c>
      <c r="Q14" s="1351" t="str">
        <f t="shared" si="6"/>
        <v>交通便捷度</v>
      </c>
      <c r="R14" s="705" t="s">
        <v>14</v>
      </c>
      <c r="S14" s="706">
        <f t="shared" si="0"/>
        <v>100</v>
      </c>
      <c r="T14" s="705" t="s">
        <v>14</v>
      </c>
      <c r="U14" s="706">
        <f t="shared" si="1"/>
        <v>100</v>
      </c>
      <c r="V14" s="705" t="s">
        <v>14</v>
      </c>
      <c r="W14" s="706">
        <f t="shared" si="2"/>
        <v>100</v>
      </c>
      <c r="X14" s="1354"/>
      <c r="Y14" s="372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4"/>
      <c r="Q15" s="1351"/>
      <c r="R15" s="705"/>
      <c r="S15" s="706"/>
      <c r="T15" s="705"/>
      <c r="U15" s="706"/>
      <c r="V15" s="705"/>
      <c r="W15" s="706"/>
      <c r="X15" s="1354"/>
      <c r="Y15" s="372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4"/>
      <c r="Q16" s="1351" t="str">
        <f>B16</f>
        <v>公共配套设施</v>
      </c>
      <c r="R16" s="705" t="s">
        <v>14</v>
      </c>
      <c r="S16" s="706">
        <f>F16</f>
        <v>100</v>
      </c>
      <c r="T16" s="705" t="s">
        <v>14</v>
      </c>
      <c r="U16" s="706">
        <f>H16</f>
        <v>100</v>
      </c>
      <c r="V16" s="705" t="s">
        <v>14</v>
      </c>
      <c r="W16" s="706">
        <f>J16</f>
        <v>100</v>
      </c>
      <c r="X16" s="1354"/>
      <c r="Y16" s="372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4"/>
      <c r="Q17" s="1351"/>
      <c r="R17" s="705"/>
      <c r="S17" s="706"/>
      <c r="T17" s="705"/>
      <c r="U17" s="706"/>
      <c r="V17" s="705"/>
      <c r="W17" s="706"/>
      <c r="X17" s="1354"/>
      <c r="Y17" s="3724"/>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4"/>
      <c r="Q18" s="1351" t="str">
        <f>B18</f>
        <v>基础设施水平</v>
      </c>
      <c r="R18" s="705" t="s">
        <v>14</v>
      </c>
      <c r="S18" s="706">
        <f>F18</f>
        <v>100</v>
      </c>
      <c r="T18" s="705" t="s">
        <v>14</v>
      </c>
      <c r="U18" s="706">
        <f>H18</f>
        <v>100</v>
      </c>
      <c r="V18" s="705" t="s">
        <v>14</v>
      </c>
      <c r="W18" s="706">
        <f>J18</f>
        <v>100</v>
      </c>
      <c r="X18" s="1354"/>
      <c r="Y18" s="3724"/>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24"/>
      <c r="Q19" s="1351"/>
      <c r="R19" s="705"/>
      <c r="S19" s="706"/>
      <c r="T19" s="705"/>
      <c r="U19" s="706"/>
      <c r="V19" s="705"/>
      <c r="W19" s="706"/>
      <c r="X19" s="1354"/>
      <c r="Y19" s="372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4"/>
      <c r="Q20" s="1351" t="str">
        <f>B20</f>
        <v>自然及人文环境</v>
      </c>
      <c r="R20" s="705" t="s">
        <v>14</v>
      </c>
      <c r="S20" s="706">
        <f>F20</f>
        <v>100</v>
      </c>
      <c r="T20" s="705" t="s">
        <v>14</v>
      </c>
      <c r="U20" s="706">
        <f>H20</f>
        <v>100</v>
      </c>
      <c r="V20" s="705" t="s">
        <v>14</v>
      </c>
      <c r="W20" s="706">
        <f>J20</f>
        <v>100</v>
      </c>
      <c r="X20" s="1354"/>
      <c r="Y20" s="372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4"/>
      <c r="Q21" s="1351"/>
      <c r="R21" s="705"/>
      <c r="S21" s="706"/>
      <c r="T21" s="705"/>
      <c r="U21" s="706"/>
      <c r="V21" s="705"/>
      <c r="W21" s="706"/>
      <c r="X21" s="1354"/>
      <c r="Y21" s="372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4"/>
      <c r="Q22" s="1351" t="str">
        <f>B22</f>
        <v>楼层</v>
      </c>
      <c r="R22" s="705" t="s">
        <v>14</v>
      </c>
      <c r="S22" s="706">
        <f>F22</f>
        <v>100</v>
      </c>
      <c r="T22" s="705" t="s">
        <v>14</v>
      </c>
      <c r="U22" s="706">
        <f>H22</f>
        <v>100</v>
      </c>
      <c r="V22" s="705" t="s">
        <v>14</v>
      </c>
      <c r="W22" s="706">
        <f>J22</f>
        <v>100</v>
      </c>
      <c r="X22" s="1354"/>
      <c r="Y22" s="372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4"/>
      <c r="Q23" s="1351">
        <f>B23</f>
        <v>111</v>
      </c>
      <c r="R23" s="705" t="s">
        <v>14</v>
      </c>
      <c r="S23" s="706">
        <f>F23</f>
        <v>100</v>
      </c>
      <c r="T23" s="705" t="s">
        <v>14</v>
      </c>
      <c r="U23" s="706">
        <f>H23</f>
        <v>100</v>
      </c>
      <c r="V23" s="705" t="s">
        <v>14</v>
      </c>
      <c r="W23" s="706">
        <f>J23</f>
        <v>100</v>
      </c>
      <c r="X23" s="1354"/>
      <c r="Y23" s="372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4"/>
      <c r="Q24" s="1351">
        <f t="shared" ref="Q24:Q34" si="11">B24</f>
        <v>111</v>
      </c>
      <c r="R24" s="705" t="s">
        <v>14</v>
      </c>
      <c r="S24" s="706">
        <f>F24</f>
        <v>100</v>
      </c>
      <c r="T24" s="705" t="s">
        <v>14</v>
      </c>
      <c r="U24" s="706">
        <f>H24</f>
        <v>100</v>
      </c>
      <c r="V24" s="705" t="s">
        <v>14</v>
      </c>
      <c r="W24" s="706">
        <f>J24</f>
        <v>100</v>
      </c>
      <c r="X24" s="1354"/>
      <c r="Y24" s="372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4"/>
      <c r="Q25" s="1342">
        <f t="shared" si="11"/>
        <v>111</v>
      </c>
      <c r="R25" s="701" t="s">
        <v>14</v>
      </c>
      <c r="S25" s="702">
        <f>F25</f>
        <v>100</v>
      </c>
      <c r="T25" s="701" t="s">
        <v>14</v>
      </c>
      <c r="U25" s="702">
        <f>H25</f>
        <v>100</v>
      </c>
      <c r="V25" s="701" t="s">
        <v>14</v>
      </c>
      <c r="W25" s="702">
        <f>J25</f>
        <v>100</v>
      </c>
      <c r="X25" s="703"/>
      <c r="Y25" s="3724"/>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6"/>
      <c r="Q27" s="707" t="str">
        <f t="shared" si="11"/>
        <v>成新率</v>
      </c>
      <c r="R27" s="708" t="s">
        <v>14</v>
      </c>
      <c r="S27" s="709" t="e">
        <f t="shared" si="12"/>
        <v>#N/A</v>
      </c>
      <c r="T27" s="708" t="s">
        <v>14</v>
      </c>
      <c r="U27" s="709" t="e">
        <f t="shared" si="13"/>
        <v>#N/A</v>
      </c>
      <c r="V27" s="708" t="s">
        <v>14</v>
      </c>
      <c r="W27" s="709" t="e">
        <f t="shared" si="14"/>
        <v>#N/A</v>
      </c>
      <c r="X27" s="710"/>
      <c r="Y27" s="372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6"/>
      <c r="Q28" s="1351" t="str">
        <f t="shared" si="11"/>
        <v>物业等级</v>
      </c>
      <c r="R28" s="705" t="s">
        <v>14</v>
      </c>
      <c r="S28" s="706">
        <f t="shared" si="12"/>
        <v>100</v>
      </c>
      <c r="T28" s="705" t="s">
        <v>14</v>
      </c>
      <c r="U28" s="706">
        <f t="shared" si="13"/>
        <v>100</v>
      </c>
      <c r="V28" s="705" t="s">
        <v>14</v>
      </c>
      <c r="W28" s="706">
        <f t="shared" si="14"/>
        <v>100</v>
      </c>
      <c r="X28" s="1354"/>
      <c r="Y28" s="372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6"/>
      <c r="Q29" s="1351" t="str">
        <f t="shared" si="11"/>
        <v>有无电梯</v>
      </c>
      <c r="R29" s="705" t="s">
        <v>14</v>
      </c>
      <c r="S29" s="706">
        <f t="shared" si="12"/>
        <v>100</v>
      </c>
      <c r="T29" s="705" t="s">
        <v>14</v>
      </c>
      <c r="U29" s="706">
        <f t="shared" si="13"/>
        <v>100</v>
      </c>
      <c r="V29" s="705" t="s">
        <v>14</v>
      </c>
      <c r="W29" s="706">
        <f t="shared" si="14"/>
        <v>100</v>
      </c>
      <c r="X29" s="1354"/>
      <c r="Y29" s="372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6"/>
      <c r="Q30" s="1351" t="str">
        <f t="shared" si="11"/>
        <v>建筑面积</v>
      </c>
      <c r="R30" s="705" t="s">
        <v>14</v>
      </c>
      <c r="S30" s="706" t="e">
        <f t="shared" si="12"/>
        <v>#N/A</v>
      </c>
      <c r="T30" s="705" t="s">
        <v>14</v>
      </c>
      <c r="U30" s="706" t="e">
        <f t="shared" si="13"/>
        <v>#N/A</v>
      </c>
      <c r="V30" s="705" t="s">
        <v>14</v>
      </c>
      <c r="W30" s="706" t="e">
        <f t="shared" si="14"/>
        <v>#N/A</v>
      </c>
      <c r="X30" s="1354"/>
      <c r="Y30" s="372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6"/>
      <c r="Q31" s="1342" t="str">
        <f t="shared" si="11"/>
        <v>是否封闭</v>
      </c>
      <c r="R31" s="701" t="s">
        <v>14</v>
      </c>
      <c r="S31" s="702">
        <f t="shared" si="12"/>
        <v>100</v>
      </c>
      <c r="T31" s="701" t="s">
        <v>14</v>
      </c>
      <c r="U31" s="702">
        <f t="shared" si="13"/>
        <v>100</v>
      </c>
      <c r="V31" s="701" t="s">
        <v>14</v>
      </c>
      <c r="W31" s="702">
        <f t="shared" si="14"/>
        <v>100</v>
      </c>
      <c r="X31" s="703"/>
      <c r="Y31" s="372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6" t="s">
        <v>1696</v>
      </c>
      <c r="Q32" s="1351">
        <f t="shared" si="11"/>
        <v>111</v>
      </c>
      <c r="R32" s="705" t="s">
        <v>14</v>
      </c>
      <c r="S32" s="706">
        <f t="shared" si="12"/>
        <v>100</v>
      </c>
      <c r="T32" s="705" t="s">
        <v>14</v>
      </c>
      <c r="U32" s="706">
        <f t="shared" si="13"/>
        <v>100</v>
      </c>
      <c r="V32" s="705" t="s">
        <v>14</v>
      </c>
      <c r="W32" s="706">
        <f t="shared" si="14"/>
        <v>100</v>
      </c>
      <c r="X32" s="1354"/>
      <c r="Y32" s="372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6"/>
      <c r="Q33" s="1351">
        <f t="shared" si="11"/>
        <v>111</v>
      </c>
      <c r="R33" s="705" t="s">
        <v>14</v>
      </c>
      <c r="S33" s="706">
        <f t="shared" si="12"/>
        <v>100</v>
      </c>
      <c r="T33" s="705" t="s">
        <v>14</v>
      </c>
      <c r="U33" s="706">
        <f t="shared" si="13"/>
        <v>100</v>
      </c>
      <c r="V33" s="705" t="s">
        <v>14</v>
      </c>
      <c r="W33" s="706">
        <f t="shared" si="14"/>
        <v>100</v>
      </c>
      <c r="X33" s="1354"/>
      <c r="Y33" s="372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6"/>
      <c r="Q34" s="1351">
        <f t="shared" si="11"/>
        <v>111</v>
      </c>
      <c r="R34" s="705" t="s">
        <v>14</v>
      </c>
      <c r="S34" s="706">
        <f t="shared" si="12"/>
        <v>100</v>
      </c>
      <c r="T34" s="705" t="s">
        <v>14</v>
      </c>
      <c r="U34" s="706">
        <f t="shared" si="13"/>
        <v>100</v>
      </c>
      <c r="V34" s="705" t="s">
        <v>14</v>
      </c>
      <c r="W34" s="706">
        <f t="shared" si="14"/>
        <v>100</v>
      </c>
      <c r="X34" s="1354"/>
      <c r="Y34" s="3726"/>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08" t="str">
        <f>A35</f>
        <v>成交单价（元/平方米）</v>
      </c>
      <c r="Q35" s="3708"/>
      <c r="R35" s="3760">
        <f>E35</f>
        <v>0</v>
      </c>
      <c r="S35" s="3760"/>
      <c r="T35" s="3760">
        <f>G35</f>
        <v>0</v>
      </c>
      <c r="U35" s="3760"/>
      <c r="V35" s="3760">
        <f>I35</f>
        <v>0</v>
      </c>
      <c r="W35" s="3760"/>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08" t="str">
        <f>A36</f>
        <v>比较价值（元/平方米）</v>
      </c>
      <c r="Q36" s="3708"/>
      <c r="R36" s="3760" t="e">
        <f>IF(F1="售价",ROUND(PRODUCT(R35,AA7:AA34),0),ROUND(PRODUCT(R35,AA7:AA34),1))</f>
        <v>#DIV/0!</v>
      </c>
      <c r="S36" s="3760"/>
      <c r="T36" s="3760" t="e">
        <f>IF(F1="售价",ROUND(PRODUCT(T35,AB7:AB34),0),ROUND(PRODUCT(T35,AB7:AB34),1))</f>
        <v>#DIV/0!</v>
      </c>
      <c r="U36" s="3760"/>
      <c r="V36" s="3760" t="e">
        <f>IF(F1="售价",ROUND(PRODUCT(V35,AC7:AC34),0),ROUND(PRODUCT(V35,AC7:AC34),1))</f>
        <v>#DIV/0!</v>
      </c>
      <c r="W36" s="376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8" t="str">
        <f>A37</f>
        <v>估价对象XX用房的比较价值（楼面单价，元/平方米）</v>
      </c>
      <c r="Q37" s="3729"/>
      <c r="R37" s="3782" t="e">
        <f>IF(F1="售价",ROUND(IF(D36="简单平均",AVERAGE(R36:W36),R36*F36+T36*H36+V36*J36),0),ROUND(IF(D36="简单平均",AVERAGE(R36:V36),R36*F36+T36*H36+V36*J36),1))</f>
        <v>#DIV/0!</v>
      </c>
      <c r="S37" s="3782"/>
      <c r="T37" s="3782"/>
      <c r="U37" s="3782"/>
      <c r="V37" s="3782"/>
      <c r="W37" s="378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2025-3</v>
      </c>
      <c r="D46" s="1184">
        <f>EDATE(C46,-1)</f>
        <v>45689</v>
      </c>
      <c r="E46" s="1184">
        <f t="shared" ref="E46:O46" si="16">EDATE(D46,-1)</f>
        <v>45658</v>
      </c>
      <c r="F46" s="1184">
        <f t="shared" si="16"/>
        <v>45627</v>
      </c>
      <c r="G46" s="1184">
        <f t="shared" si="16"/>
        <v>45597</v>
      </c>
      <c r="H46" s="1184">
        <f t="shared" si="16"/>
        <v>45566</v>
      </c>
      <c r="I46" s="1184">
        <f t="shared" si="16"/>
        <v>45536</v>
      </c>
      <c r="J46" s="1184">
        <f t="shared" si="16"/>
        <v>45505</v>
      </c>
      <c r="K46" s="1184">
        <f t="shared" si="16"/>
        <v>45474</v>
      </c>
      <c r="L46" s="1184">
        <f t="shared" si="16"/>
        <v>45444</v>
      </c>
      <c r="M46" s="1184">
        <f t="shared" si="16"/>
        <v>45413</v>
      </c>
      <c r="N46" s="1184">
        <f t="shared" si="16"/>
        <v>45383</v>
      </c>
      <c r="O46" s="1184">
        <f t="shared" si="16"/>
        <v>45352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4"/>
      <c r="M5" s="2715"/>
      <c r="N5" s="2715"/>
      <c r="O5" s="2715"/>
      <c r="P5" s="3715"/>
      <c r="Q5" s="3716"/>
      <c r="R5" s="3698"/>
      <c r="S5" s="3699"/>
      <c r="T5" s="3698"/>
      <c r="U5" s="3699"/>
      <c r="V5" s="3721"/>
      <c r="W5" s="3721"/>
      <c r="X5" s="1354"/>
      <c r="Y5" s="3698"/>
      <c r="Z5" s="3699"/>
      <c r="AA5" s="3692"/>
      <c r="AB5" s="3692"/>
      <c r="AC5" s="3692"/>
    </row>
    <row r="6" spans="1:29" ht="15.75" thickBot="1">
      <c r="A6" s="360"/>
      <c r="B6" s="361"/>
      <c r="C6" s="3783" t="s">
        <v>1919</v>
      </c>
      <c r="D6" s="3784"/>
      <c r="E6" s="3785" t="s">
        <v>1919</v>
      </c>
      <c r="F6" s="3786"/>
      <c r="G6" s="3783" t="s">
        <v>1919</v>
      </c>
      <c r="H6" s="3784"/>
      <c r="I6" s="3783" t="s">
        <v>1919</v>
      </c>
      <c r="J6" s="3784"/>
      <c r="K6" s="559" t="s">
        <v>1678</v>
      </c>
      <c r="L6" s="2714"/>
      <c r="M6" s="2715"/>
      <c r="N6" s="2715"/>
      <c r="O6" s="2715"/>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45741</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4" t="s">
        <v>1683</v>
      </c>
      <c r="Q8" s="3695"/>
      <c r="R8" s="701" t="s">
        <v>14</v>
      </c>
      <c r="S8" s="702">
        <f t="shared" si="0"/>
        <v>0</v>
      </c>
      <c r="T8" s="701" t="s">
        <v>14</v>
      </c>
      <c r="U8" s="702">
        <f t="shared" si="1"/>
        <v>0</v>
      </c>
      <c r="V8" s="701" t="s">
        <v>14</v>
      </c>
      <c r="W8" s="702">
        <f t="shared" si="2"/>
        <v>0</v>
      </c>
      <c r="X8" s="703"/>
      <c r="Y8" s="3694" t="s">
        <v>1683</v>
      </c>
      <c r="Z8" s="3695"/>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8"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708"/>
      <c r="Q10" s="1342" t="str">
        <f t="shared" si="6"/>
        <v>土地使用年限（年）</v>
      </c>
      <c r="R10" s="701" t="s">
        <v>14</v>
      </c>
      <c r="S10" s="702">
        <f t="shared" si="0"/>
        <v>117</v>
      </c>
      <c r="T10" s="701" t="s">
        <v>14</v>
      </c>
      <c r="U10" s="702">
        <f t="shared" si="1"/>
        <v>117</v>
      </c>
      <c r="V10" s="701" t="s">
        <v>14</v>
      </c>
      <c r="W10" s="702">
        <f t="shared" si="2"/>
        <v>117</v>
      </c>
      <c r="X10" s="703"/>
      <c r="Y10" s="3660"/>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8"/>
      <c r="Q11" s="1342"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8"/>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8"/>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8"/>
      <c r="Q14" s="1342">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23" t="s">
        <v>1691</v>
      </c>
      <c r="Q15" s="1351" t="str">
        <f t="shared" si="6"/>
        <v>产业集聚程度</v>
      </c>
      <c r="R15" s="705" t="s">
        <v>14</v>
      </c>
      <c r="S15" s="706">
        <f t="shared" si="0"/>
        <v>100</v>
      </c>
      <c r="T15" s="705" t="s">
        <v>14</v>
      </c>
      <c r="U15" s="706">
        <f t="shared" si="1"/>
        <v>100</v>
      </c>
      <c r="V15" s="705" t="s">
        <v>14</v>
      </c>
      <c r="W15" s="706">
        <f t="shared" si="2"/>
        <v>100</v>
      </c>
      <c r="X15" s="1354"/>
      <c r="Y15" s="3723"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24"/>
      <c r="Q16" s="1351"/>
      <c r="R16" s="705"/>
      <c r="S16" s="706"/>
      <c r="T16" s="705"/>
      <c r="U16" s="706"/>
      <c r="V16" s="705"/>
      <c r="W16" s="706"/>
      <c r="X16" s="1354"/>
      <c r="Y16" s="3724"/>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4"/>
      <c r="Q17" s="1351" t="str">
        <f>B17</f>
        <v>交通便捷度</v>
      </c>
      <c r="R17" s="705" t="s">
        <v>14</v>
      </c>
      <c r="S17" s="706">
        <f>F17</f>
        <v>100</v>
      </c>
      <c r="T17" s="705" t="s">
        <v>14</v>
      </c>
      <c r="U17" s="706">
        <f>H17</f>
        <v>100</v>
      </c>
      <c r="V17" s="705" t="s">
        <v>14</v>
      </c>
      <c r="W17" s="706">
        <f>J17</f>
        <v>100</v>
      </c>
      <c r="X17" s="1354"/>
      <c r="Y17" s="372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24"/>
      <c r="Q18" s="1351"/>
      <c r="R18" s="705"/>
      <c r="S18" s="706"/>
      <c r="T18" s="705"/>
      <c r="U18" s="706"/>
      <c r="V18" s="705"/>
      <c r="W18" s="706"/>
      <c r="X18" s="1354"/>
      <c r="Y18" s="3724"/>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4"/>
      <c r="Q19" s="1351" t="str">
        <f t="shared" ref="Q19:Q33" si="8">B19</f>
        <v>区域土地利用方向</v>
      </c>
      <c r="R19" s="705" t="s">
        <v>14</v>
      </c>
      <c r="S19" s="706">
        <f>F19</f>
        <v>100</v>
      </c>
      <c r="T19" s="705" t="s">
        <v>14</v>
      </c>
      <c r="U19" s="706">
        <f>H19</f>
        <v>100</v>
      </c>
      <c r="V19" s="705" t="s">
        <v>14</v>
      </c>
      <c r="W19" s="706">
        <f>J19</f>
        <v>100</v>
      </c>
      <c r="X19" s="1354"/>
      <c r="Y19" s="372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24"/>
      <c r="Q20" s="1351"/>
      <c r="R20" s="705"/>
      <c r="S20" s="706"/>
      <c r="T20" s="705"/>
      <c r="U20" s="706"/>
      <c r="V20" s="705"/>
      <c r="W20" s="706"/>
      <c r="X20" s="1354"/>
      <c r="Y20" s="3724"/>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4"/>
      <c r="Q21" s="1351" t="str">
        <f t="shared" si="8"/>
        <v>环境状况</v>
      </c>
      <c r="R21" s="705" t="s">
        <v>14</v>
      </c>
      <c r="S21" s="706">
        <f>F21</f>
        <v>100</v>
      </c>
      <c r="T21" s="705" t="s">
        <v>14</v>
      </c>
      <c r="U21" s="706">
        <f>H21</f>
        <v>100</v>
      </c>
      <c r="V21" s="705" t="s">
        <v>14</v>
      </c>
      <c r="W21" s="706">
        <f>J21</f>
        <v>100</v>
      </c>
      <c r="X21" s="1354"/>
      <c r="Y21" s="372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24"/>
      <c r="Q22" s="1351"/>
      <c r="R22" s="705"/>
      <c r="S22" s="706"/>
      <c r="T22" s="705"/>
      <c r="U22" s="706"/>
      <c r="V22" s="705"/>
      <c r="W22" s="706"/>
      <c r="X22" s="1354"/>
      <c r="Y22" s="3724"/>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4"/>
      <c r="Q23" s="1342" t="str">
        <f t="shared" si="8"/>
        <v>公共配套设施</v>
      </c>
      <c r="R23" s="701" t="s">
        <v>14</v>
      </c>
      <c r="S23" s="702">
        <f>F23</f>
        <v>100</v>
      </c>
      <c r="T23" s="701" t="s">
        <v>14</v>
      </c>
      <c r="U23" s="702">
        <f>H23</f>
        <v>100</v>
      </c>
      <c r="V23" s="701" t="s">
        <v>14</v>
      </c>
      <c r="W23" s="702">
        <f>J23</f>
        <v>100</v>
      </c>
      <c r="X23" s="703"/>
      <c r="Y23" s="372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24"/>
      <c r="Q24" s="1342"/>
      <c r="R24" s="701"/>
      <c r="S24" s="702"/>
      <c r="T24" s="701"/>
      <c r="U24" s="702"/>
      <c r="V24" s="701"/>
      <c r="W24" s="702"/>
      <c r="X24" s="703"/>
      <c r="Y24" s="3724"/>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4"/>
      <c r="Q25" s="1342" t="str">
        <f t="shared" ref="Q25" si="9">B25</f>
        <v>基础设施水平</v>
      </c>
      <c r="R25" s="701" t="s">
        <v>14</v>
      </c>
      <c r="S25" s="702">
        <f>F25</f>
        <v>100</v>
      </c>
      <c r="T25" s="701" t="s">
        <v>14</v>
      </c>
      <c r="U25" s="702">
        <f>H25</f>
        <v>100</v>
      </c>
      <c r="V25" s="701" t="s">
        <v>14</v>
      </c>
      <c r="W25" s="702">
        <f>J25</f>
        <v>100</v>
      </c>
      <c r="X25" s="703"/>
      <c r="Y25" s="372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24"/>
      <c r="Q26" s="1342"/>
      <c r="R26" s="701"/>
      <c r="S26" s="702"/>
      <c r="T26" s="701"/>
      <c r="U26" s="702"/>
      <c r="V26" s="701"/>
      <c r="W26" s="702"/>
      <c r="X26" s="703"/>
      <c r="Y26" s="372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4"/>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4"/>
      <c r="Q28" s="1351" t="str">
        <f t="shared" si="8"/>
        <v>毗邻道路的类型与等级</v>
      </c>
      <c r="R28" s="705" t="s">
        <v>14</v>
      </c>
      <c r="S28" s="706">
        <f t="shared" si="10"/>
        <v>100</v>
      </c>
      <c r="T28" s="705" t="s">
        <v>14</v>
      </c>
      <c r="U28" s="706">
        <f t="shared" si="11"/>
        <v>100</v>
      </c>
      <c r="V28" s="705" t="s">
        <v>14</v>
      </c>
      <c r="W28" s="706">
        <f t="shared" si="12"/>
        <v>100</v>
      </c>
      <c r="X28" s="1354"/>
      <c r="Y28" s="372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24"/>
      <c r="Q29" s="1351"/>
      <c r="R29" s="705"/>
      <c r="S29" s="706"/>
      <c r="T29" s="705"/>
      <c r="U29" s="706"/>
      <c r="V29" s="705"/>
      <c r="W29" s="706"/>
      <c r="X29" s="1354"/>
      <c r="Y29" s="3724"/>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4"/>
      <c r="Q30" s="1351" t="str">
        <f t="shared" si="8"/>
        <v>土地级别</v>
      </c>
      <c r="R30" s="705" t="s">
        <v>14</v>
      </c>
      <c r="S30" s="706">
        <f t="shared" si="10"/>
        <v>100</v>
      </c>
      <c r="T30" s="705" t="s">
        <v>14</v>
      </c>
      <c r="U30" s="706">
        <f t="shared" si="11"/>
        <v>100</v>
      </c>
      <c r="V30" s="705" t="s">
        <v>14</v>
      </c>
      <c r="W30" s="706">
        <f t="shared" si="12"/>
        <v>100</v>
      </c>
      <c r="X30" s="1354"/>
      <c r="Y30" s="372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4"/>
      <c r="Q31" s="1351">
        <f t="shared" si="8"/>
        <v>111</v>
      </c>
      <c r="R31" s="705" t="s">
        <v>14</v>
      </c>
      <c r="S31" s="706">
        <f t="shared" si="10"/>
        <v>100</v>
      </c>
      <c r="T31" s="705" t="s">
        <v>14</v>
      </c>
      <c r="U31" s="706">
        <f t="shared" si="11"/>
        <v>100</v>
      </c>
      <c r="V31" s="705" t="s">
        <v>14</v>
      </c>
      <c r="W31" s="706">
        <f t="shared" si="12"/>
        <v>100</v>
      </c>
      <c r="X31" s="1354"/>
      <c r="Y31" s="372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5" t="s">
        <v>1696</v>
      </c>
      <c r="Q32" s="1351">
        <f t="shared" si="8"/>
        <v>111</v>
      </c>
      <c r="R32" s="705" t="s">
        <v>14</v>
      </c>
      <c r="S32" s="706">
        <f t="shared" si="10"/>
        <v>100</v>
      </c>
      <c r="T32" s="705" t="s">
        <v>14</v>
      </c>
      <c r="U32" s="706">
        <f t="shared" si="11"/>
        <v>100</v>
      </c>
      <c r="V32" s="705" t="s">
        <v>14</v>
      </c>
      <c r="W32" s="706">
        <f t="shared" si="12"/>
        <v>100</v>
      </c>
      <c r="X32" s="1354"/>
      <c r="Y32" s="372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6"/>
      <c r="Q33" s="1351">
        <f t="shared" si="8"/>
        <v>111</v>
      </c>
      <c r="R33" s="708" t="s">
        <v>14</v>
      </c>
      <c r="S33" s="709">
        <f t="shared" si="10"/>
        <v>100</v>
      </c>
      <c r="T33" s="708" t="s">
        <v>14</v>
      </c>
      <c r="U33" s="709">
        <f t="shared" si="11"/>
        <v>100</v>
      </c>
      <c r="V33" s="708" t="s">
        <v>14</v>
      </c>
      <c r="W33" s="709">
        <f t="shared" si="12"/>
        <v>100</v>
      </c>
      <c r="X33" s="710"/>
      <c r="Y33" s="372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6"/>
      <c r="Q34" s="1351" t="str">
        <f>B34</f>
        <v>宗地面积</v>
      </c>
      <c r="R34" s="705" t="s">
        <v>14</v>
      </c>
      <c r="S34" s="706" t="e">
        <f t="shared" si="10"/>
        <v>#N/A</v>
      </c>
      <c r="T34" s="705" t="s">
        <v>14</v>
      </c>
      <c r="U34" s="706" t="e">
        <f t="shared" si="11"/>
        <v>#N/A</v>
      </c>
      <c r="V34" s="705" t="s">
        <v>14</v>
      </c>
      <c r="W34" s="706" t="e">
        <f t="shared" si="12"/>
        <v>#N/A</v>
      </c>
      <c r="X34" s="1354"/>
      <c r="Y34" s="372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6"/>
      <c r="Q35" s="1351" t="str">
        <f t="shared" ref="Q35:Q40" si="14">B35</f>
        <v>宗地形状</v>
      </c>
      <c r="R35" s="705" t="s">
        <v>14</v>
      </c>
      <c r="S35" s="706">
        <f t="shared" si="10"/>
        <v>100</v>
      </c>
      <c r="T35" s="705" t="s">
        <v>14</v>
      </c>
      <c r="U35" s="706">
        <f t="shared" si="11"/>
        <v>100</v>
      </c>
      <c r="V35" s="705" t="s">
        <v>14</v>
      </c>
      <c r="W35" s="706">
        <f t="shared" si="12"/>
        <v>100</v>
      </c>
      <c r="X35" s="1354"/>
      <c r="Y35" s="372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6"/>
      <c r="Q36" s="1351" t="str">
        <f t="shared" si="14"/>
        <v>宗地开发程度</v>
      </c>
      <c r="R36" s="701" t="s">
        <v>14</v>
      </c>
      <c r="S36" s="702">
        <f t="shared" si="10"/>
        <v>100</v>
      </c>
      <c r="T36" s="701" t="s">
        <v>14</v>
      </c>
      <c r="U36" s="702">
        <f t="shared" si="11"/>
        <v>100</v>
      </c>
      <c r="V36" s="701" t="s">
        <v>14</v>
      </c>
      <c r="W36" s="702">
        <f t="shared" si="12"/>
        <v>100</v>
      </c>
      <c r="X36" s="703"/>
      <c r="Y36" s="372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6" t="s">
        <v>1696</v>
      </c>
      <c r="Q37" s="1351" t="str">
        <f t="shared" si="14"/>
        <v>工程地质条件</v>
      </c>
      <c r="R37" s="705" t="s">
        <v>14</v>
      </c>
      <c r="S37" s="706">
        <f t="shared" si="10"/>
        <v>100</v>
      </c>
      <c r="T37" s="705" t="s">
        <v>14</v>
      </c>
      <c r="U37" s="706">
        <f t="shared" si="11"/>
        <v>100</v>
      </c>
      <c r="V37" s="705" t="s">
        <v>14</v>
      </c>
      <c r="W37" s="706">
        <f t="shared" si="12"/>
        <v>100</v>
      </c>
      <c r="X37" s="1354"/>
      <c r="Y37" s="372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6"/>
      <c r="Q38" s="1351">
        <f t="shared" si="14"/>
        <v>111</v>
      </c>
      <c r="R38" s="705" t="s">
        <v>14</v>
      </c>
      <c r="S38" s="706">
        <f t="shared" si="10"/>
        <v>100</v>
      </c>
      <c r="T38" s="705" t="s">
        <v>14</v>
      </c>
      <c r="U38" s="706">
        <f t="shared" si="11"/>
        <v>100</v>
      </c>
      <c r="V38" s="705" t="s">
        <v>14</v>
      </c>
      <c r="W38" s="706">
        <f t="shared" si="12"/>
        <v>100</v>
      </c>
      <c r="X38" s="1354"/>
      <c r="Y38" s="372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6"/>
      <c r="Q39" s="1351">
        <f t="shared" si="14"/>
        <v>111</v>
      </c>
      <c r="R39" s="705" t="s">
        <v>14</v>
      </c>
      <c r="S39" s="706">
        <f t="shared" si="10"/>
        <v>100</v>
      </c>
      <c r="T39" s="705" t="s">
        <v>14</v>
      </c>
      <c r="U39" s="706">
        <f t="shared" si="11"/>
        <v>100</v>
      </c>
      <c r="V39" s="705" t="s">
        <v>14</v>
      </c>
      <c r="W39" s="706">
        <f t="shared" si="12"/>
        <v>100</v>
      </c>
      <c r="X39" s="1354"/>
      <c r="Y39" s="3726"/>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6"/>
      <c r="Q40" s="1351">
        <f t="shared" si="14"/>
        <v>111</v>
      </c>
      <c r="R40" s="708" t="s">
        <v>14</v>
      </c>
      <c r="S40" s="709">
        <f t="shared" si="10"/>
        <v>100</v>
      </c>
      <c r="T40" s="708" t="s">
        <v>14</v>
      </c>
      <c r="U40" s="709">
        <f t="shared" si="11"/>
        <v>100</v>
      </c>
      <c r="V40" s="708" t="s">
        <v>14</v>
      </c>
      <c r="W40" s="709">
        <f t="shared" si="12"/>
        <v>100</v>
      </c>
      <c r="X40" s="710"/>
      <c r="Y40" s="3726"/>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08" t="str">
        <f>A41</f>
        <v>成交单价</v>
      </c>
      <c r="Q41" s="3708"/>
      <c r="R41" s="3721">
        <f>E41</f>
        <v>0</v>
      </c>
      <c r="S41" s="3721"/>
      <c r="T41" s="3721">
        <f>G41</f>
        <v>0</v>
      </c>
      <c r="U41" s="3721"/>
      <c r="V41" s="3721">
        <f>I41</f>
        <v>0</v>
      </c>
      <c r="W41" s="3721"/>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08" t="str">
        <f>A42</f>
        <v>比较价值（元/平方米）</v>
      </c>
      <c r="Q42" s="3708"/>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8" t="str">
        <f>A43</f>
        <v>估价对象XX用房的比较价值（楼面单价，元/平方米）</v>
      </c>
      <c r="Q43" s="3729"/>
      <c r="R43" s="3730" t="e">
        <f>ROUND(IF(D42="简单平均",AVERAGE(R42:W42),R42*F42+T42*H42+V42*J42),0)</f>
        <v>#DIV/0!</v>
      </c>
      <c r="S43" s="3730"/>
      <c r="T43" s="3730"/>
      <c r="U43" s="3730"/>
      <c r="V43" s="3730"/>
      <c r="W43" s="373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9" t="s">
        <v>1887</v>
      </c>
      <c r="H50" s="373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32206.959999999999</v>
      </c>
      <c r="F51" s="639" t="e">
        <f t="shared" ref="F51:F60" si="15">ROUND(B51*E51/10000,0)</f>
        <v>#DIV/0!</v>
      </c>
      <c r="G51" s="3732"/>
      <c r="H51" s="370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7219.0300000000016</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6294.36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0" t="s">
        <v>2084</v>
      </c>
      <c r="D1" s="3791"/>
      <c r="E1" s="3791"/>
      <c r="F1" s="3791"/>
      <c r="G1" s="3791"/>
      <c r="H1" s="3791"/>
      <c r="I1" s="3791"/>
      <c r="J1" s="3791"/>
      <c r="K1" s="3791"/>
      <c r="L1" s="3791"/>
      <c r="M1" s="3791"/>
      <c r="N1" s="3791"/>
      <c r="O1" s="3791"/>
      <c r="P1" s="3791"/>
      <c r="Q1" s="3791"/>
      <c r="R1" s="3791"/>
      <c r="S1" s="379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7" t="s">
        <v>27</v>
      </c>
      <c r="D22" s="3788"/>
      <c r="E22" s="3788"/>
      <c r="F22" s="3788"/>
      <c r="G22" s="3788"/>
      <c r="H22" s="3788"/>
      <c r="I22" s="3788"/>
      <c r="J22" s="3788"/>
      <c r="K22" s="3788"/>
      <c r="L22" s="3788"/>
      <c r="M22" s="3788"/>
      <c r="N22" s="3788"/>
      <c r="O22" s="3788"/>
      <c r="P22" s="3788"/>
      <c r="Q22" s="378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12892</v>
      </c>
      <c r="C2" s="2144" t="s">
        <v>2074</v>
      </c>
      <c r="D2" s="2144" t="s">
        <v>2075</v>
      </c>
      <c r="E2" s="2611">
        <f ca="1">SUMIF(E6:E13,"&lt;&gt;#ref!",E6:E13)</f>
        <v>39425.99</v>
      </c>
      <c r="F2" s="2792"/>
      <c r="G2" s="2792"/>
      <c r="H2" s="2792"/>
      <c r="I2" s="2792"/>
      <c r="J2" s="2792"/>
      <c r="K2" s="2792"/>
      <c r="L2" s="2792"/>
      <c r="M2" s="2792"/>
      <c r="N2" s="2792"/>
      <c r="O2" s="2792"/>
      <c r="P2" s="2792"/>
    </row>
    <row r="3" spans="1:16" ht="15.75">
      <c r="A3" s="2144" t="s">
        <v>2076</v>
      </c>
      <c r="B3" s="2601">
        <f ca="1">ROUND(B2*10000/E2,0)</f>
        <v>3270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12892</v>
      </c>
      <c r="C6" s="2144" t="s">
        <v>2074</v>
      </c>
      <c r="D6" s="2792"/>
      <c r="E6" s="2611">
        <f ca="1">SUMIF(INDIRECT("'"&amp;A6&amp;"'"&amp;"!C:C"),"建筑面积",INDIRECT("'"&amp;A6&amp;"'"&amp;"!D:D"))</f>
        <v>39425.99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B10" zoomScaleNormal="80" zoomScaleSheetLayoutView="100" workbookViewId="0">
      <selection activeCell="E3" sqref="E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 ca="1">SUM(D33:D34,D37:D42)</f>
        <v>39425.99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 ca="1">C30</f>
        <v>12892</v>
      </c>
      <c r="C2" s="1998" t="s">
        <v>1935</v>
      </c>
      <c r="D2" s="1999" t="s">
        <v>1936</v>
      </c>
      <c r="E2" s="3421" t="s">
        <v>3449</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Ⅶ-门1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5810</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 ca="1">ROUND(B2*10000/D1,0)</f>
        <v>3270</v>
      </c>
      <c r="C3" s="1998" t="s">
        <v>1941</v>
      </c>
      <c r="D3" s="1999" t="s">
        <v>1942</v>
      </c>
      <c r="E3" s="3419" t="s">
        <v>2458</v>
      </c>
      <c r="F3" s="2003" t="s">
        <v>3447</v>
      </c>
      <c r="G3" s="752">
        <f>IF(F3="宗地容积率",'数据-汇总表'!I4,IF(F3="估价对象容积率",'数据-汇总表'!I6,'数据-汇总表'!I7))</f>
        <v>5.16</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4579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800"/>
      <c r="B4" s="3801"/>
      <c r="C4" s="3801"/>
      <c r="D4" s="3802"/>
      <c r="E4" s="3802"/>
      <c r="F4" s="3802"/>
      <c r="G4" s="3802"/>
      <c r="H4" s="3802"/>
      <c r="I4" s="3802"/>
      <c r="J4" s="3803"/>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3870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5450</v>
      </c>
      <c r="D5" s="1338">
        <f>ROUND(C6*C17+C20,0)</f>
        <v>5450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3414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5450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3280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5450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5.16</v>
      </c>
      <c r="AA7" s="1215"/>
      <c r="AB7" s="1215"/>
      <c r="AC7" s="1216"/>
      <c r="AD7" s="1217"/>
      <c r="AE7" s="1217"/>
      <c r="AF7" s="1217"/>
      <c r="AG7" s="1217"/>
      <c r="AH7" s="1217"/>
      <c r="AI7" s="1217"/>
      <c r="AJ7" s="1218"/>
    </row>
    <row r="8" spans="1:36" ht="25.5">
      <c r="A8" s="3298"/>
      <c r="B8" s="170" t="s">
        <v>1957</v>
      </c>
      <c r="C8" s="2025" t="s">
        <v>3448</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7" t="s">
        <v>1960</v>
      </c>
      <c r="X8" s="379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9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0.85</v>
      </c>
      <c r="F17" s="3321" t="s">
        <v>3250</v>
      </c>
      <c r="G17" s="3330">
        <f>ROUND(E19/G19,2)</f>
        <v>1</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f>项目基本情况!F15</f>
        <v>30.89</v>
      </c>
      <c r="F18" s="3323" t="s">
        <v>3251</v>
      </c>
      <c r="G18" s="3327">
        <f>ROUND(1-(1/(POWER(1+G24,E18))),4)</f>
        <v>0.77849999999999997</v>
      </c>
      <c r="H18" s="3323" t="s">
        <v>3253</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f>'数据-汇总表'!E6</f>
        <v>39707.96</v>
      </c>
      <c r="F19" s="3338" t="s">
        <v>3252</v>
      </c>
      <c r="G19" s="3337">
        <f>E19</f>
        <v>39707.96</v>
      </c>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4" t="s">
        <v>3254</v>
      </c>
      <c r="B20" s="167" t="s">
        <v>1994</v>
      </c>
      <c r="C20" s="3324">
        <f>ROUND(IF(F21="与级别开发程度一致",0,(G21-E21)/C21),0)</f>
        <v>0</v>
      </c>
      <c r="D20" s="3340" t="s">
        <v>1998</v>
      </c>
      <c r="E20" s="3341"/>
      <c r="F20" s="3810" t="s">
        <v>1995</v>
      </c>
      <c r="G20" s="3811"/>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05"/>
      <c r="B21" s="2163" t="s">
        <v>1997</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3450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1">
        <v>44197</v>
      </c>
      <c r="F23" s="2053" t="s">
        <v>2003</v>
      </c>
      <c r="G23" s="762">
        <f>'数据-取费表'!B2</f>
        <v>45741</v>
      </c>
      <c r="H23" s="3342" t="s">
        <v>3256</v>
      </c>
      <c r="I23" s="3343" t="str">
        <f>IF(H23="季度增幅（自定义）",SUMIF(N25:N28,E2,O25:O28),"")</f>
        <v/>
      </c>
      <c r="J23" s="3445" t="s">
        <v>3255</v>
      </c>
      <c r="K23" s="1125"/>
      <c r="L23" s="2054" t="s">
        <v>2004</v>
      </c>
      <c r="M23" s="1327">
        <f>ROUND(SUMIF(地价!B2:G2,E2,地价!B16:G16),0)</f>
        <v>0</v>
      </c>
      <c r="N23" s="2055" t="s">
        <v>2005</v>
      </c>
      <c r="O23" s="763">
        <f>ROUNDDOWN(DATEDIF(E23,G23,"M")/3,0)</f>
        <v>16</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0.8528</v>
      </c>
      <c r="D24" s="2059" t="s">
        <v>2007</v>
      </c>
      <c r="E24" s="1334">
        <f>存贷款利率!E27/100</f>
        <v>4.3499999999999997E-2</v>
      </c>
      <c r="F24" s="2059" t="s">
        <v>1999</v>
      </c>
      <c r="G24" s="768">
        <f>SUMIF(M30:Q30,E2,M33:Q33)</f>
        <v>0.05</v>
      </c>
      <c r="H24" s="2059" t="s">
        <v>2008</v>
      </c>
      <c r="I24" s="769">
        <f>SUMIF('数据-取费表'!C6:C15,E2,'数据-取费表'!F6:F15)/COUNTIF('数据-取费表'!C6:C15,E2)</f>
        <v>30.89</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0.84540000000000004</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0.84540000000000004</v>
      </c>
      <c r="E26" s="752">
        <f>ROUNDDOWN(G3,1)</f>
        <v>5.0999999999999996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0.84670000000000001</v>
      </c>
      <c r="G26" s="752">
        <f>ROUNDUP(G3,1)</f>
        <v>5.1999999999999993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1.0401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 ca="1">IF(B25="容积率修正",E33+SUM(E37:E42),SUM(V2:V16)+SUM(E37:E42))</f>
        <v>12892</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3270</v>
      </c>
      <c r="D33" s="2097">
        <f ca="1">'收益法-办公'!F7</f>
        <v>39425.99</v>
      </c>
      <c r="E33" s="773">
        <f ca="1">ROUND(C33*D33/10000,0)</f>
        <v>12892</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818</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8"/>
      <c r="B37" s="2112" t="s">
        <v>2036</v>
      </c>
      <c r="C37" s="175">
        <f>ROUND(D5*C22*C23*C24*C28*F37,0)</f>
        <v>2321</v>
      </c>
      <c r="D37" s="2097"/>
      <c r="E37" s="171">
        <f>ROUND(C37*D37/10000,0)</f>
        <v>0</v>
      </c>
      <c r="F37" s="171">
        <f>SUMIF(修正!A57:A68,G2,修正!B57:B68)</f>
        <v>0.6</v>
      </c>
      <c r="G37" s="171">
        <f>ROUND(IF(E2="工业",C37*$M$42,C37*$M$41),0)</f>
        <v>580</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9"/>
      <c r="B38" s="2040" t="s">
        <v>2037</v>
      </c>
      <c r="C38" s="175">
        <f>ROUND(D5*C22*C23*C24*C28*F38,0)</f>
        <v>1161</v>
      </c>
      <c r="D38" s="2097"/>
      <c r="E38" s="171">
        <f t="shared" ref="E38:E42" si="4">ROUND(C38*D38/10000,0)</f>
        <v>0</v>
      </c>
      <c r="F38" s="171">
        <f>SUMIF(修正!A57:A68,G2,修正!C57:C68)</f>
        <v>0.3</v>
      </c>
      <c r="G38" s="171">
        <f>ROUND(IF(E2="工业",C38*$M$42,C38*$M$41),0)</f>
        <v>290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9"/>
      <c r="B39" s="2040" t="s">
        <v>3259</v>
      </c>
      <c r="C39" s="175">
        <f>ROUND(D5*C22*C23*C24*C28*F39,0)</f>
        <v>967</v>
      </c>
      <c r="D39" s="2097"/>
      <c r="E39" s="171">
        <f t="shared" si="4"/>
        <v>0</v>
      </c>
      <c r="F39" s="171">
        <f>SUMIF(修正!A57:A68,G2,修正!D57:D68)</f>
        <v>0.25</v>
      </c>
      <c r="G39" s="171">
        <f>ROUND(IF(E2="工业",C39*$M$42,C39*$M$41),0)</f>
        <v>242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967</v>
      </c>
      <c r="D40" s="2097"/>
      <c r="E40" s="171">
        <f t="shared" si="4"/>
        <v>0</v>
      </c>
      <c r="F40" s="175">
        <f>SUMIF(修正!A57:A68,G2,修正!E57:E68)</f>
        <v>0.25</v>
      </c>
      <c r="G40" s="171">
        <f>ROUND(IF(E2="工业",C40*$M$42,C40*$M$41),0)</f>
        <v>242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967</v>
      </c>
      <c r="D41" s="2097"/>
      <c r="E41" s="171">
        <f t="shared" si="4"/>
        <v>0</v>
      </c>
      <c r="F41" s="175">
        <f>SUMIF(修正!A57:A68,G2,修正!F57:F68)</f>
        <v>0.25</v>
      </c>
      <c r="G41" s="171">
        <f>ROUND(IF(E2="工业",C41*$M$42,C41*$M$41),0)</f>
        <v>242</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580</v>
      </c>
      <c r="D42" s="2102"/>
      <c r="E42" s="187">
        <f t="shared" si="4"/>
        <v>0</v>
      </c>
      <c r="F42" s="767">
        <f>SUMIF(修正!A57:A68,G2,修正!G57:G68)</f>
        <v>0.15</v>
      </c>
      <c r="G42" s="187">
        <f>ROUND(IF(E2="工业",C42*$M$42,C42*$M$41),0)</f>
        <v>145</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0.8528</v>
      </c>
      <c r="D44" s="171" t="s">
        <v>1999</v>
      </c>
      <c r="E44" s="2152">
        <f>G24</f>
        <v>0.05</v>
      </c>
      <c r="F44" s="171" t="s">
        <v>2008</v>
      </c>
      <c r="G44" s="183">
        <f>项目基本情况!F15</f>
        <v>30.89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t="e">
        <f>1+E83</f>
        <v>#VALUE!</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t="s">
        <v>3454</v>
      </c>
      <c r="D83" s="1065" t="e">
        <f t="shared" ref="D83:D90" si="22">SUMIF($J$82:$N$82,C83,J83:N83)</f>
        <v>#VALUE!</v>
      </c>
      <c r="E83" s="744" t="e">
        <f>ROUND(SUM(D83:D90),4)</f>
        <v>#VALUE!</v>
      </c>
      <c r="F83" s="1813" t="str">
        <f>IF(E2="工业",SUMIF(L1:L12,G2,N1:N12),"——")</f>
        <v>——</v>
      </c>
      <c r="G83" s="1063" t="str">
        <f>H83</f>
        <v>——</v>
      </c>
      <c r="H83" s="1066" t="str">
        <f t="shared" ref="H83:H90" si="23">IFERROR(ROUNDDOWN($F$83*I83/2,4),"——")</f>
        <v>——</v>
      </c>
      <c r="I83" s="3366">
        <v>0.26</v>
      </c>
      <c r="J83" s="1064" t="e">
        <f t="shared" ref="J83:J90" si="24">K83+$G83</f>
        <v>#VALUE!</v>
      </c>
      <c r="K83" s="1064" t="e">
        <f t="shared" ref="K83:K90" si="25">$L83+$G83</f>
        <v>#VALUE!</v>
      </c>
      <c r="L83" s="1064">
        <v>0</v>
      </c>
      <c r="M83" s="1064" t="e">
        <f t="shared" ref="M83:N90" si="26">L83-$G83</f>
        <v>#VALUE!</v>
      </c>
      <c r="N83" s="1064" t="e">
        <f t="shared" si="26"/>
        <v>#VALUE!</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t="s">
        <v>3451</v>
      </c>
      <c r="D84" s="1065">
        <f t="shared" si="22"/>
        <v>0</v>
      </c>
      <c r="E84" s="747"/>
      <c r="F84" s="1813"/>
      <c r="G84" s="1063" t="str">
        <f t="shared" ref="G84:G90" si="27">H84</f>
        <v>——</v>
      </c>
      <c r="H84" s="1066" t="str">
        <f t="shared" si="23"/>
        <v>——</v>
      </c>
      <c r="I84" s="3366">
        <v>0.3</v>
      </c>
      <c r="J84" s="1064" t="e">
        <f t="shared" si="24"/>
        <v>#VALUE!</v>
      </c>
      <c r="K84" s="1064" t="e">
        <f t="shared" si="25"/>
        <v>#VALUE!</v>
      </c>
      <c r="L84" s="1064">
        <v>0</v>
      </c>
      <c r="M84" s="1064" t="e">
        <f t="shared" si="26"/>
        <v>#VALUE!</v>
      </c>
      <c r="N84" s="1064" t="e">
        <f t="shared" si="26"/>
        <v>#VALUE!</v>
      </c>
      <c r="Z84" s="1997"/>
      <c r="AA84" s="2052"/>
      <c r="AG84" s="1121"/>
      <c r="AK84" s="2052"/>
    </row>
    <row r="85" spans="1:37" ht="36">
      <c r="A85" s="3368" t="s">
        <v>3270</v>
      </c>
      <c r="B85" s="2133">
        <f>估价对象房地状况!G17</f>
        <v>0</v>
      </c>
      <c r="C85" s="2043" t="s">
        <v>3454</v>
      </c>
      <c r="D85" s="1065" t="e">
        <f t="shared" si="22"/>
        <v>#VALUE!</v>
      </c>
      <c r="E85" s="747"/>
      <c r="F85" s="1813"/>
      <c r="G85" s="1063" t="str">
        <f t="shared" si="27"/>
        <v>——</v>
      </c>
      <c r="H85" s="1066" t="str">
        <f t="shared" si="23"/>
        <v>——</v>
      </c>
      <c r="I85" s="3366">
        <v>0.1</v>
      </c>
      <c r="J85" s="1064" t="e">
        <f t="shared" si="24"/>
        <v>#VALUE!</v>
      </c>
      <c r="K85" s="1064" t="e">
        <f t="shared" si="25"/>
        <v>#VALUE!</v>
      </c>
      <c r="L85" s="1064">
        <v>0</v>
      </c>
      <c r="M85" s="1064" t="e">
        <f t="shared" si="26"/>
        <v>#VALUE!</v>
      </c>
      <c r="N85" s="1064" t="e">
        <f t="shared" si="26"/>
        <v>#VALUE!</v>
      </c>
      <c r="Z85" s="1997"/>
      <c r="AA85" s="2052"/>
      <c r="AG85" s="1121"/>
      <c r="AK85" s="2052"/>
    </row>
    <row r="86" spans="1:37" ht="14.25">
      <c r="A86" s="2129" t="s">
        <v>2067</v>
      </c>
      <c r="B86" s="2133">
        <f>估价对象房地状况!G22</f>
        <v>0</v>
      </c>
      <c r="C86" s="2043" t="s">
        <v>3452</v>
      </c>
      <c r="D86" s="1065" t="e">
        <f t="shared" si="22"/>
        <v>#VALUE!</v>
      </c>
      <c r="E86" s="747"/>
      <c r="F86" s="1813"/>
      <c r="G86" s="1063" t="str">
        <f t="shared" si="27"/>
        <v>——</v>
      </c>
      <c r="H86" s="1066" t="str">
        <f t="shared" si="23"/>
        <v>——</v>
      </c>
      <c r="I86" s="3366">
        <v>0.05</v>
      </c>
      <c r="J86" s="1064" t="e">
        <f t="shared" si="24"/>
        <v>#VALUE!</v>
      </c>
      <c r="K86" s="1064" t="e">
        <f t="shared" si="25"/>
        <v>#VALUE!</v>
      </c>
      <c r="L86" s="1064">
        <v>0</v>
      </c>
      <c r="M86" s="1064" t="e">
        <f t="shared" si="26"/>
        <v>#VALUE!</v>
      </c>
      <c r="N86" s="1064" t="e">
        <f t="shared" si="26"/>
        <v>#VALUE!</v>
      </c>
      <c r="Z86" s="1997"/>
      <c r="AA86" s="2052"/>
      <c r="AG86" s="1121"/>
      <c r="AK86" s="2052"/>
    </row>
    <row r="87" spans="1:37" ht="25.5">
      <c r="A87" s="2129" t="s">
        <v>2059</v>
      </c>
      <c r="B87" s="1325" t="str">
        <f>估价对象房地状况!G19</f>
        <v>估价对象所在区域公共配套设施齐备情况</v>
      </c>
      <c r="C87" s="2043" t="s">
        <v>3451</v>
      </c>
      <c r="D87" s="1065">
        <f t="shared" si="22"/>
        <v>0</v>
      </c>
      <c r="E87" s="747"/>
      <c r="F87" s="1813"/>
      <c r="G87" s="1063" t="str">
        <f t="shared" si="27"/>
        <v>——</v>
      </c>
      <c r="H87" s="1066" t="str">
        <f t="shared" si="23"/>
        <v>——</v>
      </c>
      <c r="I87" s="3366">
        <v>0.06</v>
      </c>
      <c r="J87" s="1064" t="e">
        <f t="shared" si="24"/>
        <v>#VALUE!</v>
      </c>
      <c r="K87" s="1064" t="e">
        <f t="shared" si="25"/>
        <v>#VALUE!</v>
      </c>
      <c r="L87" s="1064">
        <v>0</v>
      </c>
      <c r="M87" s="1064" t="e">
        <f t="shared" si="26"/>
        <v>#VALUE!</v>
      </c>
      <c r="N87" s="1064" t="e">
        <f t="shared" si="26"/>
        <v>#VALUE!</v>
      </c>
    </row>
    <row r="88" spans="1:37" ht="25.5">
      <c r="A88" s="2129" t="s">
        <v>2060</v>
      </c>
      <c r="B88" s="1325" t="str">
        <f>估价对象房地状况!G20</f>
        <v>估价对象所在区域基础设施水平</v>
      </c>
      <c r="C88" s="2043" t="s">
        <v>3453</v>
      </c>
      <c r="D88" s="1065" t="e">
        <f t="shared" si="22"/>
        <v>#VALUE!</v>
      </c>
      <c r="E88" s="747"/>
      <c r="F88" s="1813"/>
      <c r="G88" s="1063" t="str">
        <f t="shared" si="27"/>
        <v>——</v>
      </c>
      <c r="H88" s="1066" t="str">
        <f t="shared" si="23"/>
        <v>——</v>
      </c>
      <c r="I88" s="3366">
        <v>0.12</v>
      </c>
      <c r="J88" s="1064" t="e">
        <f t="shared" si="24"/>
        <v>#VALUE!</v>
      </c>
      <c r="K88" s="1064" t="e">
        <f t="shared" si="25"/>
        <v>#VALUE!</v>
      </c>
      <c r="L88" s="1064">
        <v>0</v>
      </c>
      <c r="M88" s="1064" t="e">
        <f t="shared" si="26"/>
        <v>#VALUE!</v>
      </c>
      <c r="N88" s="1064" t="e">
        <f t="shared" si="26"/>
        <v>#VALUE!</v>
      </c>
    </row>
    <row r="89" spans="1:37" ht="24">
      <c r="A89" s="2129" t="s">
        <v>2057</v>
      </c>
      <c r="B89" s="2135" t="s">
        <v>2071</v>
      </c>
      <c r="C89" s="2043" t="s">
        <v>3454</v>
      </c>
      <c r="D89" s="1065" t="e">
        <f t="shared" si="22"/>
        <v>#VALUE!</v>
      </c>
      <c r="E89" s="747"/>
      <c r="F89" s="1813"/>
      <c r="G89" s="1063" t="str">
        <f t="shared" si="27"/>
        <v>——</v>
      </c>
      <c r="H89" s="1066" t="str">
        <f t="shared" si="23"/>
        <v>——</v>
      </c>
      <c r="I89" s="3366">
        <v>0.06</v>
      </c>
      <c r="J89" s="1064" t="e">
        <f t="shared" si="24"/>
        <v>#VALUE!</v>
      </c>
      <c r="K89" s="1064" t="e">
        <f t="shared" si="25"/>
        <v>#VALUE!</v>
      </c>
      <c r="L89" s="1064">
        <v>0</v>
      </c>
      <c r="M89" s="1064" t="e">
        <f t="shared" si="26"/>
        <v>#VALUE!</v>
      </c>
      <c r="N89" s="1064" t="e">
        <f t="shared" si="26"/>
        <v>#VALUE!</v>
      </c>
    </row>
    <row r="90" spans="1:37" ht="39" thickBot="1">
      <c r="A90" s="2137" t="s">
        <v>2072</v>
      </c>
      <c r="B90" s="2142" t="str">
        <f>估价对象房地状况!G18</f>
        <v>该园区内是否有污染型企业，绿化情况，卫生条件，整体环境状况判断</v>
      </c>
      <c r="C90" s="2043" t="s">
        <v>3454</v>
      </c>
      <c r="D90" s="1065" t="e">
        <f t="shared" si="22"/>
        <v>#VALUE!</v>
      </c>
      <c r="E90" s="748"/>
      <c r="F90" s="1813"/>
      <c r="G90" s="1063" t="str">
        <f t="shared" si="27"/>
        <v>——</v>
      </c>
      <c r="H90" s="1066" t="str">
        <f t="shared" si="23"/>
        <v>——</v>
      </c>
      <c r="I90" s="3367">
        <v>0.05</v>
      </c>
      <c r="J90" s="1064" t="e">
        <f t="shared" si="24"/>
        <v>#VALUE!</v>
      </c>
      <c r="K90" s="1064" t="e">
        <f t="shared" si="25"/>
        <v>#VALUE!</v>
      </c>
      <c r="L90" s="1064">
        <v>0</v>
      </c>
      <c r="M90" s="1064" t="e">
        <f t="shared" si="26"/>
        <v>#VALUE!</v>
      </c>
      <c r="N90" s="1064" t="e">
        <f t="shared" si="26"/>
        <v>#VALUE!</v>
      </c>
    </row>
    <row r="91" spans="1:37" ht="15">
      <c r="A91" s="3376" t="s">
        <v>2612</v>
      </c>
      <c r="B91" s="3377">
        <f>1+E93</f>
        <v>1.0401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3454</v>
      </c>
      <c r="D93" s="3365">
        <f>SUMIF($J$92:$N$92,C93,J93:N93)</f>
        <v>1.6199999999999999E-2</v>
      </c>
      <c r="E93" s="3381">
        <f>ROUND(SUM(D93:D101),4)</f>
        <v>4.0099999999999997E-2</v>
      </c>
      <c r="F93" s="1813">
        <f>IF(E2="公共服务",SUMIF(L1:L12,G2,N1:N12),"——")</f>
        <v>0.13</v>
      </c>
      <c r="G93" s="3372">
        <f>H93</f>
        <v>1.6199999999999999E-2</v>
      </c>
      <c r="H93" s="3420">
        <f>IFERROR(ROUNDDOWN($F$93*I93/2,4),"——")</f>
        <v>1.6199999999999999E-2</v>
      </c>
      <c r="I93" s="3366">
        <v>0.25</v>
      </c>
      <c r="J93" s="3344">
        <f t="shared" ref="J93:J101" si="28">K93+$G93</f>
        <v>3.2399999999999998E-2</v>
      </c>
      <c r="K93" s="3344">
        <f t="shared" ref="K93:K101" si="29">$L93+$G93</f>
        <v>1.6199999999999999E-2</v>
      </c>
      <c r="L93" s="3344">
        <v>0</v>
      </c>
      <c r="M93" s="3344">
        <f t="shared" ref="M93:N101" si="30">L93-$G93</f>
        <v>-1.6199999999999999E-2</v>
      </c>
      <c r="N93" s="3344">
        <f t="shared" si="30"/>
        <v>-3.2399999999999998E-2</v>
      </c>
    </row>
    <row r="94" spans="1:37" ht="38.25">
      <c r="A94" s="3378" t="s">
        <v>3273</v>
      </c>
      <c r="B94" s="3369" t="str">
        <f>估价对象房地状况!C18</f>
        <v>估价对象周边道路状况、公共交通通达情况、停车便捷程度，综合评价交通便捷度较好</v>
      </c>
      <c r="C94" s="2043" t="s">
        <v>3451</v>
      </c>
      <c r="D94" s="3365">
        <f t="shared" ref="D94:D101" si="31">SUMIF($J$60:$N$60,C94,J94:N94)</f>
        <v>0</v>
      </c>
      <c r="E94" s="3382"/>
      <c r="F94" s="1813"/>
      <c r="G94" s="3372">
        <f t="shared" ref="G94:G101" si="32">H94</f>
        <v>1.6899999999999998E-2</v>
      </c>
      <c r="H94" s="3420">
        <f>IFERROR(ROUNDDOWN($F$93*I94/2,4),"——")</f>
        <v>1.6899999999999998E-2</v>
      </c>
      <c r="I94" s="3366">
        <v>0.26</v>
      </c>
      <c r="J94" s="3344">
        <f t="shared" si="28"/>
        <v>3.3799999999999997E-2</v>
      </c>
      <c r="K94" s="3344">
        <f t="shared" si="29"/>
        <v>1.6899999999999998E-2</v>
      </c>
      <c r="L94" s="3344">
        <v>0</v>
      </c>
      <c r="M94" s="3344">
        <f t="shared" si="30"/>
        <v>-1.6899999999999998E-2</v>
      </c>
      <c r="N94" s="3344">
        <f t="shared" si="30"/>
        <v>-3.3799999999999997E-2</v>
      </c>
    </row>
    <row r="95" spans="1:37" ht="36">
      <c r="A95" s="3368" t="s">
        <v>3269</v>
      </c>
      <c r="B95" s="3369">
        <f>估价对象房地状况!C19</f>
        <v>0</v>
      </c>
      <c r="C95" s="2043" t="s">
        <v>3454</v>
      </c>
      <c r="D95" s="3365">
        <f t="shared" si="31"/>
        <v>7.1000000000000004E-3</v>
      </c>
      <c r="E95" s="3382"/>
      <c r="F95" s="1813"/>
      <c r="G95" s="3372">
        <f t="shared" si="32"/>
        <v>7.1000000000000004E-3</v>
      </c>
      <c r="H95" s="3420">
        <f t="shared" ref="H95:H101" si="33">IFERROR(ROUNDDOWN($F$93*I95/2,4),"——")</f>
        <v>7.1000000000000004E-3</v>
      </c>
      <c r="I95" s="3366">
        <v>0.11</v>
      </c>
      <c r="J95" s="3344">
        <f t="shared" si="28"/>
        <v>1.4200000000000001E-2</v>
      </c>
      <c r="K95" s="3344">
        <f t="shared" si="29"/>
        <v>7.1000000000000004E-3</v>
      </c>
      <c r="L95" s="3344">
        <v>0</v>
      </c>
      <c r="M95" s="3344">
        <f t="shared" si="30"/>
        <v>-7.1000000000000004E-3</v>
      </c>
      <c r="N95" s="3344">
        <f t="shared" si="30"/>
        <v>-1.4200000000000001E-2</v>
      </c>
    </row>
    <row r="96" spans="1:37" ht="36.75">
      <c r="A96" s="3378" t="s">
        <v>3274</v>
      </c>
      <c r="B96" s="3384" t="s">
        <v>3285</v>
      </c>
      <c r="C96" s="2043" t="s">
        <v>3451</v>
      </c>
      <c r="D96" s="3365">
        <f t="shared" si="31"/>
        <v>0</v>
      </c>
      <c r="E96" s="3382"/>
      <c r="F96" s="1813"/>
      <c r="G96" s="3372">
        <f t="shared" si="32"/>
        <v>3.2000000000000002E-3</v>
      </c>
      <c r="H96" s="3420">
        <f t="shared" si="33"/>
        <v>3.2000000000000002E-3</v>
      </c>
      <c r="I96" s="3366">
        <v>0.05</v>
      </c>
      <c r="J96" s="3344">
        <f t="shared" si="28"/>
        <v>6.4000000000000003E-3</v>
      </c>
      <c r="K96" s="3344">
        <f t="shared" si="29"/>
        <v>3.2000000000000002E-3</v>
      </c>
      <c r="L96" s="3344">
        <v>0</v>
      </c>
      <c r="M96" s="3344">
        <f t="shared" si="30"/>
        <v>-3.2000000000000002E-3</v>
      </c>
      <c r="N96" s="3344">
        <f t="shared" si="30"/>
        <v>-6.4000000000000003E-3</v>
      </c>
    </row>
    <row r="97" spans="1:14" ht="24">
      <c r="A97" s="3378" t="s">
        <v>3275</v>
      </c>
      <c r="B97" s="3369">
        <f>估价对象房地状况!C24</f>
        <v>0</v>
      </c>
      <c r="C97" s="2043" t="s">
        <v>3452</v>
      </c>
      <c r="D97" s="3365">
        <f t="shared" si="31"/>
        <v>-3.2000000000000002E-3</v>
      </c>
      <c r="E97" s="3382"/>
      <c r="F97" s="1813"/>
      <c r="G97" s="3372">
        <f t="shared" si="32"/>
        <v>3.2000000000000002E-3</v>
      </c>
      <c r="H97" s="3420">
        <f t="shared" si="33"/>
        <v>3.2000000000000002E-3</v>
      </c>
      <c r="I97" s="3366">
        <v>0.05</v>
      </c>
      <c r="J97" s="3344">
        <f t="shared" si="28"/>
        <v>6.4000000000000003E-3</v>
      </c>
      <c r="K97" s="3344">
        <f t="shared" si="29"/>
        <v>3.2000000000000002E-3</v>
      </c>
      <c r="L97" s="3344">
        <v>0</v>
      </c>
      <c r="M97" s="3344">
        <f t="shared" si="30"/>
        <v>-3.2000000000000002E-3</v>
      </c>
      <c r="N97" s="3344">
        <f t="shared" si="30"/>
        <v>-6.4000000000000003E-3</v>
      </c>
    </row>
    <row r="98" spans="1:14" ht="24">
      <c r="A98" s="3378" t="s">
        <v>3276</v>
      </c>
      <c r="B98" s="3385" t="s">
        <v>3286</v>
      </c>
      <c r="C98" s="2043" t="s">
        <v>3454</v>
      </c>
      <c r="D98" s="3365">
        <f t="shared" si="31"/>
        <v>3.8999999999999998E-3</v>
      </c>
      <c r="E98" s="3382"/>
      <c r="F98" s="1813"/>
      <c r="G98" s="3372">
        <f t="shared" si="32"/>
        <v>3.8999999999999998E-3</v>
      </c>
      <c r="H98" s="3420">
        <f t="shared" si="33"/>
        <v>3.8999999999999998E-3</v>
      </c>
      <c r="I98" s="3366">
        <v>0.06</v>
      </c>
      <c r="J98" s="3344">
        <f t="shared" si="28"/>
        <v>7.7999999999999996E-3</v>
      </c>
      <c r="K98" s="3344">
        <f t="shared" si="29"/>
        <v>3.8999999999999998E-3</v>
      </c>
      <c r="L98" s="3344">
        <v>0</v>
      </c>
      <c r="M98" s="3344">
        <f t="shared" si="30"/>
        <v>-3.8999999999999998E-3</v>
      </c>
      <c r="N98" s="3344">
        <f t="shared" si="30"/>
        <v>-7.7999999999999996E-3</v>
      </c>
    </row>
    <row r="99" spans="1:14" ht="25.5">
      <c r="A99" s="3378" t="s">
        <v>3277</v>
      </c>
      <c r="B99" s="3369" t="str">
        <f>估价对象房地状况!C21</f>
        <v>估价对象所在区域公共配套设施齐备情况</v>
      </c>
      <c r="C99" s="2043" t="s">
        <v>3451</v>
      </c>
      <c r="D99" s="3365">
        <f t="shared" si="31"/>
        <v>0</v>
      </c>
      <c r="E99" s="3382"/>
      <c r="F99" s="1813"/>
      <c r="G99" s="3372">
        <f t="shared" si="32"/>
        <v>3.8999999999999998E-3</v>
      </c>
      <c r="H99" s="3420">
        <f t="shared" si="33"/>
        <v>3.8999999999999998E-3</v>
      </c>
      <c r="I99" s="3366">
        <v>0.06</v>
      </c>
      <c r="J99" s="3344">
        <f t="shared" si="28"/>
        <v>7.7999999999999996E-3</v>
      </c>
      <c r="K99" s="3344">
        <f t="shared" si="29"/>
        <v>3.8999999999999998E-3</v>
      </c>
      <c r="L99" s="3344">
        <v>0</v>
      </c>
      <c r="M99" s="3344">
        <f t="shared" si="30"/>
        <v>-3.8999999999999998E-3</v>
      </c>
      <c r="N99" s="3344">
        <f t="shared" si="30"/>
        <v>-7.7999999999999996E-3</v>
      </c>
    </row>
    <row r="100" spans="1:14" ht="25.5">
      <c r="A100" s="3378" t="s">
        <v>3278</v>
      </c>
      <c r="B100" s="3369" t="str">
        <f>估价对象房地状况!C22</f>
        <v>估价对象所在区域基础设施水平</v>
      </c>
      <c r="C100" s="2043" t="s">
        <v>3453</v>
      </c>
      <c r="D100" s="3365">
        <f t="shared" si="31"/>
        <v>1.1599999999999999E-2</v>
      </c>
      <c r="E100" s="3382"/>
      <c r="F100" s="1813"/>
      <c r="G100" s="3372">
        <f t="shared" si="32"/>
        <v>5.7999999999999996E-3</v>
      </c>
      <c r="H100" s="3420">
        <f t="shared" si="33"/>
        <v>5.7999999999999996E-3</v>
      </c>
      <c r="I100" s="3366">
        <v>0.09</v>
      </c>
      <c r="J100" s="3344">
        <f t="shared" si="28"/>
        <v>1.1599999999999999E-2</v>
      </c>
      <c r="K100" s="3344">
        <f t="shared" si="29"/>
        <v>5.7999999999999996E-3</v>
      </c>
      <c r="L100" s="3344">
        <v>0</v>
      </c>
      <c r="M100" s="3344">
        <f t="shared" si="30"/>
        <v>-5.7999999999999996E-3</v>
      </c>
      <c r="N100" s="3344">
        <f t="shared" si="30"/>
        <v>-1.1599999999999999E-2</v>
      </c>
    </row>
    <row r="101" spans="1:14" ht="26.25" thickBot="1">
      <c r="A101" s="3379" t="s">
        <v>3279</v>
      </c>
      <c r="B101" s="3386" t="str">
        <f>估价对象房地状况!C20</f>
        <v>区域自然环境：；人文环境；综合评价环境状况一般</v>
      </c>
      <c r="C101" s="2043" t="s">
        <v>3454</v>
      </c>
      <c r="D101" s="3365">
        <f t="shared" si="31"/>
        <v>4.4999999999999997E-3</v>
      </c>
      <c r="E101" s="3383"/>
      <c r="F101" s="1813"/>
      <c r="G101" s="3372">
        <f t="shared" si="32"/>
        <v>4.4999999999999997E-3</v>
      </c>
      <c r="H101" s="3420">
        <f t="shared" si="33"/>
        <v>4.4999999999999997E-3</v>
      </c>
      <c r="I101" s="3367">
        <v>7.0000000000000007E-2</v>
      </c>
      <c r="J101" s="3344">
        <f t="shared" si="28"/>
        <v>8.9999999999999993E-3</v>
      </c>
      <c r="K101" s="3344">
        <f t="shared" si="29"/>
        <v>4.4999999999999997E-3</v>
      </c>
      <c r="L101" s="3344">
        <v>0</v>
      </c>
      <c r="M101" s="3344">
        <f t="shared" si="30"/>
        <v>-4.4999999999999997E-3</v>
      </c>
      <c r="N101" s="3344">
        <f t="shared" si="30"/>
        <v>-8.9999999999999993E-3</v>
      </c>
    </row>
    <row r="103" spans="1:14">
      <c r="A103" s="3806" t="s">
        <v>3294</v>
      </c>
      <c r="B103" s="3806"/>
      <c r="C103" s="3806"/>
      <c r="D103" s="3806"/>
      <c r="E103" s="3806"/>
      <c r="F103" s="3806"/>
      <c r="G103" s="3806"/>
      <c r="H103" s="3806"/>
      <c r="I103" s="3806"/>
      <c r="J103" s="3806"/>
      <c r="K103" s="3389"/>
      <c r="L103" s="3389"/>
      <c r="M103" s="3389"/>
      <c r="N103" s="3389"/>
    </row>
    <row r="104" spans="1:14">
      <c r="A104" s="3807" t="s">
        <v>3295</v>
      </c>
      <c r="B104" s="3807" t="s">
        <v>3296</v>
      </c>
      <c r="C104" s="3390" t="s">
        <v>3297</v>
      </c>
      <c r="D104" s="3391"/>
      <c r="E104" s="3391"/>
      <c r="F104" s="3391"/>
      <c r="G104" s="3391"/>
      <c r="H104" s="3391"/>
      <c r="I104" s="3391"/>
      <c r="J104" s="3392"/>
      <c r="K104" s="3393"/>
      <c r="L104" s="3393"/>
      <c r="M104" s="3393"/>
      <c r="N104" s="3393"/>
    </row>
    <row r="105" spans="1:14">
      <c r="A105" s="3807"/>
      <c r="B105" s="380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9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4"/>
      <c r="B111" s="3394" t="s">
        <v>3268</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95"/>
      <c r="B112" s="3394">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96" t="s">
        <v>3311</v>
      </c>
      <c r="B113" s="3796"/>
      <c r="C113" s="3796"/>
      <c r="D113" s="3796"/>
      <c r="E113" s="3796"/>
      <c r="F113" s="3796"/>
      <c r="G113" s="3796"/>
      <c r="H113" s="3796"/>
      <c r="I113" s="3796"/>
      <c r="J113" s="379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5.16</v>
      </c>
      <c r="C116" s="3399" t="s">
        <v>3313</v>
      </c>
      <c r="D116" s="3400">
        <f>SUMPRODUCT((A118:A122=F116)*(B117:M117=H116)*B118:M122)</f>
        <v>0.82579999999999998</v>
      </c>
      <c r="E116" s="1999" t="s">
        <v>3314</v>
      </c>
      <c r="F116" s="3401" t="str">
        <f>E2</f>
        <v>公共服务</v>
      </c>
      <c r="G116" s="1999" t="s">
        <v>3315</v>
      </c>
      <c r="H116" s="3401" t="str">
        <f>G2</f>
        <v>七级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0.94</v>
      </c>
      <c r="C118" s="3387">
        <f>B118</f>
        <v>0.94</v>
      </c>
      <c r="D118" s="3387">
        <f>ROUND(0.949-0.014*B116,4)</f>
        <v>0.87680000000000002</v>
      </c>
      <c r="E118" s="3387">
        <f>D118</f>
        <v>0.87680000000000002</v>
      </c>
      <c r="F118" s="3387">
        <f>E118</f>
        <v>0.87680000000000002</v>
      </c>
      <c r="G118" s="3387">
        <f>F118</f>
        <v>0.87680000000000002</v>
      </c>
      <c r="H118" s="3387">
        <f>G118</f>
        <v>0.87680000000000002</v>
      </c>
      <c r="I118" s="3387">
        <f>ROUND(0.8486-0.018*B116,4)</f>
        <v>0.75570000000000004</v>
      </c>
      <c r="J118" s="3387">
        <f t="shared" ref="J118:M122" si="37">I118</f>
        <v>0.75570000000000004</v>
      </c>
      <c r="K118" s="3387">
        <f t="shared" si="37"/>
        <v>0.75570000000000004</v>
      </c>
      <c r="L118" s="3387">
        <f t="shared" si="37"/>
        <v>0.75570000000000004</v>
      </c>
      <c r="M118" s="3410">
        <f t="shared" si="37"/>
        <v>0.75570000000000004</v>
      </c>
      <c r="N118" s="3397"/>
    </row>
    <row r="119" spans="1:14">
      <c r="A119" s="3409" t="s">
        <v>3329</v>
      </c>
      <c r="B119" s="3387">
        <f>ROUND(0.993-0.0112*B116,4)</f>
        <v>0.93520000000000003</v>
      </c>
      <c r="C119" s="3387">
        <f>B119</f>
        <v>0.93520000000000003</v>
      </c>
      <c r="D119" s="3387">
        <f>ROUND(0.9415-0.0142*B116,4)</f>
        <v>0.86819999999999997</v>
      </c>
      <c r="E119" s="3387">
        <f t="shared" ref="E119:H120" si="38">D119</f>
        <v>0.86819999999999997</v>
      </c>
      <c r="F119" s="3387">
        <f t="shared" si="38"/>
        <v>0.86819999999999997</v>
      </c>
      <c r="G119" s="3387">
        <f t="shared" si="38"/>
        <v>0.86819999999999997</v>
      </c>
      <c r="H119" s="3387">
        <f t="shared" si="38"/>
        <v>0.86819999999999997</v>
      </c>
      <c r="I119" s="3387">
        <f>ROUND(0.838-0.0182*B116,4)</f>
        <v>0.74409999999999998</v>
      </c>
      <c r="J119" s="3387">
        <f t="shared" si="37"/>
        <v>0.74409999999999998</v>
      </c>
      <c r="K119" s="3387">
        <f t="shared" si="37"/>
        <v>0.74409999999999998</v>
      </c>
      <c r="L119" s="3387">
        <f t="shared" si="37"/>
        <v>0.74409999999999998</v>
      </c>
      <c r="M119" s="3410">
        <f t="shared" si="37"/>
        <v>0.74409999999999998</v>
      </c>
      <c r="N119" s="3397"/>
    </row>
    <row r="120" spans="1:14">
      <c r="A120" s="3409" t="s">
        <v>3330</v>
      </c>
      <c r="B120" s="3387">
        <f>ROUND(0.9448-0.0115*B116,4)</f>
        <v>0.88549999999999995</v>
      </c>
      <c r="C120" s="3387">
        <f>B120</f>
        <v>0.88549999999999995</v>
      </c>
      <c r="D120" s="3387">
        <f>ROUND(0.937-0.0145*B116,4)</f>
        <v>0.86219999999999997</v>
      </c>
      <c r="E120" s="3387">
        <f t="shared" si="38"/>
        <v>0.86219999999999997</v>
      </c>
      <c r="F120" s="3387">
        <f t="shared" si="38"/>
        <v>0.86219999999999997</v>
      </c>
      <c r="G120" s="3387">
        <f t="shared" si="38"/>
        <v>0.86219999999999997</v>
      </c>
      <c r="H120" s="3387">
        <f t="shared" si="38"/>
        <v>0.86219999999999997</v>
      </c>
      <c r="I120" s="3387">
        <f>ROUND(0.7965-0.0185*B116,4)</f>
        <v>0.70099999999999996</v>
      </c>
      <c r="J120" s="3387">
        <f t="shared" si="37"/>
        <v>0.70099999999999996</v>
      </c>
      <c r="K120" s="3387">
        <f t="shared" si="37"/>
        <v>0.70099999999999996</v>
      </c>
      <c r="L120" s="3387">
        <f t="shared" si="37"/>
        <v>0.70099999999999996</v>
      </c>
      <c r="M120" s="3410">
        <f t="shared" si="37"/>
        <v>0.70099999999999996</v>
      </c>
      <c r="N120" s="3397"/>
    </row>
    <row r="121" spans="1:14" ht="13.5" thickBot="1">
      <c r="A121" s="3411" t="s">
        <v>3331</v>
      </c>
      <c r="B121" s="3412">
        <f>ROUND(0.7836-0.012*B116,4)</f>
        <v>0.72170000000000001</v>
      </c>
      <c r="C121" s="3412">
        <f>B121</f>
        <v>0.72170000000000001</v>
      </c>
      <c r="D121" s="3412">
        <f>ROUND(0.753-0.015*B116,4)</f>
        <v>0.67559999999999998</v>
      </c>
      <c r="E121" s="3412">
        <f>D121</f>
        <v>0.67559999999999998</v>
      </c>
      <c r="F121" s="3412">
        <f>E121</f>
        <v>0.67559999999999998</v>
      </c>
      <c r="G121" s="3412">
        <f>ROUND(0.6612-0.018*B116,4)</f>
        <v>0.56830000000000003</v>
      </c>
      <c r="H121" s="3412">
        <f>G121</f>
        <v>0.56830000000000003</v>
      </c>
      <c r="I121" s="3412">
        <f>ROUND(0.5905-0.019*B116,4)</f>
        <v>0.49249999999999999</v>
      </c>
      <c r="J121" s="3412">
        <f t="shared" si="37"/>
        <v>0.49249999999999999</v>
      </c>
      <c r="K121" s="3412">
        <f t="shared" si="37"/>
        <v>0.49249999999999999</v>
      </c>
      <c r="L121" s="3412">
        <f t="shared" si="37"/>
        <v>0.49249999999999999</v>
      </c>
      <c r="M121" s="3413">
        <f t="shared" si="37"/>
        <v>0.49249999999999999</v>
      </c>
      <c r="N121" s="3397"/>
    </row>
    <row r="122" spans="1:14">
      <c r="A122" s="3414" t="s">
        <v>2612</v>
      </c>
      <c r="B122" s="3387">
        <f>ROUND(0.9404-0.0106*B116,4)</f>
        <v>0.88570000000000004</v>
      </c>
      <c r="C122" s="3387">
        <f>B122</f>
        <v>0.88570000000000004</v>
      </c>
      <c r="D122" s="3387">
        <f>ROUND(0.8955-0.0135*B116,4)</f>
        <v>0.82579999999999998</v>
      </c>
      <c r="E122" s="3387">
        <f t="shared" ref="E122:H122" si="39">D122</f>
        <v>0.82579999999999998</v>
      </c>
      <c r="F122" s="3387">
        <f t="shared" si="39"/>
        <v>0.82579999999999998</v>
      </c>
      <c r="G122" s="3387">
        <f t="shared" si="39"/>
        <v>0.82579999999999998</v>
      </c>
      <c r="H122" s="3387">
        <f t="shared" si="39"/>
        <v>0.82579999999999998</v>
      </c>
      <c r="I122" s="3387">
        <f>ROUND(0.7632-0.0166*B116,4)</f>
        <v>0.67749999999999999</v>
      </c>
      <c r="J122" s="3387">
        <f t="shared" si="37"/>
        <v>0.67749999999999999</v>
      </c>
      <c r="K122" s="3387">
        <f t="shared" si="37"/>
        <v>0.67749999999999999</v>
      </c>
      <c r="L122" s="3387">
        <f t="shared" si="37"/>
        <v>0.67749999999999999</v>
      </c>
      <c r="M122" s="3410">
        <f t="shared" si="37"/>
        <v>0.67749999999999999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492"/>
      <c r="B4" s="3505" t="s">
        <v>917</v>
      </c>
      <c r="C4" s="3505"/>
      <c r="D4" s="3505"/>
      <c r="E4" s="1492"/>
    </row>
    <row r="5" spans="1:5" ht="16.5" thickTop="1">
      <c r="A5" s="1490"/>
      <c r="B5" s="3503" t="s">
        <v>909</v>
      </c>
      <c r="C5" s="1493" t="s">
        <v>910</v>
      </c>
      <c r="D5" s="850">
        <f ca="1">结果表!H101</f>
        <v>60424</v>
      </c>
      <c r="E5" s="1490"/>
    </row>
    <row r="6" spans="1:5" ht="15.75">
      <c r="A6" s="1490"/>
      <c r="B6" s="3503"/>
      <c r="C6" s="1493" t="s">
        <v>911</v>
      </c>
      <c r="D6" s="850" t="str">
        <f ca="1">NUMBERSTRING(INT(D5*10000),2)&amp;"元整"</f>
        <v>陆亿零肆佰贰拾肆万元整</v>
      </c>
      <c r="E6" s="1490"/>
    </row>
    <row r="7" spans="1:5" ht="15.75">
      <c r="A7" s="1490"/>
      <c r="B7" s="3508"/>
      <c r="C7" s="1494" t="s">
        <v>912</v>
      </c>
      <c r="D7" s="851">
        <f ca="1">结果表!H102</f>
        <v>15217</v>
      </c>
      <c r="E7" s="1490"/>
    </row>
    <row r="8" spans="1:5" ht="15.75">
      <c r="A8" s="1490"/>
      <c r="B8" s="3509" t="str">
        <f>结果表!E103</f>
        <v>2.估价师知悉的法定优先受偿款</v>
      </c>
      <c r="C8" s="1495" t="s">
        <v>913</v>
      </c>
      <c r="D8" s="851">
        <f>结果表!H103</f>
        <v>0</v>
      </c>
      <c r="E8" s="1490"/>
    </row>
    <row r="9" spans="1:5" ht="15.75">
      <c r="A9" s="1490"/>
      <c r="B9" s="351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2" t="str">
        <f>结果表!E107</f>
        <v>3.房地产抵押价值</v>
      </c>
      <c r="C13" s="1498" t="s">
        <v>910</v>
      </c>
      <c r="D13" s="853">
        <f ca="1">结果表!H107</f>
        <v>60424</v>
      </c>
      <c r="E13" s="1490"/>
    </row>
    <row r="14" spans="1:5" ht="15.75">
      <c r="A14" s="1490"/>
      <c r="B14" s="3503"/>
      <c r="C14" s="1493" t="s">
        <v>911</v>
      </c>
      <c r="D14" s="850" t="str">
        <f ca="1">NUMBERSTRING(INT(D13*10000),2)&amp;"元整"</f>
        <v>陆亿零肆佰贰拾肆万元整</v>
      </c>
      <c r="E14" s="1490"/>
    </row>
    <row r="15" spans="1:5" ht="15">
      <c r="A15" s="1490"/>
      <c r="B15" s="3508"/>
      <c r="C15" s="1494" t="s">
        <v>921</v>
      </c>
      <c r="D15" s="859">
        <f ca="1">结果表!H108</f>
        <v>15217</v>
      </c>
      <c r="E15" s="1490"/>
    </row>
    <row r="16" spans="1:5" ht="15">
      <c r="A16" s="1490"/>
      <c r="B16" s="3509" t="str">
        <f>结果表!E109</f>
        <v>——</v>
      </c>
      <c r="C16" s="1498" t="s">
        <v>922</v>
      </c>
      <c r="D16" s="1499" t="str">
        <f>结果表!H109</f>
        <v>——</v>
      </c>
      <c r="E16" s="1490"/>
    </row>
    <row r="17" spans="1:5" ht="15.75">
      <c r="A17" s="1490"/>
      <c r="B17" s="3510"/>
      <c r="C17" s="1493" t="s">
        <v>923</v>
      </c>
      <c r="D17" s="850" t="e">
        <f>NUMBERSTRING(INT(D16*10000),2)&amp;"元整"</f>
        <v>#VALUE!</v>
      </c>
      <c r="E17" s="1490"/>
    </row>
    <row r="18" spans="1:5" ht="15">
      <c r="A18" s="1490"/>
      <c r="B18" s="3511"/>
      <c r="C18" s="1494" t="s">
        <v>912</v>
      </c>
      <c r="D18" s="859" t="str">
        <f>结果表!H110</f>
        <v>——</v>
      </c>
      <c r="E18" s="1490"/>
    </row>
    <row r="19" spans="1:5" ht="15.75">
      <c r="A19" s="1490"/>
      <c r="B19" s="3502" t="str">
        <f>结果表!E111</f>
        <v>——</v>
      </c>
      <c r="C19" s="1498" t="s">
        <v>910</v>
      </c>
      <c r="D19" s="851" t="str">
        <f>结果表!H111</f>
        <v>——</v>
      </c>
      <c r="E19" s="1490"/>
    </row>
    <row r="20" spans="1:5" ht="15.75">
      <c r="A20" s="1490"/>
      <c r="B20" s="3503"/>
      <c r="C20" s="1493" t="s">
        <v>923</v>
      </c>
      <c r="D20" s="850" t="e">
        <f>NUMBERSTRING(INT(D19*10000),2)&amp;"元整"</f>
        <v>#VALUE!</v>
      </c>
      <c r="E20" s="1490"/>
    </row>
    <row r="21" spans="1:5" ht="15.75" thickBot="1">
      <c r="A21" s="1490"/>
      <c r="B21" s="350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9" t="s">
        <v>2607</v>
      </c>
      <c r="B20" s="3812" t="s">
        <v>2628</v>
      </c>
      <c r="C20" s="3102" t="s">
        <v>2439</v>
      </c>
      <c r="D20" s="3103"/>
      <c r="E20" s="3104">
        <v>1</v>
      </c>
      <c r="F20" s="3105" t="s">
        <v>2440</v>
      </c>
      <c r="G20" s="3105"/>
    </row>
    <row r="21" spans="1:13" ht="19.5" customHeight="1">
      <c r="A21" s="3820"/>
      <c r="B21" s="3813"/>
      <c r="C21" s="3106" t="s">
        <v>2441</v>
      </c>
      <c r="D21" s="3107"/>
      <c r="E21" s="3108">
        <v>1</v>
      </c>
      <c r="F21" s="3105" t="s">
        <v>2442</v>
      </c>
      <c r="G21" s="3105"/>
    </row>
    <row r="22" spans="1:13" ht="19.5" customHeight="1">
      <c r="A22" s="3820"/>
      <c r="B22" s="3813"/>
      <c r="C22" s="3106" t="s">
        <v>2443</v>
      </c>
      <c r="D22" s="3107"/>
      <c r="E22" s="3108">
        <v>0.9</v>
      </c>
      <c r="F22" s="3105" t="s">
        <v>2444</v>
      </c>
      <c r="G22" s="3105"/>
    </row>
    <row r="23" spans="1:13" ht="19.5" customHeight="1">
      <c r="A23" s="3820"/>
      <c r="B23" s="3813"/>
      <c r="C23" s="3106" t="s">
        <v>2445</v>
      </c>
      <c r="D23" s="3107"/>
      <c r="E23" s="3108">
        <v>0.9</v>
      </c>
      <c r="F23" s="3105" t="s">
        <v>2446</v>
      </c>
      <c r="G23" s="3105"/>
    </row>
    <row r="24" spans="1:13" ht="19.5" customHeight="1">
      <c r="A24" s="3820"/>
      <c r="B24" s="3813"/>
      <c r="C24" s="3106" t="s">
        <v>2447</v>
      </c>
      <c r="D24" s="3107"/>
      <c r="E24" s="3108">
        <v>0.8</v>
      </c>
      <c r="F24" s="3105" t="s">
        <v>2448</v>
      </c>
      <c r="G24" s="3105"/>
    </row>
    <row r="25" spans="1:13" ht="19.5" customHeight="1" thickBot="1">
      <c r="A25" s="3821"/>
      <c r="B25" s="3814"/>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815" t="s">
        <v>2631</v>
      </c>
      <c r="B27" s="3812" t="s">
        <v>2612</v>
      </c>
      <c r="C27" s="3102" t="s">
        <v>2452</v>
      </c>
      <c r="D27" s="3103"/>
      <c r="E27" s="3104">
        <v>1</v>
      </c>
      <c r="F27" s="3105" t="s">
        <v>2453</v>
      </c>
      <c r="G27" s="3105"/>
    </row>
    <row r="28" spans="1:13" ht="19.5" customHeight="1">
      <c r="A28" s="3816"/>
      <c r="B28" s="3813"/>
      <c r="C28" s="3106" t="s">
        <v>2454</v>
      </c>
      <c r="D28" s="3107"/>
      <c r="E28" s="3108">
        <v>1</v>
      </c>
      <c r="F28" s="3105" t="s">
        <v>2455</v>
      </c>
      <c r="G28" s="3105"/>
    </row>
    <row r="29" spans="1:13" ht="19.5" customHeight="1">
      <c r="A29" s="3816"/>
      <c r="B29" s="3813"/>
      <c r="C29" s="3106" t="s">
        <v>2456</v>
      </c>
      <c r="D29" s="3107"/>
      <c r="E29" s="3108">
        <v>0.8</v>
      </c>
      <c r="F29" s="3105" t="s">
        <v>2457</v>
      </c>
      <c r="G29" s="3105"/>
    </row>
    <row r="30" spans="1:13" ht="19.5" customHeight="1">
      <c r="A30" s="3816"/>
      <c r="B30" s="3813"/>
      <c r="C30" s="3106" t="s">
        <v>2458</v>
      </c>
      <c r="D30" s="3107"/>
      <c r="E30" s="3108">
        <v>0.8</v>
      </c>
      <c r="F30" s="3105" t="s">
        <v>2459</v>
      </c>
      <c r="G30" s="3105"/>
    </row>
    <row r="31" spans="1:13" ht="19.5" customHeight="1">
      <c r="A31" s="3816"/>
      <c r="B31" s="3813"/>
      <c r="C31" s="3106" t="s">
        <v>2460</v>
      </c>
      <c r="D31" s="3107"/>
      <c r="E31" s="3108">
        <v>0.8</v>
      </c>
      <c r="F31" s="3105" t="s">
        <v>2461</v>
      </c>
      <c r="G31" s="3105"/>
    </row>
    <row r="32" spans="1:13" ht="19.5" customHeight="1">
      <c r="A32" s="3816"/>
      <c r="B32" s="3813"/>
      <c r="C32" s="3106" t="s">
        <v>2462</v>
      </c>
      <c r="D32" s="3107"/>
      <c r="E32" s="3108">
        <v>0.7</v>
      </c>
      <c r="F32" s="3105" t="s">
        <v>2463</v>
      </c>
      <c r="G32" s="3105"/>
    </row>
    <row r="33" spans="1:7" ht="19.5" customHeight="1">
      <c r="A33" s="3816"/>
      <c r="B33" s="3813"/>
      <c r="C33" s="3106" t="s">
        <v>2464</v>
      </c>
      <c r="D33" s="3107"/>
      <c r="E33" s="3108">
        <v>0.8</v>
      </c>
      <c r="F33" s="3105" t="s">
        <v>2465</v>
      </c>
      <c r="G33" s="3105"/>
    </row>
    <row r="34" spans="1:7" ht="19.5" customHeight="1">
      <c r="A34" s="3816"/>
      <c r="B34" s="3813"/>
      <c r="C34" s="3106" t="s">
        <v>2466</v>
      </c>
      <c r="D34" s="3107"/>
      <c r="E34" s="3108">
        <v>0.6</v>
      </c>
      <c r="F34" s="3105" t="s">
        <v>2467</v>
      </c>
      <c r="G34" s="3105"/>
    </row>
    <row r="35" spans="1:7" ht="19.5" customHeight="1">
      <c r="A35" s="3816"/>
      <c r="B35" s="3813"/>
      <c r="C35" s="3106" t="s">
        <v>2468</v>
      </c>
      <c r="D35" s="3107"/>
      <c r="E35" s="3108">
        <v>0.2</v>
      </c>
      <c r="F35" s="3105" t="s">
        <v>2469</v>
      </c>
      <c r="G35" s="3105"/>
    </row>
    <row r="36" spans="1:7" ht="19.5" customHeight="1">
      <c r="A36" s="3816"/>
      <c r="B36" s="3813"/>
      <c r="C36" s="3106" t="s">
        <v>2470</v>
      </c>
      <c r="D36" s="3107"/>
      <c r="E36" s="3108">
        <v>0.2</v>
      </c>
      <c r="F36" s="3105" t="s">
        <v>2471</v>
      </c>
      <c r="G36" s="3105"/>
    </row>
    <row r="37" spans="1:7" ht="19.5" customHeight="1">
      <c r="A37" s="3816"/>
      <c r="B37" s="3818" t="s">
        <v>2632</v>
      </c>
      <c r="C37" s="3106" t="s">
        <v>2472</v>
      </c>
      <c r="D37" s="3107"/>
      <c r="E37" s="3108">
        <v>0.6</v>
      </c>
      <c r="F37" s="3105" t="s">
        <v>2473</v>
      </c>
      <c r="G37" s="3105"/>
    </row>
    <row r="38" spans="1:7" ht="19.5" customHeight="1">
      <c r="A38" s="3816"/>
      <c r="B38" s="3813"/>
      <c r="C38" s="3106" t="s">
        <v>2474</v>
      </c>
      <c r="D38" s="3107"/>
      <c r="E38" s="3108">
        <v>0.6</v>
      </c>
      <c r="F38" s="3105" t="s">
        <v>2475</v>
      </c>
      <c r="G38" s="3105"/>
    </row>
    <row r="39" spans="1:7" ht="19.5" customHeight="1" thickBot="1">
      <c r="A39" s="3817"/>
      <c r="B39" s="3814"/>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19" t="s">
        <v>2610</v>
      </c>
      <c r="B41" s="3812" t="s">
        <v>2634</v>
      </c>
      <c r="C41" s="3102" t="s">
        <v>2479</v>
      </c>
      <c r="D41" s="3103"/>
      <c r="E41" s="3104">
        <v>1</v>
      </c>
      <c r="F41" s="3105" t="s">
        <v>2480</v>
      </c>
      <c r="G41" s="3105"/>
    </row>
    <row r="42" spans="1:7" ht="19.5" customHeight="1">
      <c r="A42" s="3820"/>
      <c r="B42" s="3813"/>
      <c r="C42" s="3106" t="s">
        <v>2481</v>
      </c>
      <c r="D42" s="3107"/>
      <c r="E42" s="3108">
        <v>1</v>
      </c>
      <c r="F42" s="3105" t="s">
        <v>2482</v>
      </c>
      <c r="G42" s="3105"/>
    </row>
    <row r="43" spans="1:7" ht="19.5" customHeight="1">
      <c r="A43" s="3820"/>
      <c r="B43" s="3822"/>
      <c r="C43" s="3106" t="s">
        <v>2483</v>
      </c>
      <c r="D43" s="3107"/>
      <c r="E43" s="3108">
        <v>1.5</v>
      </c>
      <c r="F43" s="3105" t="s">
        <v>2484</v>
      </c>
      <c r="G43" s="3105"/>
    </row>
    <row r="44" spans="1:7" ht="19.5" customHeight="1">
      <c r="A44" s="3820"/>
      <c r="B44" s="3117" t="s">
        <v>2635</v>
      </c>
      <c r="C44" s="3106" t="s">
        <v>2636</v>
      </c>
      <c r="D44" s="3107"/>
      <c r="E44" s="3108">
        <v>2</v>
      </c>
      <c r="F44" s="3105" t="s">
        <v>2485</v>
      </c>
      <c r="G44" s="3105"/>
    </row>
    <row r="45" spans="1:7" ht="19.5" customHeight="1">
      <c r="A45" s="3820"/>
      <c r="B45" s="3818" t="s">
        <v>2637</v>
      </c>
      <c r="C45" s="3106" t="s">
        <v>2486</v>
      </c>
      <c r="D45" s="3107"/>
      <c r="E45" s="3108">
        <v>1</v>
      </c>
      <c r="F45" s="3105" t="s">
        <v>2487</v>
      </c>
      <c r="G45" s="3105"/>
    </row>
    <row r="46" spans="1:7" ht="19.5" customHeight="1">
      <c r="A46" s="3820"/>
      <c r="B46" s="3813"/>
      <c r="C46" s="3106" t="s">
        <v>2488</v>
      </c>
      <c r="D46" s="3107"/>
      <c r="E46" s="3108">
        <v>1</v>
      </c>
      <c r="F46" s="3105" t="s">
        <v>2489</v>
      </c>
      <c r="G46" s="3105"/>
    </row>
    <row r="47" spans="1:7" ht="19.5" customHeight="1">
      <c r="A47" s="3820"/>
      <c r="B47" s="3813"/>
      <c r="C47" s="3106" t="s">
        <v>2490</v>
      </c>
      <c r="D47" s="3107"/>
      <c r="E47" s="3108">
        <v>1</v>
      </c>
      <c r="F47" s="3105" t="s">
        <v>2491</v>
      </c>
      <c r="G47" s="3105"/>
    </row>
    <row r="48" spans="1:7" ht="19.5" customHeight="1">
      <c r="A48" s="3820"/>
      <c r="B48" s="3813"/>
      <c r="C48" s="3106" t="s">
        <v>2492</v>
      </c>
      <c r="D48" s="3107"/>
      <c r="E48" s="3108">
        <v>1</v>
      </c>
      <c r="F48" s="3105" t="s">
        <v>2493</v>
      </c>
      <c r="G48" s="3105"/>
    </row>
    <row r="49" spans="1:7" ht="19.5" customHeight="1">
      <c r="A49" s="3820"/>
      <c r="B49" s="3813"/>
      <c r="C49" s="3106" t="s">
        <v>2494</v>
      </c>
      <c r="D49" s="3107"/>
      <c r="E49" s="3108">
        <v>1</v>
      </c>
      <c r="F49" s="3105" t="s">
        <v>2495</v>
      </c>
      <c r="G49" s="3105"/>
    </row>
    <row r="50" spans="1:7" ht="19.5" customHeight="1">
      <c r="A50" s="3820"/>
      <c r="B50" s="3813"/>
      <c r="C50" s="3106" t="s">
        <v>2496</v>
      </c>
      <c r="D50" s="3107"/>
      <c r="E50" s="3108">
        <v>1</v>
      </c>
      <c r="F50" s="3105" t="s">
        <v>2497</v>
      </c>
      <c r="G50" s="3105"/>
    </row>
    <row r="51" spans="1:7" ht="19.5" customHeight="1" thickBot="1">
      <c r="A51" s="3821"/>
      <c r="B51" s="3814"/>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818" t="s">
        <v>2651</v>
      </c>
      <c r="C73" s="3091" t="s">
        <v>2652</v>
      </c>
      <c r="D73" s="3091" t="s">
        <v>2653</v>
      </c>
      <c r="E73" s="3117">
        <v>0.2</v>
      </c>
      <c r="F73" s="3117">
        <v>25</v>
      </c>
    </row>
    <row r="74" spans="1:7" ht="24">
      <c r="A74" s="3117">
        <v>2</v>
      </c>
      <c r="B74" s="3813"/>
      <c r="C74" s="3091" t="s">
        <v>2654</v>
      </c>
      <c r="D74" s="3091" t="s">
        <v>2655</v>
      </c>
      <c r="E74" s="3117">
        <v>0.2</v>
      </c>
      <c r="F74" s="3117">
        <v>25</v>
      </c>
    </row>
    <row r="75" spans="1:7" ht="24">
      <c r="A75" s="3117">
        <v>3</v>
      </c>
      <c r="B75" s="3813"/>
      <c r="C75" s="3091" t="s">
        <v>2656</v>
      </c>
      <c r="D75" s="3091" t="s">
        <v>2657</v>
      </c>
      <c r="E75" s="3117">
        <v>0.2</v>
      </c>
      <c r="F75" s="3117">
        <v>25</v>
      </c>
    </row>
    <row r="76" spans="1:7" ht="13.5">
      <c r="A76" s="3117">
        <v>4</v>
      </c>
      <c r="B76" s="3813"/>
      <c r="C76" s="3091" t="s">
        <v>2658</v>
      </c>
      <c r="D76" s="3091" t="s">
        <v>2659</v>
      </c>
      <c r="E76" s="3117">
        <v>0.15</v>
      </c>
      <c r="F76" s="3117">
        <v>20</v>
      </c>
    </row>
    <row r="77" spans="1:7" ht="24">
      <c r="A77" s="3117">
        <v>5</v>
      </c>
      <c r="B77" s="3813"/>
      <c r="C77" s="3091" t="s">
        <v>2660</v>
      </c>
      <c r="D77" s="3091" t="s">
        <v>2661</v>
      </c>
      <c r="E77" s="3117">
        <v>0.15</v>
      </c>
      <c r="F77" s="3117">
        <v>20</v>
      </c>
    </row>
    <row r="78" spans="1:7" ht="24">
      <c r="A78" s="3117">
        <v>6</v>
      </c>
      <c r="B78" s="3813"/>
      <c r="C78" s="3091" t="s">
        <v>2662</v>
      </c>
      <c r="D78" s="3091" t="s">
        <v>2663</v>
      </c>
      <c r="E78" s="3117">
        <v>0.15</v>
      </c>
      <c r="F78" s="3117">
        <v>20</v>
      </c>
    </row>
    <row r="79" spans="1:7" ht="24">
      <c r="A79" s="3117">
        <v>7</v>
      </c>
      <c r="B79" s="3813"/>
      <c r="C79" s="3091" t="s">
        <v>2664</v>
      </c>
      <c r="D79" s="3091" t="s">
        <v>2665</v>
      </c>
      <c r="E79" s="3117">
        <v>0.15</v>
      </c>
      <c r="F79" s="3117">
        <v>20</v>
      </c>
    </row>
    <row r="80" spans="1:7" ht="24">
      <c r="A80" s="3117">
        <v>8</v>
      </c>
      <c r="B80" s="3813"/>
      <c r="C80" s="3091" t="s">
        <v>2666</v>
      </c>
      <c r="D80" s="3091" t="s">
        <v>2667</v>
      </c>
      <c r="E80" s="3117">
        <v>0.1</v>
      </c>
      <c r="F80" s="3117">
        <v>15</v>
      </c>
    </row>
    <row r="81" spans="1:6" ht="24">
      <c r="A81" s="3117">
        <v>9</v>
      </c>
      <c r="B81" s="3813"/>
      <c r="C81" s="3091" t="s">
        <v>2668</v>
      </c>
      <c r="D81" s="3091" t="s">
        <v>2669</v>
      </c>
      <c r="E81" s="3117">
        <v>0.1</v>
      </c>
      <c r="F81" s="3117">
        <v>15</v>
      </c>
    </row>
    <row r="82" spans="1:6" ht="24">
      <c r="A82" s="3117">
        <v>10</v>
      </c>
      <c r="B82" s="3813"/>
      <c r="C82" s="3091" t="s">
        <v>2670</v>
      </c>
      <c r="D82" s="3091" t="s">
        <v>2671</v>
      </c>
      <c r="E82" s="3117">
        <v>0.1</v>
      </c>
      <c r="F82" s="3117">
        <v>15</v>
      </c>
    </row>
    <row r="83" spans="1:6" ht="24">
      <c r="A83" s="3117">
        <v>11</v>
      </c>
      <c r="B83" s="3813"/>
      <c r="C83" s="3091" t="s">
        <v>2672</v>
      </c>
      <c r="D83" s="3091" t="s">
        <v>2673</v>
      </c>
      <c r="E83" s="3117">
        <v>0.1</v>
      </c>
      <c r="F83" s="3117">
        <v>15</v>
      </c>
    </row>
    <row r="84" spans="1:6" ht="24">
      <c r="A84" s="3117">
        <v>12</v>
      </c>
      <c r="B84" s="3813"/>
      <c r="C84" s="3091" t="s">
        <v>2674</v>
      </c>
      <c r="D84" s="3091" t="s">
        <v>2675</v>
      </c>
      <c r="E84" s="3117">
        <v>0.1</v>
      </c>
      <c r="F84" s="3117">
        <v>15</v>
      </c>
    </row>
    <row r="85" spans="1:6" ht="13.5">
      <c r="A85" s="3117">
        <v>13</v>
      </c>
      <c r="B85" s="3813"/>
      <c r="C85" s="3091" t="s">
        <v>2676</v>
      </c>
      <c r="D85" s="3091" t="s">
        <v>2677</v>
      </c>
      <c r="E85" s="3117">
        <v>0.1</v>
      </c>
      <c r="F85" s="3117">
        <v>15</v>
      </c>
    </row>
    <row r="86" spans="1:6" ht="13.5">
      <c r="A86" s="3117">
        <v>14</v>
      </c>
      <c r="B86" s="3813"/>
      <c r="C86" s="3091" t="s">
        <v>2678</v>
      </c>
      <c r="D86" s="3091" t="s">
        <v>2679</v>
      </c>
      <c r="E86" s="3117">
        <v>0.1</v>
      </c>
      <c r="F86" s="3117">
        <v>15</v>
      </c>
    </row>
    <row r="87" spans="1:6" ht="13.5">
      <c r="A87" s="3117">
        <v>15</v>
      </c>
      <c r="B87" s="3813"/>
      <c r="C87" s="3091" t="s">
        <v>2680</v>
      </c>
      <c r="D87" s="3091" t="s">
        <v>2681</v>
      </c>
      <c r="E87" s="3117">
        <v>0.1</v>
      </c>
      <c r="F87" s="3117">
        <v>15</v>
      </c>
    </row>
    <row r="88" spans="1:6" ht="24">
      <c r="A88" s="3117">
        <v>16</v>
      </c>
      <c r="B88" s="3813"/>
      <c r="C88" s="3091" t="s">
        <v>2682</v>
      </c>
      <c r="D88" s="3091" t="s">
        <v>2683</v>
      </c>
      <c r="E88" s="3117">
        <v>0.1</v>
      </c>
      <c r="F88" s="3117">
        <v>15</v>
      </c>
    </row>
    <row r="89" spans="1:6" ht="24">
      <c r="A89" s="3117">
        <v>17</v>
      </c>
      <c r="B89" s="3822"/>
      <c r="C89" s="3091" t="s">
        <v>2684</v>
      </c>
      <c r="D89" s="3091" t="s">
        <v>2685</v>
      </c>
      <c r="E89" s="3117">
        <v>0.1</v>
      </c>
      <c r="F89" s="3117">
        <v>15</v>
      </c>
    </row>
    <row r="90" spans="1:6" ht="13.5">
      <c r="A90" s="3117">
        <v>18</v>
      </c>
      <c r="B90" s="3818" t="s">
        <v>2686</v>
      </c>
      <c r="C90" s="3091" t="s">
        <v>2687</v>
      </c>
      <c r="D90" s="3091" t="s">
        <v>2688</v>
      </c>
      <c r="E90" s="3117">
        <v>0.2</v>
      </c>
      <c r="F90" s="3117">
        <v>25</v>
      </c>
    </row>
    <row r="91" spans="1:6" ht="24">
      <c r="A91" s="3117">
        <v>19</v>
      </c>
      <c r="B91" s="3813"/>
      <c r="C91" s="3091" t="s">
        <v>2689</v>
      </c>
      <c r="D91" s="3091" t="s">
        <v>2690</v>
      </c>
      <c r="E91" s="3117">
        <v>0.2</v>
      </c>
      <c r="F91" s="3117">
        <v>25</v>
      </c>
    </row>
    <row r="92" spans="1:6" ht="13.5">
      <c r="A92" s="3117">
        <v>20</v>
      </c>
      <c r="B92" s="3813"/>
      <c r="C92" s="3091" t="s">
        <v>2691</v>
      </c>
      <c r="D92" s="3091" t="s">
        <v>2692</v>
      </c>
      <c r="E92" s="3117">
        <v>0.15</v>
      </c>
      <c r="F92" s="3117">
        <v>20</v>
      </c>
    </row>
    <row r="93" spans="1:6" ht="13.5">
      <c r="A93" s="3117">
        <v>21</v>
      </c>
      <c r="B93" s="3813"/>
      <c r="C93" s="3091" t="s">
        <v>2693</v>
      </c>
      <c r="D93" s="3091" t="s">
        <v>2694</v>
      </c>
      <c r="E93" s="3117">
        <v>0.15</v>
      </c>
      <c r="F93" s="3117">
        <v>20</v>
      </c>
    </row>
    <row r="94" spans="1:6" ht="13.5">
      <c r="A94" s="3117">
        <v>22</v>
      </c>
      <c r="B94" s="3813"/>
      <c r="C94" s="3091" t="s">
        <v>2695</v>
      </c>
      <c r="D94" s="3091" t="s">
        <v>2696</v>
      </c>
      <c r="E94" s="3117">
        <v>0.15</v>
      </c>
      <c r="F94" s="3117">
        <v>20</v>
      </c>
    </row>
    <row r="95" spans="1:6" ht="36">
      <c r="A95" s="3117">
        <v>23</v>
      </c>
      <c r="B95" s="3813"/>
      <c r="C95" s="3091" t="s">
        <v>2697</v>
      </c>
      <c r="D95" s="3091" t="s">
        <v>2698</v>
      </c>
      <c r="E95" s="3117">
        <v>0.15</v>
      </c>
      <c r="F95" s="3117">
        <v>20</v>
      </c>
    </row>
    <row r="96" spans="1:6" ht="13.5">
      <c r="A96" s="3117">
        <v>24</v>
      </c>
      <c r="B96" s="3813"/>
      <c r="C96" s="3091" t="s">
        <v>2699</v>
      </c>
      <c r="D96" s="3091" t="s">
        <v>2700</v>
      </c>
      <c r="E96" s="3117">
        <v>0.1</v>
      </c>
      <c r="F96" s="3117">
        <v>15</v>
      </c>
    </row>
    <row r="97" spans="1:6" ht="13.5">
      <c r="A97" s="3117">
        <v>25</v>
      </c>
      <c r="B97" s="3813"/>
      <c r="C97" s="3091" t="s">
        <v>2701</v>
      </c>
      <c r="D97" s="3091" t="s">
        <v>2702</v>
      </c>
      <c r="E97" s="3117">
        <v>0.1</v>
      </c>
      <c r="F97" s="3117">
        <v>15</v>
      </c>
    </row>
    <row r="98" spans="1:6" ht="24">
      <c r="A98" s="3117">
        <v>26</v>
      </c>
      <c r="B98" s="3813"/>
      <c r="C98" s="3091" t="s">
        <v>2703</v>
      </c>
      <c r="D98" s="3091" t="s">
        <v>2704</v>
      </c>
      <c r="E98" s="3117">
        <v>0.1</v>
      </c>
      <c r="F98" s="3117">
        <v>15</v>
      </c>
    </row>
    <row r="99" spans="1:6" ht="24">
      <c r="A99" s="3117">
        <v>27</v>
      </c>
      <c r="B99" s="3813"/>
      <c r="C99" s="3091" t="s">
        <v>2705</v>
      </c>
      <c r="D99" s="3091" t="s">
        <v>2706</v>
      </c>
      <c r="E99" s="3117">
        <v>0.1</v>
      </c>
      <c r="F99" s="3117">
        <v>15</v>
      </c>
    </row>
    <row r="100" spans="1:6" ht="13.5">
      <c r="A100" s="3117">
        <v>28</v>
      </c>
      <c r="B100" s="3813"/>
      <c r="C100" s="3091" t="s">
        <v>2707</v>
      </c>
      <c r="D100" s="3091" t="s">
        <v>2708</v>
      </c>
      <c r="E100" s="3117">
        <v>0.1</v>
      </c>
      <c r="F100" s="3117">
        <v>15</v>
      </c>
    </row>
    <row r="101" spans="1:6" ht="13.5">
      <c r="A101" s="3117">
        <v>29</v>
      </c>
      <c r="B101" s="3813"/>
      <c r="C101" s="3091" t="s">
        <v>2709</v>
      </c>
      <c r="D101" s="3091" t="s">
        <v>2710</v>
      </c>
      <c r="E101" s="3117">
        <v>0.1</v>
      </c>
      <c r="F101" s="3117">
        <v>15</v>
      </c>
    </row>
    <row r="102" spans="1:6" ht="13.5">
      <c r="A102" s="3117">
        <v>30</v>
      </c>
      <c r="B102" s="3813"/>
      <c r="C102" s="3091" t="s">
        <v>2711</v>
      </c>
      <c r="D102" s="3091" t="s">
        <v>2712</v>
      </c>
      <c r="E102" s="3117">
        <v>0.1</v>
      </c>
      <c r="F102" s="3117">
        <v>15</v>
      </c>
    </row>
    <row r="103" spans="1:6" ht="24">
      <c r="A103" s="3117">
        <v>31</v>
      </c>
      <c r="B103" s="3813"/>
      <c r="C103" s="3091" t="s">
        <v>2713</v>
      </c>
      <c r="D103" s="3091" t="s">
        <v>2714</v>
      </c>
      <c r="E103" s="3117">
        <v>0.1</v>
      </c>
      <c r="F103" s="3117">
        <v>15</v>
      </c>
    </row>
    <row r="104" spans="1:6" ht="24">
      <c r="A104" s="3117">
        <v>32</v>
      </c>
      <c r="B104" s="3813"/>
      <c r="C104" s="3091" t="s">
        <v>2715</v>
      </c>
      <c r="D104" s="3091" t="s">
        <v>2716</v>
      </c>
      <c r="E104" s="3117">
        <v>0.1</v>
      </c>
      <c r="F104" s="3117">
        <v>15</v>
      </c>
    </row>
    <row r="105" spans="1:6" ht="24">
      <c r="A105" s="3117">
        <v>33</v>
      </c>
      <c r="B105" s="3813"/>
      <c r="C105" s="3091" t="s">
        <v>2717</v>
      </c>
      <c r="D105" s="3091" t="s">
        <v>2718</v>
      </c>
      <c r="E105" s="3117">
        <v>0.1</v>
      </c>
      <c r="F105" s="3117">
        <v>15</v>
      </c>
    </row>
    <row r="106" spans="1:6" ht="24">
      <c r="A106" s="3117">
        <v>34</v>
      </c>
      <c r="B106" s="3822"/>
      <c r="C106" s="3091" t="s">
        <v>2719</v>
      </c>
      <c r="D106" s="3091" t="s">
        <v>2720</v>
      </c>
      <c r="E106" s="3117">
        <v>0.1</v>
      </c>
      <c r="F106" s="3117">
        <v>15</v>
      </c>
    </row>
    <row r="107" spans="1:6" ht="24">
      <c r="A107" s="3117">
        <v>35</v>
      </c>
      <c r="B107" s="3818" t="s">
        <v>2721</v>
      </c>
      <c r="C107" s="3117" t="s">
        <v>2722</v>
      </c>
      <c r="D107" s="3091" t="s">
        <v>2723</v>
      </c>
      <c r="E107" s="3117">
        <v>0.15</v>
      </c>
      <c r="F107" s="3117">
        <v>20</v>
      </c>
    </row>
    <row r="108" spans="1:6" ht="13.5">
      <c r="A108" s="3117">
        <v>36</v>
      </c>
      <c r="B108" s="3813"/>
      <c r="C108" s="3117" t="s">
        <v>2724</v>
      </c>
      <c r="D108" s="3091" t="s">
        <v>2725</v>
      </c>
      <c r="E108" s="3117">
        <v>0.15</v>
      </c>
      <c r="F108" s="3117">
        <v>20</v>
      </c>
    </row>
    <row r="109" spans="1:6" ht="13.5">
      <c r="A109" s="3117">
        <v>37</v>
      </c>
      <c r="B109" s="3813"/>
      <c r="C109" s="3117" t="s">
        <v>2726</v>
      </c>
      <c r="D109" s="3091" t="s">
        <v>2727</v>
      </c>
      <c r="E109" s="3117">
        <v>0.15</v>
      </c>
      <c r="F109" s="3117">
        <v>20</v>
      </c>
    </row>
    <row r="110" spans="1:6" ht="13.5">
      <c r="A110" s="3117">
        <v>38</v>
      </c>
      <c r="B110" s="3813"/>
      <c r="C110" s="3117" t="s">
        <v>2728</v>
      </c>
      <c r="D110" s="3091" t="s">
        <v>2729</v>
      </c>
      <c r="E110" s="3117">
        <v>0.1</v>
      </c>
      <c r="F110" s="3117">
        <v>15</v>
      </c>
    </row>
    <row r="111" spans="1:6" ht="24">
      <c r="A111" s="3117">
        <v>39</v>
      </c>
      <c r="B111" s="3813"/>
      <c r="C111" s="3117" t="s">
        <v>2730</v>
      </c>
      <c r="D111" s="3091" t="s">
        <v>2731</v>
      </c>
      <c r="E111" s="3117">
        <v>0.1</v>
      </c>
      <c r="F111" s="3117">
        <v>15</v>
      </c>
    </row>
    <row r="112" spans="1:6" ht="24">
      <c r="A112" s="3117">
        <v>40</v>
      </c>
      <c r="B112" s="3822"/>
      <c r="C112" s="3117" t="s">
        <v>2732</v>
      </c>
      <c r="D112" s="3091" t="s">
        <v>2733</v>
      </c>
      <c r="E112" s="3117">
        <v>0.1</v>
      </c>
      <c r="F112" s="3117">
        <v>15</v>
      </c>
    </row>
    <row r="113" spans="1:6" ht="13.5">
      <c r="A113" s="3117">
        <v>41</v>
      </c>
      <c r="B113" s="3823" t="s">
        <v>2734</v>
      </c>
      <c r="C113" s="3117" t="s">
        <v>2735</v>
      </c>
      <c r="D113" s="3091" t="s">
        <v>2736</v>
      </c>
      <c r="E113" s="3117">
        <v>0.1</v>
      </c>
      <c r="F113" s="3117">
        <v>15</v>
      </c>
    </row>
    <row r="114" spans="1:6" ht="13.5">
      <c r="A114" s="3117">
        <v>42</v>
      </c>
      <c r="B114" s="3823"/>
      <c r="C114" s="3117" t="s">
        <v>2737</v>
      </c>
      <c r="D114" s="3091" t="s">
        <v>2738</v>
      </c>
      <c r="E114" s="3117">
        <v>0.1</v>
      </c>
      <c r="F114" s="3117">
        <v>15</v>
      </c>
    </row>
    <row r="115" spans="1:6" ht="24">
      <c r="A115" s="3117">
        <v>43</v>
      </c>
      <c r="B115" s="3823"/>
      <c r="C115" s="3117" t="s">
        <v>2739</v>
      </c>
      <c r="D115" s="3091" t="s">
        <v>2740</v>
      </c>
      <c r="E115" s="3117">
        <v>0.1</v>
      </c>
      <c r="F115" s="3117">
        <v>15</v>
      </c>
    </row>
    <row r="116" spans="1:6" ht="13.5">
      <c r="A116" s="3117">
        <v>44</v>
      </c>
      <c r="B116" s="3818" t="s">
        <v>2741</v>
      </c>
      <c r="C116" s="3117" t="s">
        <v>2742</v>
      </c>
      <c r="D116" s="3091" t="s">
        <v>2743</v>
      </c>
      <c r="E116" s="3117">
        <v>0.1</v>
      </c>
      <c r="F116" s="3117">
        <v>15</v>
      </c>
    </row>
    <row r="117" spans="1:6" ht="24">
      <c r="A117" s="3117">
        <v>45</v>
      </c>
      <c r="B117" s="3822"/>
      <c r="C117" s="3091" t="s">
        <v>2744</v>
      </c>
      <c r="D117" s="3091" t="s">
        <v>2745</v>
      </c>
      <c r="E117" s="3117">
        <v>0.1</v>
      </c>
      <c r="F117" s="3117">
        <v>15</v>
      </c>
    </row>
    <row r="118" spans="1:6" ht="24">
      <c r="A118" s="3117">
        <v>46</v>
      </c>
      <c r="B118" s="3818" t="s">
        <v>2746</v>
      </c>
      <c r="C118" s="3117" t="s">
        <v>2747</v>
      </c>
      <c r="D118" s="3091" t="s">
        <v>2748</v>
      </c>
      <c r="E118" s="3117">
        <v>0.1</v>
      </c>
      <c r="F118" s="3117">
        <v>15</v>
      </c>
    </row>
    <row r="119" spans="1:6" ht="24">
      <c r="A119" s="3117">
        <v>47</v>
      </c>
      <c r="B119" s="3822"/>
      <c r="C119" s="3117" t="s">
        <v>2749</v>
      </c>
      <c r="D119" s="3091" t="s">
        <v>2750</v>
      </c>
      <c r="E119" s="3117">
        <v>0.1</v>
      </c>
      <c r="F119" s="3117">
        <v>15</v>
      </c>
    </row>
    <row r="120" spans="1:6" ht="13.5">
      <c r="A120" s="3117">
        <v>48</v>
      </c>
      <c r="B120" s="3818" t="s">
        <v>2751</v>
      </c>
      <c r="C120" s="3117" t="s">
        <v>2752</v>
      </c>
      <c r="D120" s="3091" t="s">
        <v>2753</v>
      </c>
      <c r="E120" s="3117">
        <v>0.1</v>
      </c>
      <c r="F120" s="3117">
        <v>15</v>
      </c>
    </row>
    <row r="121" spans="1:6" ht="13.5">
      <c r="A121" s="3117">
        <v>49</v>
      </c>
      <c r="B121" s="3822"/>
      <c r="C121" s="3117" t="s">
        <v>2754</v>
      </c>
      <c r="D121" s="3091" t="s">
        <v>2755</v>
      </c>
      <c r="E121" s="3117">
        <v>0.1</v>
      </c>
      <c r="F121" s="3117">
        <v>15</v>
      </c>
    </row>
    <row r="122" spans="1:6" ht="24">
      <c r="A122" s="3117">
        <v>50</v>
      </c>
      <c r="B122" s="3823" t="s">
        <v>2756</v>
      </c>
      <c r="C122" s="3117" t="s">
        <v>2757</v>
      </c>
      <c r="D122" s="3091" t="s">
        <v>2758</v>
      </c>
      <c r="E122" s="3117">
        <v>0.1</v>
      </c>
      <c r="F122" s="3117">
        <v>15</v>
      </c>
    </row>
    <row r="123" spans="1:6" ht="24">
      <c r="A123" s="3117">
        <v>51</v>
      </c>
      <c r="B123" s="3823"/>
      <c r="C123" s="3117" t="s">
        <v>2759</v>
      </c>
      <c r="D123" s="3091" t="s">
        <v>2760</v>
      </c>
      <c r="E123" s="3117">
        <v>0.1</v>
      </c>
      <c r="F123" s="3117">
        <v>15</v>
      </c>
    </row>
    <row r="124" spans="1:6" ht="24">
      <c r="A124" s="3117">
        <v>52</v>
      </c>
      <c r="B124" s="3823" t="s">
        <v>2761</v>
      </c>
      <c r="C124" s="3117" t="s">
        <v>2762</v>
      </c>
      <c r="D124" s="3091" t="s">
        <v>2763</v>
      </c>
      <c r="E124" s="3117">
        <v>0.1</v>
      </c>
      <c r="F124" s="3117">
        <v>15</v>
      </c>
    </row>
    <row r="125" spans="1:6" ht="24">
      <c r="A125" s="3117">
        <v>53</v>
      </c>
      <c r="B125" s="3823"/>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823" t="s">
        <v>2769</v>
      </c>
      <c r="C127" s="3117" t="s">
        <v>2770</v>
      </c>
      <c r="D127" s="3091" t="s">
        <v>2771</v>
      </c>
      <c r="E127" s="3117">
        <v>0.1</v>
      </c>
      <c r="F127" s="3117">
        <v>15</v>
      </c>
    </row>
    <row r="128" spans="1:6" ht="13.5">
      <c r="A128" s="3117">
        <v>56</v>
      </c>
      <c r="B128" s="3823"/>
      <c r="C128" s="3117" t="s">
        <v>2772</v>
      </c>
      <c r="D128" s="3091" t="s">
        <v>2773</v>
      </c>
      <c r="E128" s="3117">
        <v>0.1</v>
      </c>
      <c r="F128" s="3117">
        <v>15</v>
      </c>
    </row>
    <row r="129" spans="1:6" ht="24">
      <c r="A129" s="3117">
        <v>57</v>
      </c>
      <c r="B129" s="3823"/>
      <c r="C129" s="3117" t="s">
        <v>2774</v>
      </c>
      <c r="D129" s="3091" t="s">
        <v>2775</v>
      </c>
      <c r="E129" s="3117">
        <v>0.1</v>
      </c>
      <c r="F129" s="3117">
        <v>15</v>
      </c>
    </row>
    <row r="130" spans="1:6" ht="24">
      <c r="A130" s="3117">
        <v>58</v>
      </c>
      <c r="B130" s="3823" t="s">
        <v>2776</v>
      </c>
      <c r="C130" s="3117" t="s">
        <v>2777</v>
      </c>
      <c r="D130" s="3091" t="s">
        <v>2778</v>
      </c>
      <c r="E130" s="3117">
        <v>0.1</v>
      </c>
      <c r="F130" s="3117">
        <v>15</v>
      </c>
    </row>
    <row r="131" spans="1:6" ht="13.5">
      <c r="A131" s="3117">
        <v>59</v>
      </c>
      <c r="B131" s="3823"/>
      <c r="C131" s="3117" t="s">
        <v>2779</v>
      </c>
      <c r="D131" s="3091" t="s">
        <v>2780</v>
      </c>
      <c r="E131" s="3117">
        <v>0.1</v>
      </c>
      <c r="F131" s="3117">
        <v>15</v>
      </c>
    </row>
    <row r="132" spans="1:6" ht="13.5">
      <c r="A132" s="3117">
        <v>60</v>
      </c>
      <c r="B132" s="3818" t="s">
        <v>2781</v>
      </c>
      <c r="C132" s="3117" t="s">
        <v>2782</v>
      </c>
      <c r="D132" s="3091" t="s">
        <v>2783</v>
      </c>
      <c r="E132" s="3117">
        <v>0.1</v>
      </c>
      <c r="F132" s="3117">
        <v>15</v>
      </c>
    </row>
    <row r="133" spans="1:6" ht="13.5">
      <c r="A133" s="3117">
        <v>61</v>
      </c>
      <c r="B133" s="3822"/>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823" t="s">
        <v>2789</v>
      </c>
      <c r="C135" s="3117" t="s">
        <v>2790</v>
      </c>
      <c r="D135" s="3091" t="s">
        <v>2791</v>
      </c>
      <c r="E135" s="3117">
        <v>0.1</v>
      </c>
      <c r="F135" s="3117">
        <v>15</v>
      </c>
    </row>
    <row r="136" spans="1:6" ht="13.5">
      <c r="A136" s="3117">
        <v>64</v>
      </c>
      <c r="B136" s="3823"/>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0.8901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0.84670000000000001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56829</v>
      </c>
      <c r="C2" s="2" t="s">
        <v>106</v>
      </c>
      <c r="D2" s="199"/>
      <c r="E2" s="199"/>
      <c r="F2" s="199"/>
      <c r="G2" s="199"/>
    </row>
    <row r="3" spans="1:7" s="200" customFormat="1" ht="18" customHeight="1" thickBot="1">
      <c r="A3" s="203" t="s">
        <v>58</v>
      </c>
      <c r="B3" s="204">
        <f ca="1">ROUND(B2*10000/'数据-汇总表'!E3,0)</f>
        <v>14312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794</v>
      </c>
      <c r="D10" s="845">
        <f>'数据-汇总表'!E6</f>
        <v>39707.96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794</v>
      </c>
      <c r="D19" s="849">
        <f>'数据-汇总表'!E3</f>
        <v>39707.96</v>
      </c>
      <c r="E19" s="211">
        <f>'数据-取费表'!B31</f>
        <v>200</v>
      </c>
      <c r="F19" s="231"/>
      <c r="G19" s="1" t="s">
        <v>436</v>
      </c>
    </row>
    <row r="20" spans="1:7" s="214" customFormat="1" ht="13.5" customHeight="1">
      <c r="A20" s="777" t="s">
        <v>419</v>
      </c>
      <c r="B20" s="210" t="s">
        <v>77</v>
      </c>
      <c r="C20" s="232">
        <f>ROUND((C5+C19)*F20,0)</f>
        <v>642</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1368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3307</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3307</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23737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21442</v>
      </c>
      <c r="D34" s="217"/>
      <c r="E34" s="220"/>
      <c r="F34" s="257">
        <f>IF('数据-取费表'!B24=0,1,'数据-取费表'!N16)</f>
        <v>1</v>
      </c>
      <c r="G34" s="219" t="s">
        <v>89</v>
      </c>
    </row>
    <row r="35" spans="1:7" ht="13.5" customHeight="1">
      <c r="A35" s="780" t="s">
        <v>351</v>
      </c>
      <c r="B35" s="215" t="s">
        <v>33</v>
      </c>
      <c r="C35" s="220">
        <f>ROUND(C34*F35,0)</f>
        <v>1072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794</v>
      </c>
      <c r="D37" s="217">
        <f>'数据-汇总表'!E3</f>
        <v>39707.96</v>
      </c>
      <c r="E37" s="249">
        <f>'数据-取费表'!B35</f>
        <v>200</v>
      </c>
      <c r="F37" s="259"/>
      <c r="G37" s="261" t="s">
        <v>92</v>
      </c>
    </row>
    <row r="38" spans="1:7" ht="13.5" customHeight="1">
      <c r="A38" s="780" t="s">
        <v>354</v>
      </c>
      <c r="B38" s="215" t="s">
        <v>36</v>
      </c>
      <c r="C38" s="220">
        <f>ROUND(C34*F38,0)</f>
        <v>429</v>
      </c>
      <c r="D38" s="220"/>
      <c r="E38" s="220"/>
      <c r="F38" s="259">
        <f>'数据-取费表'!B36</f>
        <v>0.02</v>
      </c>
      <c r="G38" s="219" t="s">
        <v>90</v>
      </c>
    </row>
    <row r="39" spans="1:7" s="214" customFormat="1" ht="13.5" customHeight="1">
      <c r="A39" s="777" t="s">
        <v>338</v>
      </c>
      <c r="B39" s="210" t="s">
        <v>77</v>
      </c>
      <c r="C39" s="232">
        <f>ROUND(C33*F20,0)</f>
        <v>712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758</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736</v>
      </c>
      <c r="D42" s="238"/>
      <c r="E42" s="238"/>
      <c r="F42" s="239"/>
      <c r="G42" s="3688" t="s">
        <v>94</v>
      </c>
    </row>
    <row r="43" spans="1:7" ht="13.5" customHeight="1">
      <c r="A43" s="780" t="s">
        <v>347</v>
      </c>
      <c r="B43" s="215" t="s">
        <v>426</v>
      </c>
      <c r="C43" s="238">
        <f ca="1">ROUND(IF('数据-取费表'!B22&lt;=1,C39*F22*'数据-取费表'!B21/2,C39*(POWER((1+F22),'数据-取费表'!B21/2)-1)),0)</f>
        <v>22</v>
      </c>
      <c r="D43" s="238"/>
      <c r="E43" s="238"/>
      <c r="F43" s="239"/>
      <c r="G43" s="3689"/>
    </row>
    <row r="44" spans="1:7" ht="13.5" customHeight="1">
      <c r="A44" s="780" t="s">
        <v>348</v>
      </c>
      <c r="B44" s="215" t="s">
        <v>428</v>
      </c>
      <c r="C44" s="238">
        <f ca="1">ROUND(IF('数据-取费表'!B22&lt;=1,C40*F22*'数据-取费表'!B21/2,C40*(POWER((1+F22),'数据-取费表'!B21/2)-1)),4)</f>
        <v>8.9999999999999998E-4</v>
      </c>
      <c r="D44" s="238"/>
      <c r="E44" s="238"/>
      <c r="F44" s="239"/>
      <c r="G44" s="3690"/>
    </row>
    <row r="45" spans="1:7" s="214" customFormat="1" ht="13.5" customHeight="1">
      <c r="A45" s="777" t="s">
        <v>341</v>
      </c>
      <c r="B45" s="244" t="s">
        <v>85</v>
      </c>
      <c r="C45" s="245">
        <f>C46</f>
        <v>3667</v>
      </c>
      <c r="D45" s="235">
        <f>C47</f>
        <v>4.4999999999999997E-3</v>
      </c>
      <c r="E45" s="236" t="s">
        <v>102</v>
      </c>
      <c r="F45" s="246"/>
      <c r="G45" s="247" t="s">
        <v>434</v>
      </c>
    </row>
    <row r="46" spans="1:7" s="214" customFormat="1" ht="13.5" customHeight="1">
      <c r="A46" s="780" t="s">
        <v>349</v>
      </c>
      <c r="B46" s="248" t="s">
        <v>427</v>
      </c>
      <c r="C46" s="249">
        <f>ROUND((C33+C39)*F27,0)</f>
        <v>3667</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31652</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27537</v>
      </c>
      <c r="D51" s="232"/>
      <c r="E51" s="232"/>
      <c r="F51" s="264"/>
      <c r="G51" s="234" t="s">
        <v>37</v>
      </c>
    </row>
    <row r="52" spans="1:7" s="208" customFormat="1" ht="16.5" thickBot="1">
      <c r="A52" s="265" t="s">
        <v>38</v>
      </c>
      <c r="B52" s="266"/>
      <c r="C52" s="267">
        <f ca="1">C31+C51</f>
        <v>56829</v>
      </c>
      <c r="D52" s="266"/>
      <c r="E52" s="266"/>
      <c r="F52" s="266"/>
      <c r="G52" s="268"/>
    </row>
    <row r="55" spans="1:7" ht="15">
      <c r="B55" s="270" t="s">
        <v>39</v>
      </c>
      <c r="C55" s="271"/>
    </row>
    <row r="56" spans="1:7">
      <c r="B56" s="273" t="s">
        <v>40</v>
      </c>
      <c r="C56" s="274">
        <f ca="1">ROUND(C51/C52,3)</f>
        <v>0.48499999999999999</v>
      </c>
    </row>
    <row r="57" spans="1:7">
      <c r="B57" s="273" t="s">
        <v>41</v>
      </c>
      <c r="C57" s="275">
        <f ca="1">1-C56</f>
        <v>0.51500000000000001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6" t="s">
        <v>2839</v>
      </c>
      <c r="B1" s="3826"/>
      <c r="C1" s="3826"/>
      <c r="D1" s="3826"/>
      <c r="E1" s="3826"/>
      <c r="F1" s="3826"/>
      <c r="G1" s="382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8" t="s">
        <v>3181</v>
      </c>
      <c r="B1" s="382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9" t="s">
        <v>3232</v>
      </c>
      <c r="B1" s="3829"/>
      <c r="C1" s="3829"/>
      <c r="D1" s="3829"/>
      <c r="E1" s="3829"/>
      <c r="F1" s="383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H48"/>
  <sheetViews>
    <sheetView topLeftCell="A13" zoomScale="90" zoomScaleNormal="90" workbookViewId="0">
      <selection activeCell="A38" sqref="A38:XFD38"/>
    </sheetView>
  </sheetViews>
  <sheetFormatPr defaultRowHeight="13.5"/>
  <cols>
    <col min="1" max="1" width="13.875" customWidth="1"/>
    <col min="11" max="17" width="0" hidden="1" customWidth="1"/>
    <col min="25" max="30" width="0" hidden="1" customWidth="1"/>
  </cols>
  <sheetData>
    <row r="1" spans="1:30">
      <c r="A1" s="3220">
        <f>基准地价修正!G23</f>
        <v>45741</v>
      </c>
      <c r="B1" s="3209" t="s">
        <v>3380</v>
      </c>
      <c r="C1" s="3210"/>
      <c r="D1" s="3210"/>
      <c r="E1" s="3210"/>
      <c r="F1" s="3210"/>
      <c r="G1" s="3210"/>
      <c r="H1" s="3210"/>
      <c r="I1" s="3210"/>
      <c r="J1" s="3164"/>
      <c r="K1" s="3210" t="s">
        <v>454</v>
      </c>
      <c r="L1" s="3210"/>
      <c r="M1" s="3210"/>
      <c r="N1" s="3210"/>
      <c r="O1" s="3210"/>
      <c r="P1" s="3210"/>
      <c r="Q1" s="3164"/>
      <c r="R1" s="3831" t="s">
        <v>456</v>
      </c>
      <c r="S1" s="3832"/>
      <c r="T1" s="3832"/>
      <c r="U1" s="3832"/>
      <c r="V1" s="3832"/>
      <c r="W1" s="3832"/>
      <c r="X1" s="3164"/>
      <c r="Y1" s="3831" t="s">
        <v>457</v>
      </c>
      <c r="Z1" s="3832"/>
      <c r="AA1" s="3832"/>
      <c r="AB1" s="3832"/>
      <c r="AC1" s="3832"/>
      <c r="AD1" s="3832"/>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3"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3"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3"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3"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3"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3" s="3008" customFormat="1" ht="14.25" thickTop="1"/>
    <row r="23" spans="1:33" s="3008" customFormat="1">
      <c r="A23" s="3447" t="s">
        <v>3383</v>
      </c>
    </row>
    <row r="24" spans="1:33" s="3008" customFormat="1">
      <c r="I24" s="3207" t="s">
        <v>2825</v>
      </c>
    </row>
    <row r="25" spans="1:33" s="3008" customFormat="1"/>
    <row r="26" spans="1:33" s="3208" customFormat="1" ht="12.75">
      <c r="B26" s="3209" t="s">
        <v>3381</v>
      </c>
      <c r="C26" s="3210"/>
      <c r="D26" s="3210"/>
      <c r="E26" s="3210"/>
      <c r="F26" s="3210"/>
      <c r="G26" s="3210"/>
      <c r="H26" s="3210"/>
      <c r="I26" s="3210"/>
      <c r="J26" s="3164"/>
      <c r="K26" s="3210" t="s">
        <v>2826</v>
      </c>
      <c r="L26" s="3210"/>
      <c r="M26" s="3210"/>
      <c r="N26" s="3210"/>
      <c r="O26" s="3210"/>
      <c r="P26" s="3210"/>
      <c r="Q26" s="3164"/>
      <c r="R26" s="3831" t="s">
        <v>2827</v>
      </c>
      <c r="S26" s="3832"/>
      <c r="T26" s="3832"/>
      <c r="U26" s="3832"/>
      <c r="V26" s="3832"/>
      <c r="W26" s="3832"/>
      <c r="X26" s="3164"/>
      <c r="Y26" s="3831" t="s">
        <v>2828</v>
      </c>
      <c r="Z26" s="3832"/>
      <c r="AA26" s="3832"/>
      <c r="AB26" s="3832"/>
      <c r="AC26" s="3832"/>
      <c r="AD26" s="3832"/>
    </row>
    <row r="27" spans="1:33"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3"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3"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3"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3"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c r="AF31" s="3194">
        <v>100</v>
      </c>
      <c r="AG31" s="3194">
        <f>ROUND(AG32*(1+I31/100),2)</f>
        <v>101.69</v>
      </c>
    </row>
    <row r="32" spans="1:33"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c r="AF32" s="3184">
        <f>ROUND(AF31*(1+I31/100),2)</f>
        <v>99.29</v>
      </c>
      <c r="AG32" s="3184">
        <f t="shared" ref="AG32:AG43" si="88">ROUND(AG33*(1+I32/100),2)</f>
        <v>102.42</v>
      </c>
    </row>
    <row r="33" spans="1:34" s="3184" customFormat="1" ht="12.75">
      <c r="A33" s="3175" t="s">
        <v>3379</v>
      </c>
      <c r="B33" s="3176">
        <v>2024</v>
      </c>
      <c r="C33" s="3177">
        <v>2</v>
      </c>
      <c r="D33" s="3178"/>
      <c r="E33" s="3178">
        <v>-0.31</v>
      </c>
      <c r="F33" s="3178">
        <v>-0.39</v>
      </c>
      <c r="G33" s="3178">
        <v>1.23</v>
      </c>
      <c r="H33" s="3195"/>
      <c r="I33" s="3179">
        <f t="shared" ref="I33:I46" si="89">F33</f>
        <v>-0.39</v>
      </c>
      <c r="J33" s="3180"/>
      <c r="K33" s="3181"/>
      <c r="L33" s="3171">
        <f t="shared" ref="L33:N46" si="90">E33/100</f>
        <v>-3.0999999999999999E-3</v>
      </c>
      <c r="M33" s="3171">
        <f t="shared" si="90"/>
        <v>-3.9000000000000003E-3</v>
      </c>
      <c r="N33" s="3171">
        <f t="shared" si="90"/>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c r="AF33" s="3184">
        <f t="shared" ref="AF33:AF46" si="91">ROUND(AF32*(1+I32/100),2)</f>
        <v>98.77</v>
      </c>
      <c r="AG33" s="3184">
        <f t="shared" si="88"/>
        <v>102.96</v>
      </c>
    </row>
    <row r="34" spans="1:34" s="3498" customFormat="1" ht="12.75">
      <c r="A34" s="3486" t="s">
        <v>3374</v>
      </c>
      <c r="B34" s="3487">
        <v>2024</v>
      </c>
      <c r="C34" s="3488">
        <v>1</v>
      </c>
      <c r="D34" s="3489"/>
      <c r="E34" s="3489">
        <v>0.25</v>
      </c>
      <c r="F34" s="3489">
        <v>0.4</v>
      </c>
      <c r="G34" s="3489">
        <v>-0.63</v>
      </c>
      <c r="H34" s="3490"/>
      <c r="I34" s="3491">
        <f t="shared" ref="I34:I35" si="92">F34</f>
        <v>0.4</v>
      </c>
      <c r="J34" s="3492"/>
      <c r="K34" s="3493"/>
      <c r="L34" s="3494">
        <f t="shared" ref="L34" si="93">E34/100</f>
        <v>2.5000000000000001E-3</v>
      </c>
      <c r="M34" s="3494">
        <f t="shared" ref="M34" si="94">F34/100</f>
        <v>4.0000000000000001E-3</v>
      </c>
      <c r="N34" s="3494">
        <f t="shared" ref="N34" si="95">G34/100</f>
        <v>-6.3E-3</v>
      </c>
      <c r="O34" s="3494"/>
      <c r="P34" s="3494">
        <f t="shared" ref="P34" si="96">M34</f>
        <v>4.0000000000000001E-3</v>
      </c>
      <c r="Q34" s="3492"/>
      <c r="R34" s="3492"/>
      <c r="S34" s="3492">
        <f>ROUND(IF(项目基本情况!$B$8="出让",SUMPRODUCT(PRODUCT(1+L34:L$46)),SUMPRODUCT(PRODUCT(1+L34:L$45))),4)</f>
        <v>1.0465</v>
      </c>
      <c r="T34" s="3492">
        <f>ROUND(IF(项目基本情况!$B$8="出让",SUMPRODUCT(PRODUCT(1+M34:M$46)),SUMPRODUCT(PRODUCT(1+M34:M$45))),4)</f>
        <v>1.0338000000000001</v>
      </c>
      <c r="U34" s="3492">
        <f>ROUND(IF(项目基本情况!$B$8="出让",SUMPRODUCT(PRODUCT(1+N34:N$46)),SUMPRODUCT(PRODUCT(1+N34:N$45))),4)</f>
        <v>1.0659000000000001</v>
      </c>
      <c r="V34" s="3492"/>
      <c r="W34" s="3492">
        <f t="shared" ref="W34" si="97">T34</f>
        <v>1.0338000000000001</v>
      </c>
      <c r="X34" s="3492"/>
      <c r="Y34" s="3494"/>
      <c r="Z34" s="3495"/>
      <c r="AA34" s="3496"/>
      <c r="AB34" s="3494"/>
      <c r="AC34" s="3497"/>
      <c r="AD34" s="3494"/>
      <c r="AF34" s="3498">
        <f t="shared" si="91"/>
        <v>98.38</v>
      </c>
      <c r="AG34" s="3498">
        <f>ROUND(AG35*(1+I34/100),2)</f>
        <v>103.36</v>
      </c>
      <c r="AH34" s="3498">
        <f>AG31*100/AG34</f>
        <v>98.384287925696597</v>
      </c>
    </row>
    <row r="35" spans="1:34" s="3184" customFormat="1" ht="12.75">
      <c r="A35" s="3175" t="s">
        <v>3372</v>
      </c>
      <c r="B35" s="3176">
        <v>2023</v>
      </c>
      <c r="C35" s="3177">
        <v>4</v>
      </c>
      <c r="D35" s="3178"/>
      <c r="E35" s="3178">
        <v>7.0000000000000007E-2</v>
      </c>
      <c r="F35" s="3178">
        <v>0.09</v>
      </c>
      <c r="G35" s="3178">
        <v>0.03</v>
      </c>
      <c r="H35" s="3195"/>
      <c r="I35" s="3179">
        <f t="shared" si="92"/>
        <v>0.09</v>
      </c>
      <c r="J35" s="3180"/>
      <c r="K35" s="3181"/>
      <c r="L35" s="3171">
        <f t="shared" si="90"/>
        <v>7.000000000000001E-4</v>
      </c>
      <c r="M35" s="3171">
        <f t="shared" si="90"/>
        <v>8.9999999999999998E-4</v>
      </c>
      <c r="N35" s="3171">
        <f t="shared" si="90"/>
        <v>2.9999999999999997E-4</v>
      </c>
      <c r="O35" s="3171"/>
      <c r="P35" s="3171">
        <f t="shared" ref="P35" si="98">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9">T35</f>
        <v>1.0297000000000001</v>
      </c>
      <c r="X35" s="3180"/>
      <c r="Y35" s="3183"/>
      <c r="Z35" s="3211"/>
      <c r="AA35" s="3213"/>
      <c r="AB35" s="3183"/>
      <c r="AC35" s="3212"/>
      <c r="AD35" s="3183"/>
      <c r="AF35" s="3184">
        <f t="shared" si="91"/>
        <v>98.77</v>
      </c>
      <c r="AG35" s="3184">
        <f t="shared" si="88"/>
        <v>102.95</v>
      </c>
    </row>
    <row r="36" spans="1:34" s="3184" customFormat="1" ht="12.75">
      <c r="A36" s="3175" t="s">
        <v>3370</v>
      </c>
      <c r="B36" s="3176">
        <v>2023</v>
      </c>
      <c r="C36" s="3177">
        <v>3</v>
      </c>
      <c r="D36" s="3178"/>
      <c r="E36" s="3178">
        <v>0.35</v>
      </c>
      <c r="F36" s="3178">
        <v>0.17</v>
      </c>
      <c r="G36" s="3178">
        <v>0.52</v>
      </c>
      <c r="H36" s="3195"/>
      <c r="I36" s="3179">
        <f t="shared" si="89"/>
        <v>0.17</v>
      </c>
      <c r="J36" s="3180"/>
      <c r="K36" s="3181"/>
      <c r="L36" s="3171">
        <f t="shared" ref="L36:L38" si="100">E36/100</f>
        <v>3.4999999999999996E-3</v>
      </c>
      <c r="M36" s="3171">
        <f t="shared" ref="M36:M38" si="101">F36/100</f>
        <v>1.7000000000000001E-3</v>
      </c>
      <c r="N36" s="3171">
        <f t="shared" ref="N36:N38" si="102">G36/100</f>
        <v>5.1999999999999998E-3</v>
      </c>
      <c r="O36" s="3171"/>
      <c r="P36" s="3171">
        <f t="shared" ref="P36:P38" si="103">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4">T36</f>
        <v>1.0286999999999999</v>
      </c>
      <c r="X36" s="3180"/>
      <c r="Y36" s="3183"/>
      <c r="Z36" s="3211"/>
      <c r="AA36" s="3213"/>
      <c r="AB36" s="3183"/>
      <c r="AC36" s="3212"/>
      <c r="AD36" s="3183"/>
      <c r="AF36" s="3184">
        <f t="shared" si="91"/>
        <v>98.86</v>
      </c>
      <c r="AG36" s="3184">
        <f t="shared" si="88"/>
        <v>102.86</v>
      </c>
    </row>
    <row r="37" spans="1:34" s="3184" customFormat="1" ht="12.75">
      <c r="A37" s="3175" t="s">
        <v>3369</v>
      </c>
      <c r="B37" s="3176">
        <v>2023</v>
      </c>
      <c r="C37" s="3177">
        <v>2</v>
      </c>
      <c r="D37" s="3178"/>
      <c r="E37" s="3178">
        <v>0.5</v>
      </c>
      <c r="F37" s="3178">
        <v>0.45</v>
      </c>
      <c r="G37" s="3178">
        <v>0.89</v>
      </c>
      <c r="H37" s="3195"/>
      <c r="I37" s="3179">
        <f t="shared" si="89"/>
        <v>0.45</v>
      </c>
      <c r="J37" s="3180"/>
      <c r="K37" s="3181"/>
      <c r="L37" s="3171">
        <f t="shared" si="100"/>
        <v>5.0000000000000001E-3</v>
      </c>
      <c r="M37" s="3171">
        <f t="shared" si="101"/>
        <v>4.5000000000000005E-3</v>
      </c>
      <c r="N37" s="3171">
        <f t="shared" si="102"/>
        <v>8.8999999999999999E-3</v>
      </c>
      <c r="O37" s="3171"/>
      <c r="P37" s="3171">
        <f t="shared" si="103"/>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4"/>
        <v>1.0269999999999999</v>
      </c>
      <c r="X37" s="3180"/>
      <c r="Y37" s="3183"/>
      <c r="Z37" s="3211"/>
      <c r="AA37" s="3213"/>
      <c r="AB37" s="3183"/>
      <c r="AC37" s="3212"/>
      <c r="AD37" s="3183"/>
      <c r="AF37" s="3184">
        <f t="shared" si="91"/>
        <v>99.03</v>
      </c>
      <c r="AG37" s="3184">
        <f t="shared" si="88"/>
        <v>102.69</v>
      </c>
    </row>
    <row r="38" spans="1:34" s="3498" customFormat="1" ht="12.75">
      <c r="A38" s="3486" t="s">
        <v>3367</v>
      </c>
      <c r="B38" s="3487">
        <v>2023</v>
      </c>
      <c r="C38" s="3488">
        <v>1</v>
      </c>
      <c r="D38" s="3489"/>
      <c r="E38" s="3489">
        <v>0.55000000000000004</v>
      </c>
      <c r="F38" s="3489">
        <v>0.59</v>
      </c>
      <c r="G38" s="3489">
        <v>0.64</v>
      </c>
      <c r="H38" s="3490"/>
      <c r="I38" s="3491">
        <f t="shared" si="89"/>
        <v>0.59</v>
      </c>
      <c r="J38" s="3492"/>
      <c r="K38" s="3493"/>
      <c r="L38" s="3494">
        <f t="shared" si="100"/>
        <v>5.5000000000000005E-3</v>
      </c>
      <c r="M38" s="3494">
        <f t="shared" si="101"/>
        <v>5.8999999999999999E-3</v>
      </c>
      <c r="N38" s="3494">
        <f t="shared" si="102"/>
        <v>6.4000000000000003E-3</v>
      </c>
      <c r="O38" s="3494"/>
      <c r="P38" s="3494">
        <f t="shared" si="103"/>
        <v>5.8999999999999999E-3</v>
      </c>
      <c r="Q38" s="3492"/>
      <c r="R38" s="3492"/>
      <c r="S38" s="3492">
        <f>ROUND(IF(项目基本情况!$B$8="出让",SUMPRODUCT(PRODUCT(1+L38:L$46)),SUMPRODUCT(PRODUCT(1+L38:L$45))),4)</f>
        <v>1.0344</v>
      </c>
      <c r="T38" s="3492">
        <f>ROUND(IF(项目基本情况!$B$8="出让",SUMPRODUCT(PRODUCT(1+M38:M$46)),SUMPRODUCT(PRODUCT(1+M38:M$45))),4)</f>
        <v>1.0224</v>
      </c>
      <c r="U38" s="3492">
        <f>ROUND(IF(项目基本情况!$B$8="出让",SUMPRODUCT(PRODUCT(1+N38:N$46)),SUMPRODUCT(PRODUCT(1+N38:N$45))),4)</f>
        <v>1.0573999999999999</v>
      </c>
      <c r="V38" s="3492"/>
      <c r="W38" s="3492">
        <f t="shared" si="104"/>
        <v>1.0224</v>
      </c>
      <c r="X38" s="3492"/>
      <c r="Y38" s="3494"/>
      <c r="Z38" s="3495"/>
      <c r="AA38" s="3496"/>
      <c r="AB38" s="3494"/>
      <c r="AC38" s="3497"/>
      <c r="AD38" s="3494"/>
      <c r="AF38" s="3498">
        <f t="shared" si="91"/>
        <v>99.48</v>
      </c>
      <c r="AG38" s="3498">
        <f t="shared" si="88"/>
        <v>102.23</v>
      </c>
      <c r="AH38" s="3498">
        <f>AG31*100/AG38</f>
        <v>99.471779321138598</v>
      </c>
    </row>
    <row r="39" spans="1:34" s="3184" customFormat="1" ht="12.75">
      <c r="A39" s="3175" t="s">
        <v>3366</v>
      </c>
      <c r="B39" s="3176">
        <v>2022</v>
      </c>
      <c r="C39" s="3177">
        <v>4</v>
      </c>
      <c r="D39" s="3178"/>
      <c r="E39" s="3178">
        <v>0.45</v>
      </c>
      <c r="F39" s="3178">
        <v>0.2</v>
      </c>
      <c r="G39" s="3178">
        <v>0.38</v>
      </c>
      <c r="H39" s="3195"/>
      <c r="I39" s="3179">
        <f t="shared" si="89"/>
        <v>0.2</v>
      </c>
      <c r="J39" s="3180"/>
      <c r="K39" s="3181"/>
      <c r="L39" s="3171">
        <f t="shared" si="90"/>
        <v>4.5000000000000005E-3</v>
      </c>
      <c r="M39" s="3171">
        <f t="shared" si="90"/>
        <v>2E-3</v>
      </c>
      <c r="N39" s="3171">
        <f t="shared" si="90"/>
        <v>3.8E-3</v>
      </c>
      <c r="O39" s="3171"/>
      <c r="P39" s="3171">
        <f t="shared" ref="P39:P46" si="105">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6">T39</f>
        <v>1.0164</v>
      </c>
      <c r="X39" s="3180"/>
      <c r="Y39" s="3183"/>
      <c r="Z39" s="3211">
        <f t="shared" ref="Z39:AD46" si="107">IF(E39=0,0,ROUND(AVERAGE(E39:E47)/100,4))</f>
        <v>4.0000000000000001E-3</v>
      </c>
      <c r="AA39" s="3213">
        <f t="shared" si="107"/>
        <v>2.5999999999999999E-3</v>
      </c>
      <c r="AB39" s="3183">
        <f t="shared" si="107"/>
        <v>7.4000000000000003E-3</v>
      </c>
      <c r="AC39" s="3212"/>
      <c r="AD39" s="3183">
        <f t="shared" si="107"/>
        <v>2.5999999999999999E-3</v>
      </c>
      <c r="AF39" s="3184">
        <f t="shared" si="91"/>
        <v>100.07</v>
      </c>
      <c r="AG39" s="3184">
        <f t="shared" si="88"/>
        <v>101.63</v>
      </c>
    </row>
    <row r="40" spans="1:34" s="3184" customFormat="1" ht="12.75">
      <c r="A40" s="3175" t="s">
        <v>3365</v>
      </c>
      <c r="B40" s="3176">
        <v>2022</v>
      </c>
      <c r="C40" s="3177">
        <v>3</v>
      </c>
      <c r="D40" s="3178"/>
      <c r="E40" s="3178">
        <v>0.3</v>
      </c>
      <c r="F40" s="3178">
        <v>0.28999999999999998</v>
      </c>
      <c r="G40" s="3178">
        <v>0.83</v>
      </c>
      <c r="H40" s="3195"/>
      <c r="I40" s="3179">
        <f t="shared" si="89"/>
        <v>0.28999999999999998</v>
      </c>
      <c r="J40" s="3180"/>
      <c r="K40" s="3181"/>
      <c r="L40" s="3171">
        <f t="shared" si="90"/>
        <v>3.0000000000000001E-3</v>
      </c>
      <c r="M40" s="3171">
        <f t="shared" si="90"/>
        <v>2.8999999999999998E-3</v>
      </c>
      <c r="N40" s="3171">
        <f t="shared" si="90"/>
        <v>8.3000000000000001E-3</v>
      </c>
      <c r="O40" s="3171"/>
      <c r="P40" s="3171">
        <f t="shared" si="105"/>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6"/>
        <v>1.0144</v>
      </c>
      <c r="X40" s="3180"/>
      <c r="Y40" s="3183"/>
      <c r="Z40" s="3211">
        <f t="shared" si="107"/>
        <v>3.8999999999999998E-3</v>
      </c>
      <c r="AA40" s="3213">
        <f t="shared" si="107"/>
        <v>2.7000000000000001E-3</v>
      </c>
      <c r="AB40" s="3183">
        <f t="shared" si="107"/>
        <v>7.9000000000000008E-3</v>
      </c>
      <c r="AC40" s="3212"/>
      <c r="AD40" s="3183">
        <f t="shared" si="107"/>
        <v>2.7000000000000001E-3</v>
      </c>
      <c r="AF40" s="3184">
        <f t="shared" si="91"/>
        <v>100.27</v>
      </c>
      <c r="AG40" s="3184">
        <f t="shared" si="88"/>
        <v>101.43</v>
      </c>
    </row>
    <row r="41" spans="1:34" s="3498" customFormat="1" ht="12.75">
      <c r="A41" s="3486" t="s">
        <v>3355</v>
      </c>
      <c r="B41" s="3487">
        <v>2022</v>
      </c>
      <c r="C41" s="3488">
        <v>2</v>
      </c>
      <c r="D41" s="3489"/>
      <c r="E41" s="3489">
        <v>-0.11</v>
      </c>
      <c r="F41" s="3489">
        <v>-0.13</v>
      </c>
      <c r="G41" s="3489">
        <v>0.53</v>
      </c>
      <c r="H41" s="3490"/>
      <c r="I41" s="3491">
        <f t="shared" si="89"/>
        <v>-0.13</v>
      </c>
      <c r="J41" s="3492"/>
      <c r="K41" s="3493"/>
      <c r="L41" s="3494">
        <f t="shared" si="90"/>
        <v>-1.1000000000000001E-3</v>
      </c>
      <c r="M41" s="3494">
        <f t="shared" si="90"/>
        <v>-1.2999999999999999E-3</v>
      </c>
      <c r="N41" s="3494">
        <f t="shared" si="90"/>
        <v>5.3E-3</v>
      </c>
      <c r="O41" s="3494"/>
      <c r="P41" s="3494">
        <f t="shared" si="105"/>
        <v>-1.2999999999999999E-3</v>
      </c>
      <c r="Q41" s="3492"/>
      <c r="R41" s="3492"/>
      <c r="S41" s="3492">
        <f>ROUND(IF(项目基本情况!$B$8="出让",SUMPRODUCT(PRODUCT(1+L41:L$46)),SUMPRODUCT(PRODUCT(1+L41:L$45))),4)</f>
        <v>1.0210999999999999</v>
      </c>
      <c r="T41" s="3492">
        <f>ROUND(IF(项目基本情况!$B$8="出让",SUMPRODUCT(PRODUCT(1+M41:M$46)),SUMPRODUCT(PRODUCT(1+M41:M$45))),4)</f>
        <v>1.0114000000000001</v>
      </c>
      <c r="U41" s="3492">
        <f>ROUND(IF(项目基本情况!$B$8="出让",SUMPRODUCT(PRODUCT(1+N41:N$46)),SUMPRODUCT(PRODUCT(1+N41:N$45))),4)</f>
        <v>1.0381</v>
      </c>
      <c r="V41" s="3492"/>
      <c r="W41" s="3492">
        <f t="shared" si="106"/>
        <v>1.0114000000000001</v>
      </c>
      <c r="X41" s="3492"/>
      <c r="Y41" s="3494"/>
      <c r="Z41" s="3495">
        <f t="shared" si="107"/>
        <v>4.1000000000000003E-3</v>
      </c>
      <c r="AA41" s="3496">
        <f t="shared" si="107"/>
        <v>2.7000000000000001E-3</v>
      </c>
      <c r="AB41" s="3494">
        <f t="shared" si="107"/>
        <v>7.9000000000000008E-3</v>
      </c>
      <c r="AC41" s="3497"/>
      <c r="AD41" s="3494">
        <f t="shared" si="107"/>
        <v>2.7000000000000001E-3</v>
      </c>
      <c r="AF41" s="3498">
        <f t="shared" si="91"/>
        <v>100.56</v>
      </c>
      <c r="AG41" s="3498">
        <f t="shared" si="88"/>
        <v>101.14</v>
      </c>
      <c r="AH41" s="3498">
        <f>AG31*100/AG41</f>
        <v>100.54380067233538</v>
      </c>
    </row>
    <row r="42" spans="1:34" s="3184" customFormat="1" ht="12.75">
      <c r="A42" s="3175" t="s">
        <v>2835</v>
      </c>
      <c r="B42" s="3176">
        <v>2022</v>
      </c>
      <c r="C42" s="3177">
        <v>1</v>
      </c>
      <c r="D42" s="3178"/>
      <c r="E42" s="3178">
        <v>0.6</v>
      </c>
      <c r="F42" s="3178">
        <v>0.45</v>
      </c>
      <c r="G42" s="3178">
        <v>0.53</v>
      </c>
      <c r="H42" s="3195"/>
      <c r="I42" s="3179">
        <f t="shared" si="89"/>
        <v>0.45</v>
      </c>
      <c r="J42" s="3180"/>
      <c r="K42" s="3181"/>
      <c r="L42" s="3171">
        <f t="shared" si="90"/>
        <v>6.0000000000000001E-3</v>
      </c>
      <c r="M42" s="3171">
        <f t="shared" si="90"/>
        <v>4.5000000000000005E-3</v>
      </c>
      <c r="N42" s="3171">
        <f t="shared" si="90"/>
        <v>5.3E-3</v>
      </c>
      <c r="O42" s="3171"/>
      <c r="P42" s="3171">
        <f t="shared" si="105"/>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6"/>
        <v>1.0127999999999999</v>
      </c>
      <c r="X42" s="3180"/>
      <c r="Y42" s="3183"/>
      <c r="Z42" s="3211">
        <f t="shared" si="107"/>
        <v>5.1000000000000004E-3</v>
      </c>
      <c r="AA42" s="3213">
        <f t="shared" si="107"/>
        <v>3.5000000000000001E-3</v>
      </c>
      <c r="AB42" s="3183">
        <f t="shared" si="107"/>
        <v>8.3999999999999995E-3</v>
      </c>
      <c r="AC42" s="3212"/>
      <c r="AD42" s="3183">
        <f t="shared" si="107"/>
        <v>3.5000000000000001E-3</v>
      </c>
      <c r="AF42" s="3184">
        <f t="shared" si="91"/>
        <v>100.43</v>
      </c>
      <c r="AG42" s="3184">
        <f t="shared" si="88"/>
        <v>101.27</v>
      </c>
    </row>
    <row r="43" spans="1:34" s="3184" customFormat="1" ht="12.75">
      <c r="A43" s="3175" t="s">
        <v>2836</v>
      </c>
      <c r="B43" s="3176">
        <v>2021</v>
      </c>
      <c r="C43" s="3177">
        <v>4</v>
      </c>
      <c r="D43" s="3178"/>
      <c r="E43" s="3178">
        <v>0.57999999999999996</v>
      </c>
      <c r="F43" s="3178">
        <v>0.08</v>
      </c>
      <c r="G43" s="3178">
        <v>0.68</v>
      </c>
      <c r="H43" s="3195"/>
      <c r="I43" s="3179">
        <f t="shared" si="89"/>
        <v>0.08</v>
      </c>
      <c r="J43" s="3180"/>
      <c r="K43" s="3181"/>
      <c r="L43" s="3171">
        <f t="shared" si="90"/>
        <v>5.7999999999999996E-3</v>
      </c>
      <c r="M43" s="3171">
        <f t="shared" si="90"/>
        <v>8.0000000000000004E-4</v>
      </c>
      <c r="N43" s="3171">
        <f t="shared" si="90"/>
        <v>6.8000000000000005E-3</v>
      </c>
      <c r="O43" s="3171"/>
      <c r="P43" s="3171">
        <f t="shared" si="105"/>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6"/>
        <v>1.0082</v>
      </c>
      <c r="X43" s="3180"/>
      <c r="Y43" s="3183"/>
      <c r="Z43" s="3211">
        <f t="shared" si="107"/>
        <v>4.8999999999999998E-3</v>
      </c>
      <c r="AA43" s="3213">
        <f t="shared" si="107"/>
        <v>3.3E-3</v>
      </c>
      <c r="AB43" s="3183">
        <f t="shared" si="107"/>
        <v>9.1999999999999998E-3</v>
      </c>
      <c r="AC43" s="3212"/>
      <c r="AD43" s="3183">
        <f t="shared" si="107"/>
        <v>3.3E-3</v>
      </c>
      <c r="AF43" s="3184">
        <f t="shared" si="91"/>
        <v>100.88</v>
      </c>
      <c r="AG43" s="3184">
        <f t="shared" si="88"/>
        <v>100.82</v>
      </c>
    </row>
    <row r="44" spans="1:34" s="3184" customFormat="1" ht="12.75">
      <c r="A44" s="3175" t="s">
        <v>2837</v>
      </c>
      <c r="B44" s="3176">
        <v>2021</v>
      </c>
      <c r="C44" s="3177">
        <v>3</v>
      </c>
      <c r="D44" s="3178"/>
      <c r="E44" s="3178">
        <v>0.47</v>
      </c>
      <c r="F44" s="3178">
        <v>0.28000000000000003</v>
      </c>
      <c r="G44" s="3178">
        <v>0.91</v>
      </c>
      <c r="H44" s="3195"/>
      <c r="I44" s="3179">
        <f t="shared" si="89"/>
        <v>0.28000000000000003</v>
      </c>
      <c r="J44" s="3180"/>
      <c r="K44" s="3181"/>
      <c r="L44" s="3171">
        <f t="shared" si="90"/>
        <v>4.6999999999999993E-3</v>
      </c>
      <c r="M44" s="3171">
        <f t="shared" si="90"/>
        <v>2.8000000000000004E-3</v>
      </c>
      <c r="N44" s="3171">
        <f t="shared" si="90"/>
        <v>9.1000000000000004E-3</v>
      </c>
      <c r="O44" s="3171"/>
      <c r="P44" s="3171">
        <f t="shared" si="105"/>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6"/>
        <v>1.0074000000000001</v>
      </c>
      <c r="X44" s="3180"/>
      <c r="Y44" s="3183"/>
      <c r="Z44" s="3211">
        <f t="shared" si="107"/>
        <v>4.5999999999999999E-3</v>
      </c>
      <c r="AA44" s="3213">
        <f t="shared" si="107"/>
        <v>4.1000000000000003E-3</v>
      </c>
      <c r="AB44" s="3183">
        <f t="shared" si="107"/>
        <v>0.01</v>
      </c>
      <c r="AC44" s="3212"/>
      <c r="AD44" s="3183">
        <f t="shared" si="107"/>
        <v>4.1000000000000003E-3</v>
      </c>
      <c r="AF44" s="3184">
        <f t="shared" si="91"/>
        <v>100.96</v>
      </c>
      <c r="AG44" s="3184">
        <f>ROUND(AG45*(1+I44/100),2)</f>
        <v>100.74</v>
      </c>
    </row>
    <row r="45" spans="1:34" s="3184" customFormat="1" ht="12.75">
      <c r="A45" s="3175" t="s">
        <v>2838</v>
      </c>
      <c r="B45" s="3176">
        <v>2021</v>
      </c>
      <c r="C45" s="3177">
        <v>2</v>
      </c>
      <c r="D45" s="3178"/>
      <c r="E45" s="3178">
        <v>0.55000000000000004</v>
      </c>
      <c r="F45" s="3178">
        <v>0.46</v>
      </c>
      <c r="G45" s="3178">
        <v>1.1000000000000001</v>
      </c>
      <c r="H45" s="3195"/>
      <c r="I45" s="3179">
        <f t="shared" si="89"/>
        <v>0.46</v>
      </c>
      <c r="J45" s="3180"/>
      <c r="K45" s="3181"/>
      <c r="L45" s="3171">
        <f t="shared" si="90"/>
        <v>5.5000000000000005E-3</v>
      </c>
      <c r="M45" s="3171">
        <f t="shared" si="90"/>
        <v>4.5999999999999999E-3</v>
      </c>
      <c r="N45" s="3171">
        <f t="shared" si="90"/>
        <v>1.1000000000000001E-2</v>
      </c>
      <c r="O45" s="3171"/>
      <c r="P45" s="3171">
        <f t="shared" si="105"/>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6"/>
        <v>1.0045999999999999</v>
      </c>
      <c r="X45" s="3180"/>
      <c r="Y45" s="3183"/>
      <c r="Z45" s="3211">
        <f t="shared" si="107"/>
        <v>4.4999999999999997E-3</v>
      </c>
      <c r="AA45" s="3213">
        <f t="shared" si="107"/>
        <v>4.7000000000000002E-3</v>
      </c>
      <c r="AB45" s="3183">
        <f t="shared" si="107"/>
        <v>1.04E-2</v>
      </c>
      <c r="AC45" s="3212"/>
      <c r="AD45" s="3183">
        <f t="shared" si="107"/>
        <v>4.7000000000000002E-3</v>
      </c>
      <c r="AF45" s="3184">
        <f t="shared" si="91"/>
        <v>101.24</v>
      </c>
      <c r="AG45" s="3184">
        <f>AG46*(1+I45/100)</f>
        <v>100.46</v>
      </c>
    </row>
    <row r="46" spans="1:34" s="3206" customFormat="1" thickBot="1">
      <c r="A46" s="3196" t="s">
        <v>2824</v>
      </c>
      <c r="B46" s="3197">
        <v>2021</v>
      </c>
      <c r="C46" s="3198">
        <v>1</v>
      </c>
      <c r="D46" s="3199"/>
      <c r="E46" s="3199">
        <v>0.35</v>
      </c>
      <c r="F46" s="3199">
        <v>0.48</v>
      </c>
      <c r="G46" s="3199">
        <v>0.98</v>
      </c>
      <c r="H46" s="3200"/>
      <c r="I46" s="3201">
        <f t="shared" si="89"/>
        <v>0.48</v>
      </c>
      <c r="J46" s="3202"/>
      <c r="K46" s="3203"/>
      <c r="L46" s="3204">
        <f t="shared" si="90"/>
        <v>3.4999999999999996E-3</v>
      </c>
      <c r="M46" s="3204">
        <f>F46/100</f>
        <v>4.7999999999999996E-3</v>
      </c>
      <c r="N46" s="3204">
        <f t="shared" si="90"/>
        <v>9.7999999999999997E-3</v>
      </c>
      <c r="O46" s="3204"/>
      <c r="P46" s="3204">
        <f t="shared" si="105"/>
        <v>4.7999999999999996E-3</v>
      </c>
      <c r="Q46" s="3202"/>
      <c r="R46" s="3205"/>
      <c r="S46" s="3205">
        <v>1</v>
      </c>
      <c r="T46" s="3205">
        <v>1</v>
      </c>
      <c r="U46" s="3205">
        <v>1</v>
      </c>
      <c r="V46" s="3205"/>
      <c r="W46" s="3205">
        <f t="shared" si="106"/>
        <v>1</v>
      </c>
      <c r="X46" s="3202"/>
      <c r="Y46" s="3204"/>
      <c r="Z46" s="3217">
        <f t="shared" si="107"/>
        <v>3.5000000000000001E-3</v>
      </c>
      <c r="AA46" s="3218">
        <f t="shared" si="107"/>
        <v>4.7999999999999996E-3</v>
      </c>
      <c r="AB46" s="3204">
        <f t="shared" si="107"/>
        <v>9.7999999999999997E-3</v>
      </c>
      <c r="AC46" s="3219"/>
      <c r="AD46" s="3204">
        <f t="shared" si="107"/>
        <v>4.7999999999999996E-3</v>
      </c>
      <c r="AF46" s="3206">
        <f t="shared" si="91"/>
        <v>101.71</v>
      </c>
      <c r="AG46" s="3206">
        <v>100</v>
      </c>
    </row>
    <row r="47" spans="1:34" ht="14.25" thickTop="1"/>
    <row r="48" spans="1:34">
      <c r="A48" s="3447" t="s">
        <v>3382</v>
      </c>
    </row>
  </sheetData>
  <sheetProtection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8" t="s">
        <v>452</v>
      </c>
      <c r="C1" s="3838"/>
      <c r="D1" s="3838"/>
      <c r="E1" s="3838"/>
      <c r="F1" s="3838"/>
      <c r="G1" s="3834" t="s">
        <v>453</v>
      </c>
      <c r="H1" s="3834"/>
      <c r="I1" s="3834"/>
      <c r="J1" s="3834"/>
      <c r="K1" s="3834"/>
      <c r="L1" s="3834"/>
      <c r="N1" s="3834" t="s">
        <v>454</v>
      </c>
      <c r="O1" s="3834"/>
      <c r="P1" s="3834"/>
      <c r="Q1" s="3834"/>
      <c r="S1" s="3834" t="s">
        <v>455</v>
      </c>
      <c r="T1" s="3834"/>
      <c r="U1" s="3834"/>
      <c r="V1" s="3834"/>
      <c r="X1" s="3833" t="s">
        <v>456</v>
      </c>
      <c r="Y1" s="3834"/>
      <c r="Z1" s="3834"/>
      <c r="AA1" s="3834"/>
      <c r="AB1" s="3834"/>
      <c r="AD1" s="3833" t="s">
        <v>457</v>
      </c>
      <c r="AE1" s="3834"/>
      <c r="AF1" s="3834"/>
      <c r="AG1" s="3834"/>
      <c r="AH1" s="383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3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4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4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4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45741</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14"/>
      <c r="B3" s="3514"/>
      <c r="C3" s="3514"/>
      <c r="D3" s="854" t="s">
        <v>925</v>
      </c>
      <c r="E3" s="854" t="s">
        <v>931</v>
      </c>
      <c r="F3" s="854" t="s">
        <v>925</v>
      </c>
      <c r="G3" s="854" t="s">
        <v>926</v>
      </c>
      <c r="H3" s="854" t="s">
        <v>925</v>
      </c>
      <c r="I3" s="854" t="s">
        <v>926</v>
      </c>
    </row>
    <row r="4" spans="1:9" ht="15">
      <c r="A4" s="1504" t="str">
        <f>项目基本情况!S2</f>
        <v>北京市房地产</v>
      </c>
      <c r="B4" s="854">
        <f>项目基本情况!C17</f>
        <v>39707.96</v>
      </c>
      <c r="C4" s="854">
        <f>项目基本情况!C18</f>
        <v>6294.36</v>
      </c>
      <c r="D4" s="854">
        <f ca="1">结果表!D118</f>
        <v>34985</v>
      </c>
      <c r="E4" s="854">
        <f ca="1">结果表!E118</f>
        <v>8810</v>
      </c>
      <c r="F4" s="854">
        <f ca="1">结果表!F118</f>
        <v>25439</v>
      </c>
      <c r="G4" s="854">
        <f ca="1">结果表!G118</f>
        <v>6407</v>
      </c>
      <c r="H4" s="854">
        <f ca="1">结果表!H118</f>
        <v>60424</v>
      </c>
      <c r="I4" s="854">
        <f ca="1">结果表!I118</f>
        <v>15217</v>
      </c>
    </row>
    <row r="5" spans="1:9" ht="30" customHeight="1">
      <c r="A5" s="3514" t="s">
        <v>927</v>
      </c>
      <c r="B5" s="3514"/>
      <c r="C5" s="3514"/>
      <c r="D5" s="3514" t="str">
        <f ca="1">结果表!D119</f>
        <v>叁亿肆仟玖佰捌拾伍万元整</v>
      </c>
      <c r="E5" s="3514"/>
      <c r="F5" s="3514" t="str">
        <f ca="1">结果表!F119</f>
        <v>贰亿伍仟肆佰叁拾玖万元整</v>
      </c>
      <c r="G5" s="3514"/>
      <c r="H5" s="3514" t="str">
        <f ca="1">结果表!H119</f>
        <v>陆亿零肆佰贰拾肆万元整</v>
      </c>
      <c r="I5" s="3514"/>
    </row>
    <row r="6" spans="1:9" ht="15.75">
      <c r="A6" s="3515" t="str">
        <f>结果表!A120</f>
        <v>估价师知悉的法定优先受偿款</v>
      </c>
      <c r="B6" s="3515"/>
      <c r="C6" s="3515"/>
      <c r="D6" s="3515">
        <f>结果表!D120</f>
        <v>0</v>
      </c>
      <c r="E6" s="3515"/>
      <c r="F6" s="3515"/>
      <c r="G6" s="3515"/>
      <c r="H6" s="3515"/>
      <c r="I6" s="3515"/>
    </row>
    <row r="7" spans="1:9" ht="15">
      <c r="A7" s="3514" t="s">
        <v>927</v>
      </c>
      <c r="B7" s="3514"/>
      <c r="C7" s="3514"/>
      <c r="D7" s="3516" t="str">
        <f>结果表!D121</f>
        <v>零元整</v>
      </c>
      <c r="E7" s="3517"/>
      <c r="F7" s="3517"/>
      <c r="G7" s="3517"/>
      <c r="H7" s="3517"/>
      <c r="I7" s="3518"/>
    </row>
    <row r="8" spans="1:9" ht="15.75">
      <c r="A8" s="3515" t="str">
        <f>结果表!A122</f>
        <v>房地产抵押价值</v>
      </c>
      <c r="B8" s="3515"/>
      <c r="C8" s="3515"/>
      <c r="D8" s="3515">
        <f ca="1">结果表!D122</f>
        <v>60424</v>
      </c>
      <c r="E8" s="3515"/>
      <c r="F8" s="3515"/>
      <c r="G8" s="3515"/>
      <c r="H8" s="3515"/>
      <c r="I8" s="3515"/>
    </row>
    <row r="9" spans="1:9" ht="15">
      <c r="A9" s="3514" t="s">
        <v>927</v>
      </c>
      <c r="B9" s="3514"/>
      <c r="C9" s="3514"/>
      <c r="D9" s="3514" t="str">
        <f ca="1">结果表!D123</f>
        <v>陆亿零肆佰贰拾肆万元整</v>
      </c>
      <c r="E9" s="3514"/>
      <c r="F9" s="3514"/>
      <c r="G9" s="3514"/>
      <c r="H9" s="3514"/>
      <c r="I9" s="3514"/>
    </row>
    <row r="10" spans="1:9" ht="15.75">
      <c r="A10" s="3515" t="str">
        <f>结果表!A124</f>
        <v/>
      </c>
      <c r="B10" s="3515"/>
      <c r="C10" s="3515"/>
      <c r="D10" s="3515" t="str">
        <f>结果表!D124</f>
        <v>——</v>
      </c>
      <c r="E10" s="3515"/>
      <c r="F10" s="3515"/>
      <c r="G10" s="3515"/>
      <c r="H10" s="3515"/>
      <c r="I10" s="3515"/>
    </row>
    <row r="11" spans="1:9" ht="15">
      <c r="A11" s="3514" t="s">
        <v>927</v>
      </c>
      <c r="B11" s="3514"/>
      <c r="C11" s="3514"/>
      <c r="D11" s="3514" t="e">
        <f>结果表!D125</f>
        <v>#VALUE!</v>
      </c>
      <c r="E11" s="3514"/>
      <c r="F11" s="3514"/>
      <c r="G11" s="3514"/>
      <c r="H11" s="3514"/>
      <c r="I11" s="3514"/>
    </row>
    <row r="12" spans="1:9" ht="15.75">
      <c r="A12" s="3515" t="str">
        <f>结果表!A126</f>
        <v/>
      </c>
      <c r="B12" s="3515"/>
      <c r="C12" s="3515"/>
      <c r="D12" s="3515" t="str">
        <f>结果表!D126</f>
        <v>——</v>
      </c>
      <c r="E12" s="3515"/>
      <c r="F12" s="3515"/>
      <c r="G12" s="3515"/>
      <c r="H12" s="3515"/>
      <c r="I12" s="3515"/>
    </row>
    <row r="13" spans="1:9" ht="15.75" thickBot="1">
      <c r="A13" s="3519" t="s">
        <v>927</v>
      </c>
      <c r="B13" s="3519"/>
      <c r="C13" s="3519"/>
      <c r="D13" s="3519" t="e">
        <f>结果表!D127</f>
        <v>#VALUE!</v>
      </c>
      <c r="E13" s="3519"/>
      <c r="F13" s="3519"/>
      <c r="G13" s="3519"/>
      <c r="H13" s="3519"/>
      <c r="I13" s="3519"/>
    </row>
    <row r="14" spans="1:9" ht="15" thickTop="1">
      <c r="A14" s="3520" t="s">
        <v>932</v>
      </c>
      <c r="B14" s="3520"/>
      <c r="C14" s="3520"/>
      <c r="D14" s="3520"/>
      <c r="E14" s="3520"/>
      <c r="F14" s="3520"/>
      <c r="G14" s="3520"/>
      <c r="H14" s="3520"/>
      <c r="I14" s="352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1" t="s">
        <v>949</v>
      </c>
      <c r="B1" s="3521"/>
      <c r="C1" s="3521"/>
      <c r="D1" s="3521"/>
    </row>
    <row r="2" spans="1:4" ht="18">
      <c r="A2" s="3522" t="s">
        <v>933</v>
      </c>
      <c r="B2" s="3522"/>
      <c r="C2" s="3522"/>
      <c r="D2" s="352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2" t="s">
        <v>939</v>
      </c>
      <c r="B6" s="3522"/>
      <c r="C6" s="3522"/>
      <c r="D6" s="352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3" t="s">
        <v>942</v>
      </c>
      <c r="B11" s="3524"/>
      <c r="C11" s="3524"/>
      <c r="D11" s="3524"/>
    </row>
    <row r="12" spans="1:4" ht="15.75">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5"/>
      <c r="C12" s="3525"/>
      <c r="D12" s="3525"/>
    </row>
    <row r="13" spans="1:4" ht="30" customHeight="1">
      <c r="A13" s="35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5"/>
      <c r="C13" s="3525"/>
      <c r="D13" s="3525"/>
    </row>
    <row r="14" spans="1:4" ht="15.75" customHeight="1">
      <c r="A14" s="3524" t="str">
        <f>IF(项目基本情况!B8="抵押","4.本次评估估价师所知悉的法定优先受偿款情况说明如下：","——")</f>
        <v>4.本次评估估价师所知悉的法定优先受偿款情况说明如下：</v>
      </c>
      <c r="B14" s="3525"/>
      <c r="C14" s="3525"/>
      <c r="D14" s="3525"/>
    </row>
    <row r="15" spans="1:4" ht="42" customHeight="1">
      <c r="A15" s="35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4"/>
      <c r="C15" s="3524"/>
      <c r="D15" s="3524"/>
    </row>
    <row r="16" spans="1:4" ht="30" customHeight="1">
      <c r="A16" s="3527" t="s">
        <v>943</v>
      </c>
      <c r="B16" s="3527"/>
      <c r="C16" s="3527"/>
      <c r="D16" s="3527"/>
    </row>
    <row r="17" spans="1:4" ht="144" customHeight="1">
      <c r="A17" s="3527" t="s">
        <v>944</v>
      </c>
      <c r="B17" s="3527"/>
      <c r="C17" s="3527"/>
      <c r="D17" s="3527"/>
    </row>
    <row r="18" spans="1:4" ht="15.75" customHeight="1">
      <c r="A18" s="3524" t="str">
        <f>IF(项目基本情况!B8="抵押",结果表!K120,"——")</f>
        <v>故，本次评估不存在估价师知悉的法定优先受偿款</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4"/>
      <c r="C20" s="3524"/>
      <c r="D20" s="3524"/>
    </row>
    <row r="21" spans="1:4" ht="57.75" customHeight="1">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spans="1:4" ht="18.75" customHeight="1">
      <c r="A22" s="3529" t="s">
        <v>945</v>
      </c>
      <c r="B22" s="3529"/>
      <c r="C22" s="3529"/>
      <c r="D22" s="352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6">
        <v>42551</v>
      </c>
      <c r="D31" s="35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5" t="s">
        <v>956</v>
      </c>
      <c r="B15" s="3530" t="s">
        <v>109</v>
      </c>
      <c r="C15" s="3531"/>
    </row>
    <row r="16" spans="1:7" ht="13.5">
      <c r="A16" s="3536"/>
      <c r="B16" s="3530" t="s">
        <v>42</v>
      </c>
      <c r="C16" s="3531"/>
    </row>
    <row r="17" spans="1:3" ht="13.5">
      <c r="A17" s="3536"/>
      <c r="B17" s="3533" t="s">
        <v>957</v>
      </c>
      <c r="C17" s="1531" t="s">
        <v>956</v>
      </c>
    </row>
    <row r="18" spans="1:3" ht="13.5">
      <c r="A18" s="3536"/>
      <c r="B18" s="3533"/>
      <c r="C18" s="1531" t="s">
        <v>958</v>
      </c>
    </row>
    <row r="19" spans="1:3" ht="13.5">
      <c r="A19" s="3536"/>
      <c r="B19" s="3533"/>
      <c r="C19" s="1531" t="s">
        <v>959</v>
      </c>
    </row>
    <row r="20" spans="1:3" ht="13.5">
      <c r="A20" s="3537"/>
      <c r="B20" s="3532" t="s">
        <v>960</v>
      </c>
      <c r="C20" s="3531"/>
    </row>
    <row r="21" spans="1:3" ht="13.5">
      <c r="A21" s="1532" t="s">
        <v>961</v>
      </c>
      <c r="B21" s="1533"/>
      <c r="C21" s="1534"/>
    </row>
    <row r="22" spans="1:3" ht="13.5">
      <c r="A22" s="3534" t="s">
        <v>962</v>
      </c>
      <c r="B22" s="3532" t="s">
        <v>963</v>
      </c>
      <c r="C22" s="3531"/>
    </row>
    <row r="23" spans="1:3" ht="13.5">
      <c r="A23" s="3534"/>
      <c r="B23" s="3532" t="s">
        <v>964</v>
      </c>
      <c r="C23" s="3531"/>
    </row>
    <row r="24" spans="1:3" ht="13.5">
      <c r="A24" s="3534"/>
      <c r="B24" s="3532" t="s">
        <v>965</v>
      </c>
      <c r="C24" s="3531"/>
    </row>
    <row r="25" spans="1:3" ht="13.5">
      <c r="A25" s="3534"/>
      <c r="B25" s="3533" t="s">
        <v>966</v>
      </c>
      <c r="C25" s="1531" t="s">
        <v>967</v>
      </c>
    </row>
    <row r="26" spans="1:3" ht="13.5">
      <c r="A26" s="3534"/>
      <c r="B26" s="3533"/>
      <c r="C26" s="1531" t="s">
        <v>968</v>
      </c>
    </row>
    <row r="27" spans="1:3" ht="13.5">
      <c r="A27" s="3534"/>
      <c r="B27" s="3533"/>
      <c r="C27" s="1531" t="s">
        <v>969</v>
      </c>
    </row>
    <row r="28" spans="1:3" ht="13.5">
      <c r="A28" s="3534"/>
      <c r="B28" s="3533"/>
      <c r="C28" s="1531" t="s">
        <v>970</v>
      </c>
    </row>
    <row r="29" spans="1:3" ht="13.5">
      <c r="A29" s="3534"/>
      <c r="B29" s="3533"/>
      <c r="C29" s="1531" t="s">
        <v>971</v>
      </c>
    </row>
    <row r="30" spans="1:3" ht="13.5">
      <c r="A30" s="3534"/>
      <c r="B30" s="3533"/>
      <c r="C30" s="1531" t="s">
        <v>972</v>
      </c>
    </row>
    <row r="31" spans="1:3" ht="13.5">
      <c r="A31" s="3534"/>
      <c r="B31" s="3533"/>
      <c r="C31" s="1531" t="s">
        <v>973</v>
      </c>
    </row>
    <row r="32" spans="1:3" ht="13.5">
      <c r="A32" s="3534"/>
      <c r="B32" s="3533"/>
      <c r="C32" s="1531" t="s">
        <v>974</v>
      </c>
    </row>
    <row r="33" spans="1:3" ht="13.5">
      <c r="A33" s="3534"/>
      <c r="B33" s="353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45758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8" t="s">
        <v>2160</v>
      </c>
      <c r="B17" s="3538"/>
      <c r="C17" s="3538"/>
      <c r="D17" s="3538"/>
      <c r="E17" s="3538"/>
      <c r="F17" s="3538"/>
      <c r="G17" s="3538"/>
      <c r="H17" s="3538"/>
    </row>
    <row r="18" spans="1:8" ht="24" customHeight="1">
      <c r="A18" s="3539" t="s">
        <v>2161</v>
      </c>
      <c r="B18" s="3539"/>
      <c r="C18" s="3539"/>
      <c r="D18" s="2342"/>
      <c r="E18" s="3540" t="s">
        <v>2162</v>
      </c>
      <c r="F18" s="3539"/>
      <c r="G18" s="353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土地案例</vt:lpstr>
      <vt:lpstr>成本法</vt:lpstr>
      <vt:lpstr>成本法 (元)</vt:lpstr>
      <vt:lpstr>假设开发法</vt:lpstr>
      <vt:lpstr>土地比较法-住宅、综合</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2025-04-11T05:42:54Z</dcterms:modified>
</cp:coreProperties>
</file>