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45" yWindow="480" windowWidth="11415" windowHeight="7605" tabRatio="899" firstSheet="2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启动会指标" sheetId="92" r:id="rId10"/>
    <sheet name="已建区指标" sheetId="91" r:id="rId11"/>
    <sheet name="新规" sheetId="90" r:id="rId12"/>
    <sheet name="整体综合指标（报规含已建区和小学）" sheetId="89" r:id="rId13"/>
    <sheet name="规划区综合指标" sheetId="88" r:id="rId14"/>
    <sheet name="3.7（七期）指标" sheetId="87" r:id="rId15"/>
    <sheet name="3.6（六期）指标" sheetId="86" r:id="rId16"/>
    <sheet name="3.5（五期）指标" sheetId="85" r:id="rId17"/>
    <sheet name="3.4（四期）指标" sheetId="84" r:id="rId18"/>
    <sheet name="3.3（三期）指标" sheetId="83" r:id="rId19"/>
    <sheet name="3.2.2期指标" sheetId="82" r:id="rId20"/>
    <sheet name="3.2.1期指标" sheetId="81" r:id="rId21"/>
    <sheet name="3.1.2期指标" sheetId="80" r:id="rId22"/>
    <sheet name="3.1.1期指标" sheetId="79" r:id="rId23"/>
    <sheet name="定义" sheetId="10" r:id="rId24"/>
    <sheet name="项目基本情况" sheetId="4" r:id="rId25"/>
    <sheet name="数据-基础表" sheetId="3" r:id="rId26"/>
    <sheet name="抵押物清单（分楼）" sheetId="42" state="hidden" r:id="rId27"/>
    <sheet name="指标" sheetId="93" r:id="rId28"/>
    <sheet name="数据-汇总表" sheetId="6" r:id="rId29"/>
    <sheet name="数据-取费表" sheetId="1" r:id="rId30"/>
    <sheet name="估价对象房地状况" sheetId="20" r:id="rId31"/>
    <sheet name="系统读取表" sheetId="74" r:id="rId32"/>
    <sheet name="结果表" sheetId="9" r:id="rId33"/>
    <sheet name="土地比较法-住宅、综合" sheetId="39" r:id="rId34"/>
    <sheet name="土地案例" sheetId="94" r:id="rId35"/>
    <sheet name="成本法" sheetId="68" r:id="rId36"/>
    <sheet name="成本法 (元)" sheetId="69" state="hidden" r:id="rId37"/>
    <sheet name="假设开发法" sheetId="12" r:id="rId38"/>
    <sheet name="收益法" sheetId="15" state="hidden" r:id="rId39"/>
    <sheet name="收益法 (元)" sheetId="67" state="hidden" r:id="rId40"/>
    <sheet name="收益法（汇总）" sheetId="70" state="hidden" r:id="rId41"/>
    <sheet name="酒店收入计算" sheetId="66" state="hidden" r:id="rId42"/>
    <sheet name="比较法-住宅" sheetId="21" state="hidden" r:id="rId43"/>
    <sheet name="比较法-商业" sheetId="33" state="hidden" r:id="rId44"/>
    <sheet name="比较法-办公" sheetId="34" state="hidden" r:id="rId45"/>
    <sheet name="比较法-工业" sheetId="37" state="hidden" r:id="rId46"/>
    <sheet name="比较法-车位" sheetId="35" state="hidden" r:id="rId47"/>
    <sheet name="比较法-仓储" sheetId="36" state="hidden" r:id="rId48"/>
    <sheet name="土地比较法-工业" sheetId="40" state="hidden" r:id="rId49"/>
    <sheet name="基准地价修正" sheetId="43" state="hidden" r:id="rId50"/>
    <sheet name="修正" sheetId="45" state="hidden" r:id="rId51"/>
    <sheet name="容积率修正" sheetId="46" state="hidden" r:id="rId52"/>
    <sheet name="基准地价（汇总）" sheetId="76" state="hidden" r:id="rId53"/>
    <sheet name="地价" sheetId="71" state="hidden" r:id="rId54"/>
    <sheet name="典型户型修正" sheetId="3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 name="资料" sheetId="77" r:id="rId61"/>
    <sheet name="Sheet2" sheetId="78" r:id="rId62"/>
  </sheets>
  <externalReferences>
    <externalReference r:id="rId63"/>
  </externalReferences>
  <definedNames>
    <definedName name="_xlnm._FilterDatabase" localSheetId="44" hidden="1">'比较法-办公'!$A$1:$L$50</definedName>
    <definedName name="_xlnm._FilterDatabase" localSheetId="47" hidden="1">'比较法-仓储'!$A$1:$L$37</definedName>
    <definedName name="_xlnm._FilterDatabase" localSheetId="46" hidden="1">'比较法-车位'!$A$1:$L$39</definedName>
    <definedName name="_xlnm._FilterDatabase" localSheetId="45" hidden="1">'比较法-工业'!$A$1:$L$43</definedName>
    <definedName name="_xlnm._FilterDatabase" localSheetId="43" hidden="1">'比较法-商业'!$A$1:$L$49</definedName>
    <definedName name="_xlnm._FilterDatabase" localSheetId="42" hidden="1">'比较法-住宅'!$A$1:$L$49</definedName>
    <definedName name="_xlnm._FilterDatabase" localSheetId="25" hidden="1">'数据-基础表'!$A$12:$AT$587</definedName>
    <definedName name="_xlnm._FilterDatabase" localSheetId="48" hidden="1">'土地比较法-工业'!$A$1:$L$43</definedName>
    <definedName name="_xlnm._FilterDatabase" localSheetId="33" hidden="1">'土地比较法-住宅、综合'!$A$1:$L$48</definedName>
    <definedName name="_xlnm._FilterDatabase" localSheetId="24" hidden="1">项目基本情况!$A$42:$N$42</definedName>
    <definedName name="_xlnm.Print_Area" localSheetId="44">'比较法-办公'!$A$1:$K$55,'比较法-办公'!$A$58:$M$132</definedName>
    <definedName name="_xlnm.Print_Area" localSheetId="47">'比较法-仓储'!$A$1:$K$42,'比较法-仓储'!$A$45:$M$96</definedName>
    <definedName name="_xlnm.Print_Area" localSheetId="46">'比较法-车位'!$A$1:$K$44,'比较法-车位'!$A$47:$M$102</definedName>
    <definedName name="_xlnm.Print_Area" localSheetId="45">'比较法-工业'!$A$1:$K$48,'比较法-工业'!$A$51:$M$113</definedName>
    <definedName name="_xlnm.Print_Area" localSheetId="43">'比较法-商业'!$A$1:$K$54,'比较法-商业'!$A$57:$M$131</definedName>
    <definedName name="_xlnm.Print_Area" localSheetId="42">'比较法-住宅'!$A$1:$K$54,'比较法-住宅'!$A$57:$M$131</definedName>
    <definedName name="_xlnm.Print_Area" localSheetId="35">成本法!$A$1:$G$57</definedName>
    <definedName name="_xlnm.Print_Area" localSheetId="36">'成本法 (元)'!$A$1:$G$57</definedName>
    <definedName name="_xlnm.Print_Area" localSheetId="30">估价对象房地状况!$A$1:$G$24</definedName>
    <definedName name="_xlnm.Print_Area" localSheetId="8">估价师及机构信息!$A$1:$G$22</definedName>
    <definedName name="_xlnm.Print_Area" localSheetId="52">'基准地价（汇总）'!$A$1:$E$13</definedName>
    <definedName name="_xlnm.Print_Area" localSheetId="49">基准地价修正!$A$1:$J$41,基准地价修正!$A$45:$H$88,基准地价修正!$R$1:$V$16</definedName>
    <definedName name="_xlnm.Print_Area" localSheetId="37">假设开发法!$A$1:$K$32</definedName>
    <definedName name="_xlnm.Print_Area" localSheetId="32">结果表!$A$1:$I$127</definedName>
    <definedName name="_xlnm.Print_Area" localSheetId="38">收益法!$A$1:$F$43,收益法!$H$3:$M$29,收益法!$A$46:$F$71,收益法!$I$46:$N$65</definedName>
    <definedName name="_xlnm.Print_Area" localSheetId="39">'收益法 (元)'!$A$1:$F$43,'收益法 (元)'!$H$3:$M$29,'收益法 (元)'!$A$45:$F$71,'收益法 (元)'!$I$46:$N$65</definedName>
    <definedName name="_xlnm.Print_Area" localSheetId="40">'收益法（汇总）'!$A$1:$F$13</definedName>
    <definedName name="_xlnm.Print_Area" localSheetId="28">'数据-汇总表'!$A$1:$P$32</definedName>
    <definedName name="_xlnm.Print_Area" localSheetId="48">'土地比较法-工业'!$A$1:$K$61,'土地比较法-工业'!$A$64:$M$121</definedName>
    <definedName name="_xlnm.Print_Area" localSheetId="33">'土地比较法-住宅、综合'!$A$1:$K$66,'土地比较法-住宅、综合'!$A$69:$M$132</definedName>
    <definedName name="_xlnm.Print_Area" localSheetId="31">系统读取表!$A$1:$J$26</definedName>
    <definedName name="_xlnm.Print_Area" localSheetId="24">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2" l="1"/>
  <c r="L8" i="12"/>
  <c r="L7" i="12"/>
  <c r="H6" i="12"/>
  <c r="E6" i="12" l="1"/>
  <c r="D6" i="12"/>
  <c r="J22" i="9"/>
  <c r="G6" i="12" l="1"/>
  <c r="L8" i="1" l="1"/>
  <c r="L10" i="1" s="1"/>
  <c r="L12" i="1" s="1"/>
  <c r="L7" i="1"/>
  <c r="L9" i="1" s="1"/>
  <c r="L11" i="1" s="1"/>
  <c r="L13" i="1" s="1"/>
  <c r="H8" i="12" l="1"/>
  <c r="M32" i="93"/>
  <c r="M31" i="93"/>
  <c r="M21" i="93"/>
  <c r="M22" i="93"/>
  <c r="M23" i="93"/>
  <c r="M24" i="93"/>
  <c r="M25" i="93"/>
  <c r="M26" i="93"/>
  <c r="M27" i="93"/>
  <c r="M28" i="93"/>
  <c r="M29" i="93"/>
  <c r="M30" i="93"/>
  <c r="M20" i="93"/>
  <c r="L31" i="93"/>
  <c r="L27" i="93"/>
  <c r="L26" i="93"/>
  <c r="L25" i="93"/>
  <c r="L23" i="93"/>
  <c r="L22" i="93"/>
  <c r="L21" i="93"/>
  <c r="L30" i="93"/>
  <c r="L29" i="93"/>
  <c r="L28" i="93"/>
  <c r="L24" i="93"/>
  <c r="L20" i="93"/>
  <c r="K21" i="93"/>
  <c r="K22" i="93"/>
  <c r="K23" i="93"/>
  <c r="K24" i="93"/>
  <c r="K25" i="93"/>
  <c r="K26" i="93"/>
  <c r="K27" i="93"/>
  <c r="K28" i="93"/>
  <c r="K29" i="93"/>
  <c r="K30" i="93"/>
  <c r="K20" i="93"/>
  <c r="J30" i="93"/>
  <c r="J29" i="93"/>
  <c r="J28" i="93"/>
  <c r="J27" i="93"/>
  <c r="J26" i="93"/>
  <c r="J25" i="93"/>
  <c r="J24" i="93"/>
  <c r="J23" i="93"/>
  <c r="J22" i="93"/>
  <c r="J21" i="93"/>
  <c r="J20" i="93"/>
  <c r="J8" i="12"/>
  <c r="I8" i="12"/>
  <c r="G8" i="12"/>
  <c r="F8" i="12"/>
  <c r="C8" i="12"/>
  <c r="E8" i="12"/>
  <c r="D8" i="12"/>
  <c r="C6" i="68"/>
  <c r="I46" i="39"/>
  <c r="G46" i="39"/>
  <c r="E46" i="39"/>
  <c r="I38" i="39"/>
  <c r="G38" i="39"/>
  <c r="E38" i="39"/>
  <c r="I11" i="39"/>
  <c r="G11" i="39"/>
  <c r="E11" i="39"/>
  <c r="C11" i="39"/>
  <c r="C10" i="39"/>
  <c r="I7" i="39"/>
  <c r="G7" i="39"/>
  <c r="E7" i="39"/>
  <c r="I6" i="39"/>
  <c r="G6" i="39"/>
  <c r="E6" i="39"/>
  <c r="I5" i="39"/>
  <c r="G5" i="39"/>
  <c r="E5" i="39"/>
  <c r="G125" i="39"/>
  <c r="F125" i="39"/>
  <c r="E125" i="39"/>
  <c r="D125" i="39"/>
  <c r="C125" i="39"/>
  <c r="G123" i="39"/>
  <c r="F123" i="39"/>
  <c r="E123" i="39"/>
  <c r="D123" i="39"/>
  <c r="C123" i="39"/>
  <c r="E118" i="39"/>
  <c r="F118" i="39" s="1"/>
  <c r="G118" i="39" s="1"/>
  <c r="H118" i="39" s="1"/>
  <c r="I118" i="39" s="1"/>
  <c r="J118" i="39" s="1"/>
  <c r="K118" i="39" s="1"/>
  <c r="L118" i="39" s="1"/>
  <c r="D118" i="39"/>
  <c r="E71" i="39"/>
  <c r="F71" i="39" s="1"/>
  <c r="G71" i="39" s="1"/>
  <c r="H71" i="39" s="1"/>
  <c r="I71" i="39" s="1"/>
  <c r="J71" i="39" s="1"/>
  <c r="K71" i="39" s="1"/>
  <c r="L71" i="39" s="1"/>
  <c r="M71" i="39" s="1"/>
  <c r="D71" i="39"/>
  <c r="C38" i="39"/>
  <c r="B35" i="1"/>
  <c r="N13" i="1"/>
  <c r="N12" i="1"/>
  <c r="N11" i="1"/>
  <c r="N10" i="1"/>
  <c r="N9" i="1"/>
  <c r="N8" i="1"/>
  <c r="N7" i="1"/>
  <c r="J13" i="1" l="1"/>
  <c r="J12" i="1"/>
  <c r="J11" i="1"/>
  <c r="J10" i="1"/>
  <c r="J9" i="1"/>
  <c r="J8" i="1"/>
  <c r="J7" i="1"/>
  <c r="I13" i="1"/>
  <c r="I12" i="1"/>
  <c r="I11" i="1"/>
  <c r="I10" i="1"/>
  <c r="I9" i="1"/>
  <c r="I8" i="1"/>
  <c r="I7" i="1"/>
  <c r="I6" i="1"/>
  <c r="H13" i="1"/>
  <c r="H10" i="1"/>
  <c r="H9" i="1"/>
  <c r="H8" i="1"/>
  <c r="H7" i="1"/>
  <c r="G26" i="6"/>
  <c r="G25" i="6"/>
  <c r="F24" i="6"/>
  <c r="F23" i="6"/>
  <c r="F22" i="6"/>
  <c r="F21" i="6"/>
  <c r="F20" i="6"/>
  <c r="F19" i="6"/>
  <c r="C26" i="6"/>
  <c r="C25" i="6"/>
  <c r="C24" i="6"/>
  <c r="C23" i="6"/>
  <c r="C22" i="6"/>
  <c r="C21" i="6"/>
  <c r="C20" i="6"/>
  <c r="C19" i="6"/>
  <c r="AT13" i="3"/>
  <c r="AD13" i="3"/>
  <c r="W13" i="3"/>
  <c r="U13" i="3"/>
  <c r="S13" i="3"/>
  <c r="Q13" i="3"/>
  <c r="O13" i="3"/>
  <c r="M13" i="3"/>
  <c r="K13" i="3"/>
  <c r="I13" i="3"/>
  <c r="A3" i="3"/>
  <c r="H13" i="4"/>
  <c r="G13" i="4"/>
  <c r="D13" i="4"/>
  <c r="F10" i="4"/>
  <c r="D3" i="4"/>
  <c r="S14" i="93"/>
  <c r="R14" i="93"/>
  <c r="O14" i="93"/>
  <c r="N14" i="93"/>
  <c r="M14" i="93"/>
  <c r="L14" i="93"/>
  <c r="K14" i="93"/>
  <c r="J14" i="93"/>
  <c r="I14" i="93"/>
  <c r="H14" i="93"/>
  <c r="G14" i="93"/>
  <c r="F14" i="93"/>
  <c r="E14" i="93"/>
  <c r="D14" i="93"/>
  <c r="C14" i="93"/>
  <c r="S13" i="93"/>
  <c r="S12" i="93"/>
  <c r="S11" i="93"/>
  <c r="S10" i="93"/>
  <c r="S9" i="93"/>
  <c r="S8" i="93"/>
  <c r="S7" i="93"/>
  <c r="S6" i="93"/>
  <c r="S5" i="93"/>
  <c r="S4" i="93"/>
  <c r="M5" i="93"/>
  <c r="M6" i="93"/>
  <c r="M7" i="93"/>
  <c r="M8" i="93"/>
  <c r="M9" i="93"/>
  <c r="M10" i="93"/>
  <c r="M11" i="93"/>
  <c r="M12" i="93"/>
  <c r="M4" i="93"/>
  <c r="R13" i="93"/>
  <c r="R12" i="93"/>
  <c r="Q12" i="93"/>
  <c r="R11" i="93"/>
  <c r="Q11" i="93"/>
  <c r="R10" i="93"/>
  <c r="Q10" i="93"/>
  <c r="R9" i="93"/>
  <c r="Q9" i="93"/>
  <c r="R8" i="93"/>
  <c r="Q8" i="93"/>
  <c r="R7" i="93"/>
  <c r="Q7" i="93"/>
  <c r="R6" i="93"/>
  <c r="Q6" i="93"/>
  <c r="R5" i="93"/>
  <c r="Q5" i="93"/>
  <c r="Q4" i="93"/>
  <c r="J13" i="93"/>
  <c r="O12" i="93"/>
  <c r="N12" i="93"/>
  <c r="K12" i="93"/>
  <c r="H12" i="93"/>
  <c r="E12" i="93"/>
  <c r="O11" i="93"/>
  <c r="N11" i="93"/>
  <c r="K11" i="93"/>
  <c r="H11" i="93"/>
  <c r="L11" i="93"/>
  <c r="J11" i="93"/>
  <c r="I11" i="93"/>
  <c r="I13" i="93" s="1"/>
  <c r="E11" i="93" l="1"/>
  <c r="D11" i="93" s="1"/>
  <c r="O10" i="93"/>
  <c r="N10" i="93"/>
  <c r="L10" i="93"/>
  <c r="E10" i="93"/>
  <c r="O9" i="93"/>
  <c r="N9" i="93"/>
  <c r="K9" i="93"/>
  <c r="L9" i="93"/>
  <c r="L13" i="93" s="1"/>
  <c r="F9" i="93"/>
  <c r="E9" i="93"/>
  <c r="O8" i="93"/>
  <c r="N8" i="93"/>
  <c r="K8" i="93"/>
  <c r="H8" i="93"/>
  <c r="G8" i="93"/>
  <c r="G13" i="93" s="1"/>
  <c r="F8" i="93"/>
  <c r="F13" i="93" s="1"/>
  <c r="E8" i="93"/>
  <c r="O7" i="93"/>
  <c r="N7" i="93"/>
  <c r="K7" i="93"/>
  <c r="H7" i="93"/>
  <c r="E7" i="93"/>
  <c r="O4" i="93"/>
  <c r="N4" i="93"/>
  <c r="K4" i="93"/>
  <c r="K13" i="93" s="1"/>
  <c r="H4" i="93"/>
  <c r="E4" i="93"/>
  <c r="O6" i="93"/>
  <c r="N6" i="93"/>
  <c r="K6" i="93"/>
  <c r="H6" i="93"/>
  <c r="E6" i="93"/>
  <c r="O5" i="93"/>
  <c r="N5" i="93"/>
  <c r="D12" i="93"/>
  <c r="K5" i="93"/>
  <c r="H5" i="93"/>
  <c r="E5" i="93"/>
  <c r="J88" i="92"/>
  <c r="J87" i="92"/>
  <c r="J86" i="92"/>
  <c r="J83" i="92"/>
  <c r="J80" i="92"/>
  <c r="J79" i="92"/>
  <c r="J78" i="92" s="1"/>
  <c r="J77" i="92"/>
  <c r="J76" i="92"/>
  <c r="J75" i="92"/>
  <c r="J74" i="92"/>
  <c r="J73" i="92"/>
  <c r="J72" i="92"/>
  <c r="J71" i="92"/>
  <c r="J70" i="92"/>
  <c r="J69" i="92"/>
  <c r="J68" i="92"/>
  <c r="J67" i="92"/>
  <c r="J66" i="92"/>
  <c r="J65" i="92"/>
  <c r="J64" i="92" s="1"/>
  <c r="J61" i="92" s="1"/>
  <c r="J63" i="92"/>
  <c r="K61" i="92" s="1"/>
  <c r="J62" i="92"/>
  <c r="J58" i="92"/>
  <c r="I61" i="92" s="1"/>
  <c r="K48" i="92"/>
  <c r="J48" i="92"/>
  <c r="I48" i="92"/>
  <c r="H48" i="92"/>
  <c r="G48" i="92"/>
  <c r="F48" i="92"/>
  <c r="E48" i="92"/>
  <c r="D48" i="92"/>
  <c r="L48" i="92" s="1"/>
  <c r="V32" i="92"/>
  <c r="V31" i="92"/>
  <c r="K31" i="92"/>
  <c r="V30" i="92"/>
  <c r="L28" i="92"/>
  <c r="K28" i="92"/>
  <c r="I28" i="92"/>
  <c r="M28" i="92" s="1"/>
  <c r="V27" i="92"/>
  <c r="L27" i="92"/>
  <c r="K27" i="92"/>
  <c r="I27" i="92"/>
  <c r="M27" i="92" s="1"/>
  <c r="B27" i="92"/>
  <c r="V26" i="92"/>
  <c r="L26" i="92"/>
  <c r="K26" i="92"/>
  <c r="I26" i="92"/>
  <c r="M26" i="92" s="1"/>
  <c r="B26" i="92"/>
  <c r="V24" i="92"/>
  <c r="M24" i="92"/>
  <c r="L24" i="92"/>
  <c r="K24" i="92"/>
  <c r="V23" i="92"/>
  <c r="V22" i="92"/>
  <c r="M22" i="92"/>
  <c r="L22" i="92"/>
  <c r="K22" i="92"/>
  <c r="V21" i="92"/>
  <c r="V20" i="92"/>
  <c r="M20" i="92"/>
  <c r="L20" i="92"/>
  <c r="K20" i="92"/>
  <c r="B20" i="92"/>
  <c r="V19" i="92"/>
  <c r="V18" i="92"/>
  <c r="M18" i="92"/>
  <c r="L18" i="92"/>
  <c r="K18" i="92"/>
  <c r="V17" i="92"/>
  <c r="V16" i="92"/>
  <c r="M16" i="92"/>
  <c r="L16" i="92"/>
  <c r="K16" i="92"/>
  <c r="V15" i="92"/>
  <c r="V14" i="92"/>
  <c r="V9" i="92" s="1"/>
  <c r="V6" i="92" s="1"/>
  <c r="V5" i="92" s="1"/>
  <c r="M14" i="92"/>
  <c r="L14" i="92"/>
  <c r="K14" i="92"/>
  <c r="B14" i="92"/>
  <c r="V13" i="92"/>
  <c r="I13" i="92"/>
  <c r="M13" i="92" s="1"/>
  <c r="V12" i="92"/>
  <c r="K12" i="92"/>
  <c r="L12" i="92" s="1"/>
  <c r="I12" i="92"/>
  <c r="M12" i="92" s="1"/>
  <c r="V11" i="92"/>
  <c r="I11" i="92"/>
  <c r="M11" i="92" s="1"/>
  <c r="V10" i="92"/>
  <c r="I10" i="92"/>
  <c r="M10" i="92" s="1"/>
  <c r="K9" i="92"/>
  <c r="L9" i="92" s="1"/>
  <c r="I9" i="92"/>
  <c r="M9" i="92" s="1"/>
  <c r="V8" i="92"/>
  <c r="K8" i="92"/>
  <c r="L8" i="92" s="1"/>
  <c r="I8" i="92"/>
  <c r="M8" i="92" s="1"/>
  <c r="V7" i="92"/>
  <c r="I7" i="92"/>
  <c r="M7" i="92" s="1"/>
  <c r="I6" i="92"/>
  <c r="M6" i="92" s="1"/>
  <c r="I5" i="92"/>
  <c r="I29" i="92" s="1"/>
  <c r="V3" i="92"/>
  <c r="V4" i="92" s="1"/>
  <c r="E46" i="91"/>
  <c r="E45" i="91"/>
  <c r="E40" i="91"/>
  <c r="E39" i="91"/>
  <c r="L35" i="91"/>
  <c r="E35" i="91"/>
  <c r="L31" i="91"/>
  <c r="L29" i="91"/>
  <c r="L28" i="91"/>
  <c r="L27" i="91"/>
  <c r="E23" i="91"/>
  <c r="L21" i="91"/>
  <c r="E34" i="91" s="1"/>
  <c r="E17" i="91"/>
  <c r="K9" i="91"/>
  <c r="L9" i="91" s="1"/>
  <c r="I9" i="91"/>
  <c r="F9" i="91"/>
  <c r="F10" i="91" s="1"/>
  <c r="H8" i="91"/>
  <c r="G8" i="91" s="1"/>
  <c r="E8" i="91"/>
  <c r="E9" i="91" s="1"/>
  <c r="G7" i="91"/>
  <c r="D7" i="91"/>
  <c r="J7" i="91" s="1"/>
  <c r="G6" i="91"/>
  <c r="D6" i="91"/>
  <c r="J6" i="91" s="1"/>
  <c r="M64" i="90"/>
  <c r="M63" i="90"/>
  <c r="M62" i="90"/>
  <c r="M60" i="90"/>
  <c r="M59" i="90"/>
  <c r="M58" i="90"/>
  <c r="M57" i="90"/>
  <c r="M56" i="90"/>
  <c r="M55" i="90"/>
  <c r="M54" i="90"/>
  <c r="M53" i="90"/>
  <c r="M52" i="90"/>
  <c r="M51" i="90"/>
  <c r="M50" i="90"/>
  <c r="M49" i="90"/>
  <c r="M43" i="90"/>
  <c r="M68" i="90" s="1"/>
  <c r="M42" i="90"/>
  <c r="M39" i="90"/>
  <c r="G38" i="90"/>
  <c r="G37" i="90"/>
  <c r="G39" i="90" s="1"/>
  <c r="G36" i="90"/>
  <c r="G33" i="90"/>
  <c r="G32" i="90"/>
  <c r="G30" i="90"/>
  <c r="G28" i="90"/>
  <c r="G26" i="90"/>
  <c r="G25" i="90"/>
  <c r="K24" i="90"/>
  <c r="G24" i="90"/>
  <c r="G23" i="90"/>
  <c r="G22" i="90"/>
  <c r="G21" i="90"/>
  <c r="G20" i="90"/>
  <c r="G19" i="90"/>
  <c r="G18" i="90"/>
  <c r="G17" i="90"/>
  <c r="G16" i="90"/>
  <c r="H23" i="90" s="1"/>
  <c r="G14" i="90"/>
  <c r="G12" i="90"/>
  <c r="G11" i="90"/>
  <c r="I10" i="90"/>
  <c r="G10" i="90"/>
  <c r="H10" i="90" s="1"/>
  <c r="I9" i="90"/>
  <c r="G9" i="90"/>
  <c r="I8" i="90"/>
  <c r="G8" i="90"/>
  <c r="H8" i="90" s="1"/>
  <c r="I7" i="90"/>
  <c r="G7" i="90"/>
  <c r="I6" i="90"/>
  <c r="I13" i="90" s="1"/>
  <c r="G6" i="90"/>
  <c r="H9" i="90" s="1"/>
  <c r="R111" i="89"/>
  <c r="R115" i="89" s="1"/>
  <c r="O111" i="89"/>
  <c r="R108" i="89"/>
  <c r="Q108" i="89"/>
  <c r="R107" i="89"/>
  <c r="Q107" i="89"/>
  <c r="R106" i="89"/>
  <c r="Q106" i="89"/>
  <c r="R105" i="89"/>
  <c r="Q105" i="89"/>
  <c r="R104" i="89"/>
  <c r="Q104" i="89"/>
  <c r="R103" i="89"/>
  <c r="Q103" i="89"/>
  <c r="R102" i="89"/>
  <c r="R110" i="89" s="1"/>
  <c r="T110" i="89" s="1"/>
  <c r="Q102" i="89"/>
  <c r="Q101" i="89"/>
  <c r="Q100" i="89"/>
  <c r="Q110" i="89" s="1"/>
  <c r="Q99" i="89"/>
  <c r="P80" i="89"/>
  <c r="E70" i="89"/>
  <c r="P78" i="89" s="1"/>
  <c r="P69" i="89"/>
  <c r="M69" i="89" s="1"/>
  <c r="E69" i="89"/>
  <c r="P77" i="89" s="1"/>
  <c r="E68" i="89"/>
  <c r="E67" i="89"/>
  <c r="P56" i="89" s="1"/>
  <c r="E66" i="89"/>
  <c r="E64" i="89"/>
  <c r="P76" i="89" s="1"/>
  <c r="M76" i="89" s="1"/>
  <c r="E63" i="89"/>
  <c r="E62" i="89"/>
  <c r="E59" i="89"/>
  <c r="E58" i="89"/>
  <c r="P57" i="89"/>
  <c r="E57" i="89"/>
  <c r="P44" i="89" s="1"/>
  <c r="P81" i="89" s="1"/>
  <c r="P55" i="89"/>
  <c r="H55" i="89"/>
  <c r="E55" i="89"/>
  <c r="P54" i="89"/>
  <c r="P84" i="89" s="1"/>
  <c r="P53" i="89"/>
  <c r="P52" i="89"/>
  <c r="H52" i="89"/>
  <c r="E52" i="89"/>
  <c r="P50" i="89"/>
  <c r="P49" i="89"/>
  <c r="E48" i="89"/>
  <c r="P51" i="89" s="1"/>
  <c r="P82" i="89" s="1"/>
  <c r="P47" i="89"/>
  <c r="P85" i="89" s="1"/>
  <c r="P46" i="89"/>
  <c r="E46" i="89"/>
  <c r="H46" i="89" s="1"/>
  <c r="P43" i="89"/>
  <c r="E39" i="89"/>
  <c r="P38" i="89"/>
  <c r="E37" i="89"/>
  <c r="G30" i="89"/>
  <c r="G29" i="89"/>
  <c r="G28" i="89" s="1"/>
  <c r="G23" i="89"/>
  <c r="S44" i="89" s="1"/>
  <c r="G21" i="89"/>
  <c r="G20" i="89"/>
  <c r="G19" i="89"/>
  <c r="J18" i="89"/>
  <c r="J19" i="89" s="1"/>
  <c r="G18" i="89"/>
  <c r="L23" i="89" s="1"/>
  <c r="G17" i="89"/>
  <c r="G16" i="89"/>
  <c r="E40" i="89" s="1"/>
  <c r="H40" i="89" s="1"/>
  <c r="G14" i="89"/>
  <c r="P39" i="89" s="1"/>
  <c r="P83" i="89" s="1"/>
  <c r="G13" i="89"/>
  <c r="P41" i="89" s="1"/>
  <c r="P89" i="89" s="1"/>
  <c r="Q12" i="89"/>
  <c r="G12" i="89"/>
  <c r="P40" i="89" s="1"/>
  <c r="P88" i="89" s="1"/>
  <c r="Q11" i="89"/>
  <c r="G11" i="89"/>
  <c r="S41" i="89" s="1"/>
  <c r="S89" i="89" s="1"/>
  <c r="Q10" i="89"/>
  <c r="G10" i="89"/>
  <c r="G22" i="89" s="1"/>
  <c r="B10" i="89"/>
  <c r="B11" i="89" s="1"/>
  <c r="A10" i="89"/>
  <c r="A22" i="89" s="1"/>
  <c r="Q9" i="89"/>
  <c r="Q8" i="89" s="1"/>
  <c r="P9" i="89"/>
  <c r="E72" i="88"/>
  <c r="F71" i="88"/>
  <c r="E70" i="88"/>
  <c r="E69" i="88"/>
  <c r="E68" i="88"/>
  <c r="E66" i="88"/>
  <c r="E64" i="88"/>
  <c r="E61" i="88"/>
  <c r="E60" i="88"/>
  <c r="E59" i="88"/>
  <c r="E57" i="88"/>
  <c r="R56" i="88"/>
  <c r="U56" i="88" s="1"/>
  <c r="N54" i="88"/>
  <c r="E54" i="88"/>
  <c r="N53" i="88"/>
  <c r="N52" i="88"/>
  <c r="N51" i="88"/>
  <c r="N50" i="88"/>
  <c r="E50" i="88"/>
  <c r="R49" i="88"/>
  <c r="N49" i="88"/>
  <c r="E48" i="88"/>
  <c r="N47" i="88"/>
  <c r="R46" i="88"/>
  <c r="S45" i="88"/>
  <c r="R45" i="88"/>
  <c r="N45" i="88"/>
  <c r="N44" i="88" s="1"/>
  <c r="N59" i="88" s="1"/>
  <c r="R43" i="88"/>
  <c r="N43" i="88"/>
  <c r="R42" i="88"/>
  <c r="N42" i="88"/>
  <c r="E42" i="88"/>
  <c r="N41" i="88"/>
  <c r="R40" i="88"/>
  <c r="N40" i="88"/>
  <c r="E40" i="88"/>
  <c r="E73" i="88" s="1"/>
  <c r="G31" i="88"/>
  <c r="G30" i="88"/>
  <c r="G33" i="88" s="1"/>
  <c r="G29" i="88"/>
  <c r="G26" i="88"/>
  <c r="G24" i="88"/>
  <c r="J29" i="88" s="1"/>
  <c r="G22" i="88"/>
  <c r="B22" i="88"/>
  <c r="G21" i="88"/>
  <c r="K20" i="88"/>
  <c r="G20" i="88"/>
  <c r="M20" i="88" s="1"/>
  <c r="N56" i="88" s="1"/>
  <c r="G19" i="88"/>
  <c r="J19" i="88" s="1"/>
  <c r="G17" i="88"/>
  <c r="G16" i="88"/>
  <c r="J17" i="88" s="1"/>
  <c r="G15" i="88"/>
  <c r="G10" i="88" s="1"/>
  <c r="G14" i="88"/>
  <c r="G13" i="88"/>
  <c r="G12" i="88"/>
  <c r="B12" i="88"/>
  <c r="G11" i="88"/>
  <c r="B11" i="88"/>
  <c r="K10" i="88"/>
  <c r="K9" i="88"/>
  <c r="AE7" i="88"/>
  <c r="AD7" i="88"/>
  <c r="AC7" i="88"/>
  <c r="AB7" i="88"/>
  <c r="AA7" i="88"/>
  <c r="Z7" i="88"/>
  <c r="Y7" i="88"/>
  <c r="X7" i="88"/>
  <c r="W7" i="88"/>
  <c r="V7" i="88"/>
  <c r="U7" i="88"/>
  <c r="T7" i="88"/>
  <c r="S7" i="88"/>
  <c r="R7" i="88"/>
  <c r="L61" i="88" s="1"/>
  <c r="L63" i="88" s="1"/>
  <c r="Q7" i="88"/>
  <c r="P7" i="88"/>
  <c r="O7" i="88"/>
  <c r="N7" i="88"/>
  <c r="M7" i="88"/>
  <c r="G7" i="88"/>
  <c r="G27" i="88" s="1"/>
  <c r="J6" i="88"/>
  <c r="E41" i="87"/>
  <c r="E72" i="87" s="1"/>
  <c r="N37" i="87"/>
  <c r="O44" i="87" s="1"/>
  <c r="G27" i="87"/>
  <c r="AR21" i="87"/>
  <c r="AQ21" i="87"/>
  <c r="AP21" i="87"/>
  <c r="AO21" i="87"/>
  <c r="AO22" i="87" s="1"/>
  <c r="AN21" i="87"/>
  <c r="AN22" i="87" s="1"/>
  <c r="AM21" i="87"/>
  <c r="AM22" i="87" s="1"/>
  <c r="AL21" i="87"/>
  <c r="AL22" i="87" s="1"/>
  <c r="AK21" i="87"/>
  <c r="AK22" i="87" s="1"/>
  <c r="AJ21" i="87"/>
  <c r="AJ22" i="87" s="1"/>
  <c r="AI21" i="87"/>
  <c r="AI22" i="87" s="1"/>
  <c r="AH21" i="87"/>
  <c r="AH22" i="87" s="1"/>
  <c r="AG21" i="87"/>
  <c r="AG22" i="87" s="1"/>
  <c r="AF21" i="87"/>
  <c r="AF22" i="87" s="1"/>
  <c r="AE21" i="87"/>
  <c r="AE22" i="87" s="1"/>
  <c r="AD21" i="87"/>
  <c r="AD22" i="87" s="1"/>
  <c r="AC21" i="87"/>
  <c r="AC22" i="87" s="1"/>
  <c r="AB21" i="87"/>
  <c r="AB22" i="87" s="1"/>
  <c r="AA21" i="87"/>
  <c r="AA22" i="87" s="1"/>
  <c r="Z21" i="87"/>
  <c r="Z22" i="87" s="1"/>
  <c r="Y21" i="87"/>
  <c r="Q21" i="87"/>
  <c r="G25" i="87" s="1"/>
  <c r="P21" i="87"/>
  <c r="Y20" i="87"/>
  <c r="S20" i="87"/>
  <c r="R20" i="87"/>
  <c r="N20" i="87"/>
  <c r="G20" i="87"/>
  <c r="Y19" i="87"/>
  <c r="G19" i="87"/>
  <c r="Y17" i="87"/>
  <c r="G17" i="87"/>
  <c r="Y16" i="87"/>
  <c r="G16" i="87"/>
  <c r="Y15" i="87"/>
  <c r="R15" i="87"/>
  <c r="S15" i="87" s="1"/>
  <c r="O15" i="87"/>
  <c r="N15" i="87"/>
  <c r="G15" i="87"/>
  <c r="Y14" i="87"/>
  <c r="R14" i="87"/>
  <c r="S14" i="87" s="1"/>
  <c r="N14" i="87"/>
  <c r="G14" i="87"/>
  <c r="Y13" i="87"/>
  <c r="S13" i="87"/>
  <c r="R13" i="87"/>
  <c r="O13" i="87"/>
  <c r="N13" i="87" s="1"/>
  <c r="Y12" i="87"/>
  <c r="R12" i="87"/>
  <c r="S12" i="87" s="1"/>
  <c r="N12" i="87"/>
  <c r="Y11" i="87"/>
  <c r="R11" i="87"/>
  <c r="S11" i="87" s="1"/>
  <c r="O11" i="87"/>
  <c r="N11" i="87"/>
  <c r="Y10" i="87"/>
  <c r="W10" i="87"/>
  <c r="W21" i="87" s="1"/>
  <c r="S10" i="87"/>
  <c r="R10" i="87"/>
  <c r="O10" i="87"/>
  <c r="O21" i="87" s="1"/>
  <c r="Y9" i="87"/>
  <c r="S9" i="87"/>
  <c r="R9" i="87"/>
  <c r="N9" i="87"/>
  <c r="Y8" i="87"/>
  <c r="R8" i="87"/>
  <c r="S8" i="87" s="1"/>
  <c r="N8" i="87"/>
  <c r="Y7" i="87"/>
  <c r="S7" i="87"/>
  <c r="R7" i="87"/>
  <c r="N7" i="87"/>
  <c r="G7" i="87"/>
  <c r="J7" i="87" s="1"/>
  <c r="Y6" i="87"/>
  <c r="S6" i="87"/>
  <c r="S21" i="87" s="1"/>
  <c r="R6" i="87"/>
  <c r="R21" i="87" s="1"/>
  <c r="G22" i="87" s="1"/>
  <c r="N6" i="87"/>
  <c r="N49" i="86"/>
  <c r="M47" i="86"/>
  <c r="N37" i="86"/>
  <c r="N31" i="86"/>
  <c r="O30" i="86"/>
  <c r="N30" i="86" s="1"/>
  <c r="AR29" i="86"/>
  <c r="AQ29" i="86"/>
  <c r="AP29" i="86"/>
  <c r="AO29" i="86"/>
  <c r="AN29" i="86"/>
  <c r="AM29" i="86"/>
  <c r="AL29" i="86"/>
  <c r="AK29" i="86"/>
  <c r="AJ29" i="86"/>
  <c r="AI29" i="86"/>
  <c r="AH29" i="86"/>
  <c r="AG29" i="86"/>
  <c r="AF29" i="86"/>
  <c r="AE29" i="86"/>
  <c r="AD29" i="86"/>
  <c r="AC29" i="86"/>
  <c r="AB29" i="86"/>
  <c r="AA29" i="86"/>
  <c r="Z29" i="86"/>
  <c r="W29" i="86"/>
  <c r="Q29" i="86"/>
  <c r="Y28" i="86"/>
  <c r="W28" i="86"/>
  <c r="S28" i="86"/>
  <c r="R28" i="86"/>
  <c r="O28" i="86"/>
  <c r="N28" i="86" s="1"/>
  <c r="Y27" i="86"/>
  <c r="S27" i="86"/>
  <c r="R27" i="86"/>
  <c r="O27" i="86"/>
  <c r="N27" i="86" s="1"/>
  <c r="G27" i="86"/>
  <c r="Y26" i="86"/>
  <c r="Y24" i="86"/>
  <c r="G24" i="86"/>
  <c r="Y23" i="86"/>
  <c r="S23" i="86"/>
  <c r="O23" i="86"/>
  <c r="N23" i="86"/>
  <c r="Y22" i="86"/>
  <c r="Y21" i="86"/>
  <c r="Y20" i="86"/>
  <c r="S20" i="86"/>
  <c r="R20" i="86"/>
  <c r="O20" i="86"/>
  <c r="N20" i="86" s="1"/>
  <c r="Y19" i="86"/>
  <c r="G19" i="86"/>
  <c r="Y18" i="86"/>
  <c r="Y17" i="86"/>
  <c r="Y16" i="86"/>
  <c r="O16" i="86"/>
  <c r="N16" i="86" s="1"/>
  <c r="G16" i="86"/>
  <c r="Y15" i="86"/>
  <c r="G15" i="86"/>
  <c r="E41" i="86" s="1"/>
  <c r="E72" i="86" s="1"/>
  <c r="Y14" i="86"/>
  <c r="G14" i="86"/>
  <c r="Y13" i="86"/>
  <c r="G13" i="86"/>
  <c r="M48" i="86" s="1"/>
  <c r="Y12" i="86"/>
  <c r="S12" i="86"/>
  <c r="O12" i="86"/>
  <c r="N12" i="86"/>
  <c r="G12" i="86"/>
  <c r="Y11" i="86"/>
  <c r="W11" i="86"/>
  <c r="S11" i="86"/>
  <c r="R11" i="86"/>
  <c r="O11" i="86"/>
  <c r="N11" i="86" s="1"/>
  <c r="G11" i="86"/>
  <c r="G10" i="86" s="1"/>
  <c r="G9" i="86" s="1"/>
  <c r="Y10" i="86"/>
  <c r="S10" i="86"/>
  <c r="R10" i="86"/>
  <c r="N10" i="86"/>
  <c r="Y9" i="86"/>
  <c r="R9" i="86"/>
  <c r="S9" i="86" s="1"/>
  <c r="N9" i="86"/>
  <c r="Y8" i="86"/>
  <c r="S8" i="86"/>
  <c r="R8" i="86"/>
  <c r="P8" i="86"/>
  <c r="P29" i="86" s="1"/>
  <c r="G18" i="86" s="1"/>
  <c r="G17" i="86" s="1"/>
  <c r="O8" i="86"/>
  <c r="O29" i="86" s="1"/>
  <c r="Y7" i="86"/>
  <c r="R7" i="86"/>
  <c r="S7" i="86" s="1"/>
  <c r="N7" i="86"/>
  <c r="Y6" i="86"/>
  <c r="R6" i="86"/>
  <c r="R29" i="86" s="1"/>
  <c r="G21" i="86" s="1"/>
  <c r="N6" i="86"/>
  <c r="E69" i="85"/>
  <c r="N34" i="85"/>
  <c r="G26" i="85"/>
  <c r="G24" i="85"/>
  <c r="O20" i="85"/>
  <c r="N20" i="85"/>
  <c r="N19" i="85"/>
  <c r="G19" i="85"/>
  <c r="AR18" i="85"/>
  <c r="AQ18" i="85"/>
  <c r="AP18" i="85"/>
  <c r="AO18" i="85"/>
  <c r="AN18" i="85"/>
  <c r="AM18" i="85"/>
  <c r="AL18" i="85"/>
  <c r="AK18" i="85"/>
  <c r="AJ18" i="85"/>
  <c r="AI18" i="85"/>
  <c r="AH18" i="85"/>
  <c r="AG18" i="85"/>
  <c r="AF18" i="85"/>
  <c r="AE18" i="85"/>
  <c r="AD18" i="85"/>
  <c r="AC18" i="85"/>
  <c r="AB18" i="85"/>
  <c r="AA18" i="85"/>
  <c r="Z18" i="85"/>
  <c r="Q18" i="85"/>
  <c r="Y17" i="85"/>
  <c r="R17" i="85"/>
  <c r="S17" i="85" s="1"/>
  <c r="Y16" i="85"/>
  <c r="S16" i="85"/>
  <c r="R16" i="85"/>
  <c r="P16" i="85"/>
  <c r="Y15" i="85"/>
  <c r="R15" i="85"/>
  <c r="S15" i="85" s="1"/>
  <c r="Y14" i="85"/>
  <c r="S14" i="85"/>
  <c r="R14" i="85"/>
  <c r="G14" i="85"/>
  <c r="Y13" i="85"/>
  <c r="R13" i="85"/>
  <c r="S13" i="85" s="1"/>
  <c r="P13" i="85"/>
  <c r="P17" i="85" s="1"/>
  <c r="O13" i="85"/>
  <c r="O17" i="85" s="1"/>
  <c r="Y12" i="85"/>
  <c r="R12" i="85"/>
  <c r="S12" i="85" s="1"/>
  <c r="Y11" i="85"/>
  <c r="W11" i="85"/>
  <c r="R11" i="85"/>
  <c r="S11" i="85" s="1"/>
  <c r="O11" i="85"/>
  <c r="O15" i="85" s="1"/>
  <c r="N15" i="85" s="1"/>
  <c r="N11" i="85"/>
  <c r="Y10" i="85"/>
  <c r="R10" i="85"/>
  <c r="S10" i="85" s="1"/>
  <c r="N10" i="85"/>
  <c r="Y9" i="85"/>
  <c r="S9" i="85"/>
  <c r="R9" i="85"/>
  <c r="O9" i="85"/>
  <c r="O14" i="85" s="1"/>
  <c r="N14" i="85" s="1"/>
  <c r="Y8" i="85"/>
  <c r="S8" i="85"/>
  <c r="R8" i="85"/>
  <c r="N8" i="85"/>
  <c r="Y7" i="85"/>
  <c r="R7" i="85"/>
  <c r="S7" i="85" s="1"/>
  <c r="N7" i="85"/>
  <c r="Y6" i="85"/>
  <c r="R6" i="85"/>
  <c r="R18" i="85" s="1"/>
  <c r="G21" i="85" s="1"/>
  <c r="N6" i="85"/>
  <c r="E57" i="84"/>
  <c r="E38" i="84"/>
  <c r="E69" i="84" s="1"/>
  <c r="N34" i="84"/>
  <c r="N41" i="84" s="1"/>
  <c r="O42" i="84" s="1"/>
  <c r="A28" i="84"/>
  <c r="G26" i="84"/>
  <c r="G19" i="84"/>
  <c r="W18" i="84"/>
  <c r="P18" i="84"/>
  <c r="G18" i="84" s="1"/>
  <c r="G17" i="84" s="1"/>
  <c r="N17" i="84"/>
  <c r="AR16" i="84"/>
  <c r="AQ16" i="84"/>
  <c r="AP16" i="84"/>
  <c r="AO16" i="84"/>
  <c r="AN16" i="84"/>
  <c r="AM16" i="84"/>
  <c r="AL16" i="84"/>
  <c r="AK16" i="84"/>
  <c r="AJ16" i="84"/>
  <c r="AI16" i="84"/>
  <c r="AH16" i="84"/>
  <c r="AG16" i="84"/>
  <c r="AF16" i="84"/>
  <c r="AE16" i="84"/>
  <c r="AD16" i="84"/>
  <c r="AC16" i="84"/>
  <c r="AB16" i="84"/>
  <c r="AA16" i="84"/>
  <c r="Z16" i="84"/>
  <c r="Q16" i="84"/>
  <c r="Q18" i="84" s="1"/>
  <c r="G24" i="84" s="1"/>
  <c r="O16" i="84"/>
  <c r="N16" i="84"/>
  <c r="G16" i="84"/>
  <c r="Y15" i="84"/>
  <c r="R15" i="84"/>
  <c r="S15" i="84" s="1"/>
  <c r="N15" i="84"/>
  <c r="Y14" i="84"/>
  <c r="R14" i="84"/>
  <c r="S14" i="84" s="1"/>
  <c r="G14" i="84"/>
  <c r="Y13" i="84"/>
  <c r="R13" i="84"/>
  <c r="S13" i="84" s="1"/>
  <c r="P13" i="84"/>
  <c r="N13" i="84"/>
  <c r="Y12" i="84"/>
  <c r="S12" i="84"/>
  <c r="R12" i="84"/>
  <c r="O12" i="84"/>
  <c r="N12" i="84" s="1"/>
  <c r="G12" i="84"/>
  <c r="Y11" i="84"/>
  <c r="S11" i="84"/>
  <c r="R11" i="84"/>
  <c r="N11" i="84"/>
  <c r="Y10" i="84"/>
  <c r="R10" i="84"/>
  <c r="S10" i="84" s="1"/>
  <c r="O10" i="84"/>
  <c r="N10" i="84"/>
  <c r="Y9" i="84"/>
  <c r="R9" i="84"/>
  <c r="S9" i="84" s="1"/>
  <c r="N9" i="84"/>
  <c r="Y8" i="84"/>
  <c r="N8" i="84"/>
  <c r="Y7" i="84"/>
  <c r="R7" i="84"/>
  <c r="S7" i="84" s="1"/>
  <c r="N7" i="84"/>
  <c r="Y6" i="84"/>
  <c r="R6" i="84"/>
  <c r="R18" i="84" s="1"/>
  <c r="G21" i="84" s="1"/>
  <c r="N6" i="84"/>
  <c r="E84" i="83"/>
  <c r="E72" i="83"/>
  <c r="N49" i="83"/>
  <c r="AR44" i="83"/>
  <c r="AQ44" i="83"/>
  <c r="AP44" i="83"/>
  <c r="AO44" i="83"/>
  <c r="AN44" i="83"/>
  <c r="AM44" i="83"/>
  <c r="AL44" i="83"/>
  <c r="AK44" i="83"/>
  <c r="AJ44" i="83"/>
  <c r="AI44" i="83"/>
  <c r="AH44" i="83"/>
  <c r="AG44" i="83"/>
  <c r="AF44" i="83"/>
  <c r="AE44" i="83"/>
  <c r="AD44" i="83"/>
  <c r="AC44" i="83"/>
  <c r="AB44" i="83"/>
  <c r="AA44" i="83"/>
  <c r="Z44" i="83"/>
  <c r="W44" i="83"/>
  <c r="Q44" i="83"/>
  <c r="Y43" i="83"/>
  <c r="S43" i="83"/>
  <c r="N43" i="83"/>
  <c r="Y42" i="83"/>
  <c r="S42" i="83"/>
  <c r="N42" i="83"/>
  <c r="Y41" i="83"/>
  <c r="S41" i="83"/>
  <c r="N41" i="83"/>
  <c r="Y40" i="83"/>
  <c r="S40" i="83"/>
  <c r="N40" i="83"/>
  <c r="Y39" i="83"/>
  <c r="S39" i="83"/>
  <c r="N39" i="83"/>
  <c r="Y38" i="83"/>
  <c r="S38" i="83"/>
  <c r="N38" i="83"/>
  <c r="Y37" i="83"/>
  <c r="S37" i="83"/>
  <c r="N37" i="83"/>
  <c r="Y36" i="83"/>
  <c r="S36" i="83"/>
  <c r="N36" i="83"/>
  <c r="Y35" i="83"/>
  <c r="S35" i="83"/>
  <c r="N35" i="83"/>
  <c r="Y34" i="83"/>
  <c r="S34" i="83"/>
  <c r="N34" i="83"/>
  <c r="Y33" i="83"/>
  <c r="S33" i="83"/>
  <c r="N33" i="83"/>
  <c r="Y32" i="83"/>
  <c r="S32" i="83"/>
  <c r="N32" i="83"/>
  <c r="Y31" i="83"/>
  <c r="S31" i="83"/>
  <c r="N31" i="83"/>
  <c r="Y30" i="83"/>
  <c r="S30" i="83"/>
  <c r="N30" i="83"/>
  <c r="Y29" i="83"/>
  <c r="Y28" i="83"/>
  <c r="Y27" i="83"/>
  <c r="Y26" i="83"/>
  <c r="G26" i="83"/>
  <c r="Y25" i="83"/>
  <c r="Y24" i="83"/>
  <c r="G24" i="83"/>
  <c r="Y23" i="83"/>
  <c r="S23" i="83"/>
  <c r="N23" i="83"/>
  <c r="Y22" i="83"/>
  <c r="S22" i="83"/>
  <c r="N22" i="83"/>
  <c r="Y21" i="83"/>
  <c r="S21" i="83"/>
  <c r="N21" i="83"/>
  <c r="Y20" i="83"/>
  <c r="S20" i="83"/>
  <c r="N20" i="83"/>
  <c r="Y19" i="83"/>
  <c r="S19" i="83"/>
  <c r="N19" i="83"/>
  <c r="G19" i="83"/>
  <c r="Y18" i="83"/>
  <c r="S18" i="83"/>
  <c r="N18" i="83"/>
  <c r="Y17" i="83"/>
  <c r="S17" i="83"/>
  <c r="N17" i="83"/>
  <c r="Y16" i="83"/>
  <c r="S16" i="83"/>
  <c r="N16" i="83"/>
  <c r="G16" i="83"/>
  <c r="Y15" i="83"/>
  <c r="S15" i="83"/>
  <c r="N15" i="83"/>
  <c r="Y14" i="83"/>
  <c r="S14" i="83"/>
  <c r="P14" i="83"/>
  <c r="P44" i="83" s="1"/>
  <c r="G18" i="83" s="1"/>
  <c r="G17" i="83" s="1"/>
  <c r="Y13" i="83"/>
  <c r="S13" i="83"/>
  <c r="N13" i="83"/>
  <c r="G13" i="83"/>
  <c r="Y12" i="83"/>
  <c r="S12" i="83"/>
  <c r="N12" i="83"/>
  <c r="G12" i="83"/>
  <c r="Y11" i="83"/>
  <c r="S11" i="83"/>
  <c r="N11" i="83"/>
  <c r="Y10" i="83"/>
  <c r="R10" i="83"/>
  <c r="S10" i="83" s="1"/>
  <c r="N10" i="83"/>
  <c r="Y9" i="83"/>
  <c r="S9" i="83"/>
  <c r="R9" i="83"/>
  <c r="O9" i="83"/>
  <c r="O44" i="83" s="1"/>
  <c r="Y8" i="83"/>
  <c r="N8" i="83"/>
  <c r="Y7" i="83"/>
  <c r="R7" i="83"/>
  <c r="S7" i="83" s="1"/>
  <c r="N7" i="83"/>
  <c r="Y6" i="83"/>
  <c r="R6" i="83"/>
  <c r="R44" i="83" s="1"/>
  <c r="G21" i="83" s="1"/>
  <c r="N6" i="83"/>
  <c r="E71" i="82"/>
  <c r="N36" i="82"/>
  <c r="G28" i="82"/>
  <c r="AK26" i="82"/>
  <c r="AK27" i="82" s="1"/>
  <c r="AJ26" i="82"/>
  <c r="AJ27" i="82" s="1"/>
  <c r="AI26" i="82"/>
  <c r="AI27" i="82" s="1"/>
  <c r="AH26" i="82"/>
  <c r="AH27" i="82" s="1"/>
  <c r="AG26" i="82"/>
  <c r="AG27" i="82" s="1"/>
  <c r="AF26" i="82"/>
  <c r="AF27" i="82" s="1"/>
  <c r="AE26" i="82"/>
  <c r="AE27" i="82" s="1"/>
  <c r="AD26" i="82"/>
  <c r="AD27" i="82" s="1"/>
  <c r="AC26" i="82"/>
  <c r="AC27" i="82" s="1"/>
  <c r="AB26" i="82"/>
  <c r="AB27" i="82" s="1"/>
  <c r="AA26" i="82"/>
  <c r="AA27" i="82" s="1"/>
  <c r="Z26" i="82"/>
  <c r="Z27" i="82" s="1"/>
  <c r="Y26" i="82"/>
  <c r="W26" i="82"/>
  <c r="Q26" i="82"/>
  <c r="P26" i="82"/>
  <c r="G26" i="82"/>
  <c r="Y22" i="82"/>
  <c r="S22" i="82"/>
  <c r="R22" i="82"/>
  <c r="Y21" i="82"/>
  <c r="S21" i="82"/>
  <c r="R21" i="82"/>
  <c r="O21" i="82"/>
  <c r="N21" i="82" s="1"/>
  <c r="G21" i="82"/>
  <c r="Y20" i="82"/>
  <c r="S20" i="82"/>
  <c r="R20" i="82"/>
  <c r="O20" i="82"/>
  <c r="N20" i="82" s="1"/>
  <c r="G20" i="82"/>
  <c r="G19" i="82" s="1"/>
  <c r="G17" i="82"/>
  <c r="G16" i="82"/>
  <c r="Y15" i="82"/>
  <c r="R15" i="82"/>
  <c r="S15" i="82" s="1"/>
  <c r="O15" i="82"/>
  <c r="N15" i="82"/>
  <c r="Y14" i="82"/>
  <c r="S14" i="82"/>
  <c r="S26" i="82" s="1"/>
  <c r="R14" i="82"/>
  <c r="R26" i="82" s="1"/>
  <c r="G23" i="82" s="1"/>
  <c r="N14" i="82"/>
  <c r="Y9" i="82"/>
  <c r="Y7" i="82"/>
  <c r="G7" i="82"/>
  <c r="Y6" i="82"/>
  <c r="S6" i="82"/>
  <c r="N6" i="82"/>
  <c r="N36" i="81"/>
  <c r="G21" i="81" s="1"/>
  <c r="G19" i="81" s="1"/>
  <c r="G28" i="81"/>
  <c r="AK26" i="81"/>
  <c r="AJ26" i="81"/>
  <c r="AI26" i="81"/>
  <c r="AH26" i="81"/>
  <c r="AG26" i="81"/>
  <c r="AG27" i="81" s="1"/>
  <c r="AF26" i="81"/>
  <c r="AE26" i="81"/>
  <c r="AE27" i="81" s="1"/>
  <c r="AD26" i="81"/>
  <c r="AC26" i="81"/>
  <c r="AC27" i="81" s="1"/>
  <c r="AB26" i="81"/>
  <c r="AA26" i="81"/>
  <c r="AA27" i="81" s="1"/>
  <c r="Z26" i="81"/>
  <c r="Y26" i="81" s="1"/>
  <c r="W26" i="81"/>
  <c r="Q26" i="81"/>
  <c r="P26" i="81"/>
  <c r="G26" i="81"/>
  <c r="Y25" i="81"/>
  <c r="R25" i="81"/>
  <c r="S25" i="81" s="1"/>
  <c r="N25" i="81"/>
  <c r="Y24" i="81"/>
  <c r="S24" i="81"/>
  <c r="R24" i="81"/>
  <c r="N24" i="81"/>
  <c r="Y23" i="81"/>
  <c r="S23" i="81"/>
  <c r="R23" i="81"/>
  <c r="N23" i="81"/>
  <c r="G20" i="81"/>
  <c r="Y19" i="81"/>
  <c r="Y17" i="81"/>
  <c r="O17" i="81"/>
  <c r="G12" i="81" s="1"/>
  <c r="G11" i="81" s="1"/>
  <c r="G10" i="81" s="1"/>
  <c r="G17" i="81"/>
  <c r="Y16" i="81"/>
  <c r="S16" i="81"/>
  <c r="O16" i="81"/>
  <c r="N16" i="81" s="1"/>
  <c r="G16" i="81"/>
  <c r="E40" i="81" s="1"/>
  <c r="E71" i="81" s="1"/>
  <c r="Y13" i="81"/>
  <c r="Y12" i="81"/>
  <c r="Y11" i="81"/>
  <c r="Y10" i="81"/>
  <c r="S10" i="81"/>
  <c r="S26" i="81" s="1"/>
  <c r="O10" i="81"/>
  <c r="O26" i="81" s="1"/>
  <c r="Y9" i="81"/>
  <c r="N42" i="80"/>
  <c r="N50" i="80" s="1"/>
  <c r="O51" i="80" s="1"/>
  <c r="E41" i="80"/>
  <c r="W37" i="80"/>
  <c r="Q37" i="80"/>
  <c r="P37" i="80"/>
  <c r="AO36" i="80"/>
  <c r="AN36" i="80"/>
  <c r="AM36" i="80"/>
  <c r="AL36" i="80"/>
  <c r="AK36" i="80"/>
  <c r="AK37" i="80" s="1"/>
  <c r="AJ36" i="80"/>
  <c r="AJ37" i="80" s="1"/>
  <c r="AI36" i="80"/>
  <c r="AI37" i="80" s="1"/>
  <c r="AH36" i="80"/>
  <c r="AH37" i="80" s="1"/>
  <c r="AG36" i="80"/>
  <c r="AG37" i="80" s="1"/>
  <c r="AF36" i="80"/>
  <c r="AF37" i="80" s="1"/>
  <c r="AE36" i="80"/>
  <c r="AE37" i="80" s="1"/>
  <c r="AD36" i="80"/>
  <c r="AC36" i="80"/>
  <c r="AC37" i="80" s="1"/>
  <c r="AB36" i="80"/>
  <c r="AA36" i="80"/>
  <c r="AA37" i="80" s="1"/>
  <c r="Z36" i="80"/>
  <c r="Y36" i="80"/>
  <c r="AB37" i="80" s="1"/>
  <c r="Y32" i="80"/>
  <c r="S32" i="80"/>
  <c r="O32" i="80"/>
  <c r="N32" i="80"/>
  <c r="Y31" i="80"/>
  <c r="S31" i="80"/>
  <c r="R31" i="80"/>
  <c r="Y30" i="80"/>
  <c r="R30" i="80"/>
  <c r="S30" i="80" s="1"/>
  <c r="Y29" i="80"/>
  <c r="S29" i="80"/>
  <c r="R29" i="80"/>
  <c r="O29" i="80"/>
  <c r="N29" i="80" s="1"/>
  <c r="Y28" i="80"/>
  <c r="R28" i="80"/>
  <c r="S28" i="80" s="1"/>
  <c r="N28" i="80"/>
  <c r="A28" i="80"/>
  <c r="Y27" i="80"/>
  <c r="R27" i="80"/>
  <c r="S27" i="80" s="1"/>
  <c r="O27" i="80"/>
  <c r="N27" i="80"/>
  <c r="G26" i="80"/>
  <c r="Y23" i="80"/>
  <c r="S23" i="80"/>
  <c r="R23" i="80"/>
  <c r="R37" i="80" s="1"/>
  <c r="G21" i="80" s="1"/>
  <c r="N23" i="80"/>
  <c r="G19" i="80"/>
  <c r="G18" i="80"/>
  <c r="G17" i="80"/>
  <c r="G16" i="80"/>
  <c r="G15" i="80"/>
  <c r="E43" i="80" s="1"/>
  <c r="E74" i="80" s="1"/>
  <c r="G13" i="80"/>
  <c r="G7" i="80"/>
  <c r="G24" i="80" s="1"/>
  <c r="B65" i="79"/>
  <c r="B61" i="79"/>
  <c r="B51" i="79"/>
  <c r="B49" i="79"/>
  <c r="N42" i="79"/>
  <c r="N50" i="79" s="1"/>
  <c r="O51" i="79" s="1"/>
  <c r="Q37" i="79"/>
  <c r="P37" i="79"/>
  <c r="AO36" i="79"/>
  <c r="AN36" i="79"/>
  <c r="AM36" i="79"/>
  <c r="AL36" i="79"/>
  <c r="AK36" i="79"/>
  <c r="AJ36" i="79"/>
  <c r="AI36" i="79"/>
  <c r="AH36" i="79"/>
  <c r="AG36" i="79"/>
  <c r="AF36" i="79"/>
  <c r="AE36" i="79"/>
  <c r="AD36" i="79"/>
  <c r="AC36" i="79"/>
  <c r="AB36" i="79"/>
  <c r="AA36" i="79"/>
  <c r="Z36" i="79"/>
  <c r="AR33" i="79"/>
  <c r="AQ33" i="79"/>
  <c r="AP33" i="79"/>
  <c r="A28" i="79"/>
  <c r="Y26" i="79"/>
  <c r="G26" i="79"/>
  <c r="Y25" i="79"/>
  <c r="Y24" i="79"/>
  <c r="R24" i="79"/>
  <c r="S24" i="79" s="1"/>
  <c r="O24" i="79"/>
  <c r="N24" i="79"/>
  <c r="G24" i="79"/>
  <c r="Y22" i="79"/>
  <c r="S22" i="79"/>
  <c r="R22" i="79"/>
  <c r="N22" i="79"/>
  <c r="Y21" i="79"/>
  <c r="W21" i="79"/>
  <c r="W37" i="79" s="1"/>
  <c r="R21" i="79"/>
  <c r="S21" i="79" s="1"/>
  <c r="O21" i="79"/>
  <c r="N21" i="79"/>
  <c r="Y20" i="79"/>
  <c r="R20" i="79"/>
  <c r="S20" i="79" s="1"/>
  <c r="N20" i="79"/>
  <c r="Y19" i="79"/>
  <c r="G19" i="79"/>
  <c r="Y18" i="79"/>
  <c r="G18" i="79"/>
  <c r="B18" i="79" s="1"/>
  <c r="Y17" i="79"/>
  <c r="Y16" i="79"/>
  <c r="R16" i="79"/>
  <c r="S16" i="79" s="1"/>
  <c r="O16" i="79"/>
  <c r="N16" i="79"/>
  <c r="G16" i="79"/>
  <c r="B16" i="79"/>
  <c r="Y15" i="79"/>
  <c r="G15" i="79"/>
  <c r="E43" i="79" s="1"/>
  <c r="Y14" i="79"/>
  <c r="Y13" i="79"/>
  <c r="Y12" i="79"/>
  <c r="R12" i="79"/>
  <c r="R37" i="79" s="1"/>
  <c r="G21" i="79" s="1"/>
  <c r="O12" i="79"/>
  <c r="N12" i="79"/>
  <c r="Y11" i="79"/>
  <c r="J11" i="79"/>
  <c r="G11" i="79"/>
  <c r="Y10" i="79"/>
  <c r="G10" i="79"/>
  <c r="B10" i="79"/>
  <c r="Y9" i="79"/>
  <c r="A9" i="79"/>
  <c r="Y8" i="79"/>
  <c r="S8" i="79"/>
  <c r="O8" i="79"/>
  <c r="N8" i="79" s="1"/>
  <c r="A8" i="79"/>
  <c r="Y7" i="79"/>
  <c r="N7" i="79"/>
  <c r="Y6" i="79"/>
  <c r="O6" i="79"/>
  <c r="E41" i="79" s="1"/>
  <c r="C12" i="93" l="1"/>
  <c r="D4" i="93"/>
  <c r="E13" i="93"/>
  <c r="O13" i="93"/>
  <c r="H13" i="93"/>
  <c r="N13" i="93"/>
  <c r="C11" i="93"/>
  <c r="D10" i="93"/>
  <c r="D9" i="93"/>
  <c r="D8" i="93"/>
  <c r="D7" i="93"/>
  <c r="D5" i="93"/>
  <c r="D6" i="93"/>
  <c r="J28" i="92"/>
  <c r="J27" i="92"/>
  <c r="J26" i="92"/>
  <c r="J24" i="92"/>
  <c r="J22" i="92"/>
  <c r="J20" i="92"/>
  <c r="J18" i="92"/>
  <c r="J16" i="92"/>
  <c r="J14" i="92"/>
  <c r="K49" i="92"/>
  <c r="I49" i="92"/>
  <c r="G49" i="92"/>
  <c r="E49" i="92"/>
  <c r="F49" i="92"/>
  <c r="H49" i="92"/>
  <c r="J49" i="92"/>
  <c r="L84" i="92"/>
  <c r="J81" i="92"/>
  <c r="J60" i="92"/>
  <c r="J85" i="92" s="1"/>
  <c r="B5" i="92"/>
  <c r="J5" i="92"/>
  <c r="J6" i="92"/>
  <c r="B7" i="92"/>
  <c r="J7" i="92"/>
  <c r="J8" i="92"/>
  <c r="J9" i="92"/>
  <c r="J10" i="92"/>
  <c r="J11" i="92"/>
  <c r="J12" i="92"/>
  <c r="J13" i="92"/>
  <c r="D49" i="92"/>
  <c r="L49" i="92" s="1"/>
  <c r="J59" i="92"/>
  <c r="K5" i="92"/>
  <c r="M5" i="92"/>
  <c r="M31" i="92" s="1"/>
  <c r="K6" i="92"/>
  <c r="L6" i="92" s="1"/>
  <c r="K10" i="92"/>
  <c r="L10" i="92" s="1"/>
  <c r="K11" i="92"/>
  <c r="L11" i="92" s="1"/>
  <c r="K13" i="92"/>
  <c r="L13" i="92" s="1"/>
  <c r="E48" i="91"/>
  <c r="H9" i="91"/>
  <c r="G9" i="91" s="1"/>
  <c r="L19" i="91"/>
  <c r="L32" i="91" s="1"/>
  <c r="D8" i="91"/>
  <c r="J8" i="91" s="1"/>
  <c r="G15" i="90"/>
  <c r="H17" i="90"/>
  <c r="G31" i="90"/>
  <c r="K34" i="90"/>
  <c r="G34" i="90" s="1"/>
  <c r="H7" i="90"/>
  <c r="H6" i="90" s="1"/>
  <c r="K17" i="90"/>
  <c r="H20" i="90"/>
  <c r="H21" i="90"/>
  <c r="H22" i="90"/>
  <c r="K28" i="89"/>
  <c r="E71" i="89"/>
  <c r="S115" i="89"/>
  <c r="G9" i="89"/>
  <c r="J11" i="89"/>
  <c r="K16" i="89"/>
  <c r="K18" i="89"/>
  <c r="L21" i="89"/>
  <c r="H37" i="89"/>
  <c r="P37" i="89"/>
  <c r="P45" i="89"/>
  <c r="P79" i="89" s="1"/>
  <c r="M80" i="89" s="1"/>
  <c r="H48" i="89"/>
  <c r="P48" i="89"/>
  <c r="S54" i="89"/>
  <c r="H60" i="89"/>
  <c r="P86" i="89"/>
  <c r="L11" i="89"/>
  <c r="J12" i="89"/>
  <c r="J13" i="89"/>
  <c r="L19" i="89"/>
  <c r="G25" i="89"/>
  <c r="J28" i="89"/>
  <c r="S40" i="89"/>
  <c r="S88" i="89" s="1"/>
  <c r="V54" i="89"/>
  <c r="J31" i="88"/>
  <c r="J30" i="88"/>
  <c r="K29" i="88"/>
  <c r="J12" i="88"/>
  <c r="G9" i="88"/>
  <c r="B7" i="88"/>
  <c r="L7" i="88"/>
  <c r="J9" i="88"/>
  <c r="J27" i="87"/>
  <c r="G24" i="87"/>
  <c r="N10" i="87"/>
  <c r="N21" i="87" s="1"/>
  <c r="G11" i="87"/>
  <c r="G10" i="87" s="1"/>
  <c r="G9" i="87" s="1"/>
  <c r="G20" i="86"/>
  <c r="G8" i="86"/>
  <c r="N29" i="86"/>
  <c r="J27" i="86"/>
  <c r="G23" i="86"/>
  <c r="M49" i="86"/>
  <c r="S6" i="86"/>
  <c r="S29" i="86" s="1"/>
  <c r="Y29" i="86"/>
  <c r="N8" i="86"/>
  <c r="J26" i="85"/>
  <c r="G23" i="85"/>
  <c r="N17" i="85"/>
  <c r="P18" i="85"/>
  <c r="G18" i="85" s="1"/>
  <c r="G17" i="85" s="1"/>
  <c r="S6" i="85"/>
  <c r="S18" i="85" s="1"/>
  <c r="N9" i="85"/>
  <c r="O12" i="85"/>
  <c r="N13" i="85"/>
  <c r="Y18" i="85"/>
  <c r="W15" i="85"/>
  <c r="W18" i="85" s="1"/>
  <c r="G23" i="84"/>
  <c r="J26" i="84"/>
  <c r="Z17" i="84"/>
  <c r="AD17" i="84"/>
  <c r="AH17" i="84"/>
  <c r="S6" i="84"/>
  <c r="S18" i="84" s="1"/>
  <c r="O14" i="84"/>
  <c r="N14" i="84" s="1"/>
  <c r="N18" i="84" s="1"/>
  <c r="Y16" i="84"/>
  <c r="J26" i="83"/>
  <c r="G23" i="83"/>
  <c r="N44" i="83"/>
  <c r="S6" i="83"/>
  <c r="S44" i="83" s="1"/>
  <c r="N9" i="83"/>
  <c r="G11" i="83"/>
  <c r="G10" i="83" s="1"/>
  <c r="G9" i="83" s="1"/>
  <c r="N14" i="83"/>
  <c r="Y44" i="83"/>
  <c r="N26" i="82"/>
  <c r="J28" i="82"/>
  <c r="G25" i="82"/>
  <c r="O22" i="82"/>
  <c r="N22" i="82" s="1"/>
  <c r="O26" i="82"/>
  <c r="G12" i="82"/>
  <c r="G11" i="82" s="1"/>
  <c r="G10" i="82" s="1"/>
  <c r="AB27" i="81"/>
  <c r="AD27" i="81"/>
  <c r="AF27" i="81"/>
  <c r="AH27" i="81"/>
  <c r="AJ27" i="81"/>
  <c r="G22" i="81"/>
  <c r="G9" i="81"/>
  <c r="AI27" i="81"/>
  <c r="AK27" i="81"/>
  <c r="R26" i="81"/>
  <c r="G23" i="81" s="1"/>
  <c r="Z27" i="81"/>
  <c r="N10" i="81"/>
  <c r="N26" i="81" s="1"/>
  <c r="S37" i="80"/>
  <c r="J26" i="80"/>
  <c r="G23" i="80"/>
  <c r="O30" i="80"/>
  <c r="Z37" i="80"/>
  <c r="E74" i="79"/>
  <c r="B41" i="79"/>
  <c r="S37" i="79"/>
  <c r="G23" i="79"/>
  <c r="J26" i="79"/>
  <c r="G13" i="79"/>
  <c r="N6" i="79"/>
  <c r="N37" i="79" s="1"/>
  <c r="S12" i="79"/>
  <c r="B15" i="79"/>
  <c r="G17" i="79"/>
  <c r="Y36" i="79"/>
  <c r="O37" i="79"/>
  <c r="C4" i="93" l="1"/>
  <c r="M13" i="93"/>
  <c r="D13" i="93"/>
  <c r="C8" i="93"/>
  <c r="C9" i="93"/>
  <c r="C10" i="93"/>
  <c r="C7" i="93"/>
  <c r="C5" i="93"/>
  <c r="C6" i="93"/>
  <c r="K7" i="92"/>
  <c r="L7" i="92" s="1"/>
  <c r="L5" i="92"/>
  <c r="L29" i="92" s="1"/>
  <c r="J29" i="92"/>
  <c r="B29" i="92"/>
  <c r="L61" i="92"/>
  <c r="D9" i="91"/>
  <c r="J9" i="91" s="1"/>
  <c r="J12" i="91" s="1"/>
  <c r="H16" i="90"/>
  <c r="S87" i="89"/>
  <c r="P87" i="89" s="1"/>
  <c r="M86" i="89" s="1"/>
  <c r="K86" i="89"/>
  <c r="L80" i="89"/>
  <c r="K70" i="89"/>
  <c r="L69" i="89"/>
  <c r="I60" i="89"/>
  <c r="I48" i="89"/>
  <c r="I46" i="89"/>
  <c r="I40" i="89"/>
  <c r="S37" i="89"/>
  <c r="I37" i="89"/>
  <c r="R12" i="89"/>
  <c r="R11" i="89"/>
  <c r="R10" i="89"/>
  <c r="R8" i="89"/>
  <c r="L86" i="89"/>
  <c r="K80" i="89"/>
  <c r="L70" i="89"/>
  <c r="K69" i="89"/>
  <c r="I55" i="89"/>
  <c r="I52" i="89"/>
  <c r="S47" i="89"/>
  <c r="M70" i="89"/>
  <c r="S86" i="89"/>
  <c r="J9" i="89"/>
  <c r="S43" i="89"/>
  <c r="T43" i="89" s="1"/>
  <c r="J29" i="89"/>
  <c r="J30" i="89" s="1"/>
  <c r="P42" i="89"/>
  <c r="P58" i="89" s="1"/>
  <c r="P62" i="89" s="1"/>
  <c r="R9" i="89"/>
  <c r="AD8" i="88"/>
  <c r="AB8" i="88"/>
  <c r="Z8" i="88"/>
  <c r="X8" i="88"/>
  <c r="V8" i="88"/>
  <c r="T8" i="88"/>
  <c r="R8" i="88"/>
  <c r="P8" i="88"/>
  <c r="N8" i="88"/>
  <c r="G8" i="88"/>
  <c r="G1" i="88"/>
  <c r="G23" i="88"/>
  <c r="L13" i="88"/>
  <c r="J10" i="88"/>
  <c r="AC8" i="88"/>
  <c r="Y8" i="88"/>
  <c r="U8" i="88"/>
  <c r="Q8" i="88"/>
  <c r="M8" i="88"/>
  <c r="AE8" i="88"/>
  <c r="AA8" i="88"/>
  <c r="W8" i="88"/>
  <c r="S8" i="88"/>
  <c r="O8" i="88"/>
  <c r="J29" i="87"/>
  <c r="J28" i="87"/>
  <c r="G21" i="87"/>
  <c r="G8" i="87"/>
  <c r="AQ30" i="86"/>
  <c r="AO30" i="86"/>
  <c r="AM30" i="86"/>
  <c r="AK30" i="86"/>
  <c r="AI30" i="86"/>
  <c r="AG30" i="86"/>
  <c r="AE30" i="86"/>
  <c r="AC30" i="86"/>
  <c r="AA30" i="86"/>
  <c r="AN30" i="86"/>
  <c r="AJ30" i="86"/>
  <c r="AF30" i="86"/>
  <c r="AB30" i="86"/>
  <c r="AP30" i="86"/>
  <c r="AL30" i="86"/>
  <c r="AH30" i="86"/>
  <c r="AD30" i="86"/>
  <c r="Z30" i="86"/>
  <c r="J28" i="86"/>
  <c r="J29" i="86" s="1"/>
  <c r="AO19" i="85"/>
  <c r="AM19" i="85"/>
  <c r="AK19" i="85"/>
  <c r="AI19" i="85"/>
  <c r="AG19" i="85"/>
  <c r="AE19" i="85"/>
  <c r="AC19" i="85"/>
  <c r="AA19" i="85"/>
  <c r="AL19" i="85"/>
  <c r="AH19" i="85"/>
  <c r="AD19" i="85"/>
  <c r="Z19" i="85"/>
  <c r="J28" i="85"/>
  <c r="J27" i="85"/>
  <c r="O16" i="85"/>
  <c r="N12" i="85"/>
  <c r="AN19" i="85"/>
  <c r="AJ19" i="85"/>
  <c r="AF19" i="85"/>
  <c r="AB19" i="85"/>
  <c r="AK17" i="84"/>
  <c r="AI17" i="84"/>
  <c r="AG17" i="84"/>
  <c r="AE17" i="84"/>
  <c r="AC17" i="84"/>
  <c r="AA17" i="84"/>
  <c r="G11" i="84"/>
  <c r="G10" i="84" s="1"/>
  <c r="G9" i="84" s="1"/>
  <c r="AJ17" i="84"/>
  <c r="AF17" i="84"/>
  <c r="AB17" i="84"/>
  <c r="O18" i="84"/>
  <c r="J27" i="84"/>
  <c r="J28" i="84" s="1"/>
  <c r="AK45" i="83"/>
  <c r="AI45" i="83"/>
  <c r="AG45" i="83"/>
  <c r="AE45" i="83"/>
  <c r="AC45" i="83"/>
  <c r="AA45" i="83"/>
  <c r="G20" i="83"/>
  <c r="G8" i="83"/>
  <c r="AJ45" i="83"/>
  <c r="AF45" i="83"/>
  <c r="AB45" i="83"/>
  <c r="J27" i="83"/>
  <c r="J28" i="83" s="1"/>
  <c r="AR45" i="83"/>
  <c r="AH45" i="83"/>
  <c r="AD45" i="83"/>
  <c r="Z45" i="83"/>
  <c r="G9" i="82"/>
  <c r="G22" i="82"/>
  <c r="J30" i="82"/>
  <c r="J29" i="82"/>
  <c r="J28" i="81"/>
  <c r="G25" i="81"/>
  <c r="O31" i="80"/>
  <c r="N30" i="80"/>
  <c r="G11" i="80"/>
  <c r="G10" i="80" s="1"/>
  <c r="G9" i="80" s="1"/>
  <c r="J27" i="80"/>
  <c r="J28" i="80" s="1"/>
  <c r="AC37" i="79"/>
  <c r="AA37" i="79"/>
  <c r="AJ37" i="79"/>
  <c r="AB37" i="79"/>
  <c r="AK37" i="79"/>
  <c r="AG37" i="79"/>
  <c r="J28" i="79"/>
  <c r="J27" i="79"/>
  <c r="AF37" i="79"/>
  <c r="B13" i="79"/>
  <c r="G9" i="79"/>
  <c r="AH37" i="79"/>
  <c r="Z37" i="79"/>
  <c r="AI37" i="79"/>
  <c r="AE37" i="79"/>
  <c r="C13" i="93" l="1"/>
  <c r="A20" i="92"/>
  <c r="A14" i="92"/>
  <c r="A27" i="92"/>
  <c r="A26" i="92"/>
  <c r="A5" i="92"/>
  <c r="A29" i="92" s="1"/>
  <c r="A7" i="92"/>
  <c r="P72" i="89"/>
  <c r="J73" i="89"/>
  <c r="L8" i="88"/>
  <c r="N16" i="85"/>
  <c r="J14" i="85"/>
  <c r="O18" i="85"/>
  <c r="G11" i="85"/>
  <c r="G10" i="85" s="1"/>
  <c r="G9" i="85" s="1"/>
  <c r="N18" i="85"/>
  <c r="G20" i="84"/>
  <c r="G8" i="84"/>
  <c r="J29" i="81"/>
  <c r="J30" i="81" s="1"/>
  <c r="G20" i="80"/>
  <c r="G8" i="80"/>
  <c r="N31" i="80"/>
  <c r="O37" i="80"/>
  <c r="N37" i="80"/>
  <c r="G20" i="79"/>
  <c r="J9" i="79"/>
  <c r="B9" i="79"/>
  <c r="G8" i="79"/>
  <c r="B8" i="79" s="1"/>
  <c r="G20" i="85" l="1"/>
  <c r="G8" i="85"/>
  <c r="F26" i="77" l="1"/>
  <c r="E25" i="77"/>
  <c r="E24" i="77"/>
  <c r="E23" i="77"/>
  <c r="E22" i="77"/>
  <c r="E21" i="77"/>
  <c r="B26" i="77"/>
  <c r="A25" i="77"/>
  <c r="A24" i="77"/>
  <c r="A23" i="77"/>
  <c r="A22" i="77"/>
  <c r="A21" i="77"/>
  <c r="M25" i="77"/>
  <c r="M24" i="77"/>
  <c r="M23" i="77"/>
  <c r="M22" i="77"/>
  <c r="M21" i="77"/>
  <c r="U25" i="77"/>
  <c r="U24" i="77"/>
  <c r="U23" i="77"/>
  <c r="U22" i="77"/>
  <c r="U21" i="77"/>
  <c r="I21" i="77"/>
  <c r="Y25" i="77"/>
  <c r="Y23" i="77"/>
  <c r="Y22" i="77"/>
  <c r="Y21" i="77"/>
  <c r="AC25" i="77"/>
  <c r="AC23" i="77"/>
  <c r="AC22" i="77"/>
  <c r="AC21" i="77"/>
  <c r="AG25" i="77" l="1"/>
  <c r="AG24" i="77"/>
  <c r="AG23" i="77"/>
  <c r="AG22" i="77"/>
  <c r="AG21" i="77"/>
  <c r="AG16" i="77"/>
  <c r="AG15" i="77"/>
  <c r="AG13" i="77"/>
  <c r="AC16" i="77"/>
  <c r="AC15" i="77"/>
  <c r="AC13" i="77"/>
  <c r="Y16" i="77"/>
  <c r="Y15" i="77"/>
  <c r="Y13" i="77"/>
  <c r="U16" i="77"/>
  <c r="U15" i="77"/>
  <c r="U13" i="77"/>
  <c r="Q16" i="77"/>
  <c r="Q13" i="77"/>
  <c r="M16" i="77"/>
  <c r="M13" i="77"/>
  <c r="I16" i="77"/>
  <c r="I13" i="77"/>
  <c r="E16" i="77"/>
  <c r="E15" i="77"/>
  <c r="I15" i="77" s="1"/>
  <c r="M15" i="77" s="1"/>
  <c r="E13" i="77"/>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s="1"/>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K10" i="1" s="1"/>
  <c r="M10" i="1" s="1"/>
  <c r="O10" i="1" s="1"/>
  <c r="P10" i="1" s="1"/>
  <c r="E24" i="6"/>
  <c r="E25" i="6"/>
  <c r="E26" i="6"/>
  <c r="K13" i="1" s="1"/>
  <c r="M13" i="1" s="1"/>
  <c r="O13" i="1" s="1"/>
  <c r="P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F95" i="39" s="1"/>
  <c r="D93" i="39"/>
  <c r="E93" i="39" s="1"/>
  <c r="F93" i="39" s="1"/>
  <c r="G93" i="39" s="1"/>
  <c r="D91" i="39"/>
  <c r="E91" i="39" s="1"/>
  <c r="F91" i="39" s="1"/>
  <c r="G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c r="Q14" i="39"/>
  <c r="Z14" i="39" s="1"/>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c r="F31" i="39"/>
  <c r="AA31" i="39"/>
  <c r="E101" i="39"/>
  <c r="F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J19" i="39"/>
  <c r="AC19" i="39" s="1"/>
  <c r="J17" i="39"/>
  <c r="AC1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43" i="39"/>
  <c r="AB45" i="39"/>
  <c r="U44" i="39"/>
  <c r="H37" i="39"/>
  <c r="AB37" i="39" s="1"/>
  <c r="AC37" i="39"/>
  <c r="W37" i="39"/>
  <c r="AB34" i="39"/>
  <c r="S42" i="39"/>
  <c r="W14" i="39"/>
  <c r="W9" i="39"/>
  <c r="W8"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M6" i="1" s="1"/>
  <c r="O6" i="1" s="1"/>
  <c r="P6" i="1"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S37" i="39"/>
  <c r="U35" i="39"/>
  <c r="F32" i="39"/>
  <c r="F107" i="39"/>
  <c r="G107" i="39"/>
  <c r="U31"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c r="J56" i="9"/>
  <c r="J57" i="9" s="1"/>
  <c r="J59" i="9" s="1"/>
  <c r="J61" i="9" s="1"/>
  <c r="A24" i="51"/>
  <c r="B18" i="72" s="1"/>
  <c r="U29" i="34"/>
  <c r="E14" i="6"/>
  <c r="E5" i="6"/>
  <c r="D9" i="11" s="1"/>
  <c r="C9" i="11" s="1"/>
  <c r="E32" i="6"/>
  <c r="L25" i="6" s="1"/>
  <c r="L19" i="6"/>
  <c r="G1" i="68"/>
  <c r="K1" i="12"/>
  <c r="F30" i="6"/>
  <c r="E28" i="6"/>
  <c r="E57" i="40"/>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s="1"/>
  <c r="F28" i="67"/>
  <c r="F31" i="12"/>
  <c r="F52" i="9"/>
  <c r="M18" i="67"/>
  <c r="F32" i="67"/>
  <c r="F60" i="67"/>
  <c r="F30" i="69"/>
  <c r="F48" i="69" s="1"/>
  <c r="C48" i="69"/>
  <c r="F32" i="15"/>
  <c r="F60" i="15"/>
  <c r="M18" i="15"/>
  <c r="F28" i="15"/>
  <c r="C28" i="15" s="1"/>
  <c r="E63" i="39"/>
  <c r="D9" i="69"/>
  <c r="C9" i="69" s="1"/>
  <c r="E30" i="6"/>
  <c r="K15" i="1"/>
  <c r="D9" i="68"/>
  <c r="C9" i="68" s="1"/>
  <c r="E7" i="70"/>
  <c r="AA39" i="40"/>
  <c r="S39" i="40"/>
  <c r="S12" i="33"/>
  <c r="AA12" i="33"/>
  <c r="D68" i="9"/>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8" i="1"/>
  <c r="AE6" i="1"/>
  <c r="AG6" i="1"/>
  <c r="H109" i="9"/>
  <c r="H110" i="9"/>
  <c r="D18" i="53" s="1"/>
  <c r="B35" i="72" s="1"/>
  <c r="D124" i="9"/>
  <c r="H14" i="74" s="1"/>
  <c r="B7" i="74" s="1"/>
  <c r="D16" i="53"/>
  <c r="B34" i="72"/>
  <c r="D17" i="53"/>
  <c r="B36" i="72" s="1"/>
  <c r="H112" i="9"/>
  <c r="D21" i="53" s="1"/>
  <c r="B39" i="72" s="1"/>
  <c r="H111" i="9"/>
  <c r="D126" i="9" s="1"/>
  <c r="I14" i="74" s="1"/>
  <c r="B8" i="74" s="1"/>
  <c r="AD3" i="71"/>
  <c r="J1" i="73"/>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46" i="36"/>
  <c r="F46" i="36" s="1"/>
  <c r="G46" i="36"/>
  <c r="H46" i="36" s="1"/>
  <c r="I46" i="36" s="1"/>
  <c r="C24" i="12"/>
  <c r="C48" i="68"/>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70" i="39"/>
  <c r="E68" i="39"/>
  <c r="V12" i="71"/>
  <c r="C12" i="71"/>
  <c r="D13" i="71"/>
  <c r="E41" i="43"/>
  <c r="C41" i="43"/>
  <c r="F68" i="39"/>
  <c r="E70" i="39"/>
  <c r="I59" i="34"/>
  <c r="J59" i="34" s="1"/>
  <c r="D10" i="71"/>
  <c r="T12" i="71"/>
  <c r="D11" i="71"/>
  <c r="D12" i="71"/>
  <c r="G68" i="39"/>
  <c r="F70" i="39"/>
  <c r="C19" i="43"/>
  <c r="U12" i="71"/>
  <c r="H68" i="39"/>
  <c r="G70" i="39"/>
  <c r="I68" i="39"/>
  <c r="I70" i="39" s="1"/>
  <c r="H70" i="39"/>
  <c r="J68" i="39"/>
  <c r="J70" i="39" s="1"/>
  <c r="K68" i="39"/>
  <c r="K70" i="39" s="1"/>
  <c r="L68" i="39"/>
  <c r="M68" i="39" s="1"/>
  <c r="L70" i="39"/>
  <c r="F37" i="67"/>
  <c r="M24" i="15"/>
  <c r="J15" i="15"/>
  <c r="J15" i="67"/>
  <c r="B11" i="76"/>
  <c r="F40" i="67"/>
  <c r="M9" i="15"/>
  <c r="F4" i="73"/>
  <c r="M29" i="15"/>
  <c r="F7" i="15"/>
  <c r="L48" i="15"/>
  <c r="F7" i="67"/>
  <c r="M8" i="67"/>
  <c r="AO11" i="1"/>
  <c r="F9" i="15"/>
  <c r="E2" i="69"/>
  <c r="M23" i="67"/>
  <c r="F6" i="73"/>
  <c r="F16" i="15"/>
  <c r="M21" i="67"/>
  <c r="AO13" i="1"/>
  <c r="D3" i="73"/>
  <c r="F20" i="31"/>
  <c r="M8" i="15"/>
  <c r="M27" i="15"/>
  <c r="D6" i="73"/>
  <c r="F42" i="15"/>
  <c r="F40" i="15"/>
  <c r="F13" i="67"/>
  <c r="M28" i="15"/>
  <c r="F35" i="15"/>
  <c r="F41" i="67"/>
  <c r="E13" i="76"/>
  <c r="B8" i="76"/>
  <c r="F36" i="15"/>
  <c r="F35" i="67"/>
  <c r="E8" i="76"/>
  <c r="F36" i="67"/>
  <c r="F37" i="15"/>
  <c r="E12" i="76"/>
  <c r="F38" i="67"/>
  <c r="F8" i="67"/>
  <c r="F5" i="73"/>
  <c r="M9" i="67"/>
  <c r="F8" i="15"/>
  <c r="F7" i="73"/>
  <c r="E2" i="68"/>
  <c r="F41" i="15"/>
  <c r="L47" i="15"/>
  <c r="D2" i="34"/>
  <c r="E11" i="76"/>
  <c r="L48" i="67"/>
  <c r="B10" i="76"/>
  <c r="D2" i="21"/>
  <c r="M22" i="67"/>
  <c r="AO6" i="1"/>
  <c r="D4" i="73"/>
  <c r="L47" i="67"/>
  <c r="M22" i="15"/>
  <c r="D2" i="37"/>
  <c r="F6" i="15"/>
  <c r="E7" i="76"/>
  <c r="M27" i="67"/>
  <c r="F16" i="67"/>
  <c r="AO9" i="1"/>
  <c r="C76" i="15"/>
  <c r="M26" i="15"/>
  <c r="D2" i="36"/>
  <c r="F26" i="67"/>
  <c r="F42" i="67"/>
  <c r="M23" i="15"/>
  <c r="F6" i="67"/>
  <c r="C76" i="67"/>
  <c r="F43" i="15"/>
  <c r="B9" i="76"/>
  <c r="F38" i="15"/>
  <c r="E10" i="76"/>
  <c r="AO8" i="1"/>
  <c r="B7" i="76"/>
  <c r="F43" i="67"/>
  <c r="M24" i="67"/>
  <c r="AO12" i="1"/>
  <c r="AO10" i="1"/>
  <c r="E9" i="76"/>
  <c r="M6" i="15"/>
  <c r="D2" i="35"/>
  <c r="F3" i="73"/>
  <c r="D2" i="33"/>
  <c r="M6" i="67"/>
  <c r="M28" i="67"/>
  <c r="F13" i="15"/>
  <c r="F26" i="15"/>
  <c r="AO7" i="1"/>
  <c r="M21" i="15"/>
  <c r="F9" i="67"/>
  <c r="B13" i="76"/>
  <c r="M26" i="67"/>
  <c r="D7" i="73"/>
  <c r="B12" i="76"/>
  <c r="M29" i="67"/>
  <c r="D5" i="73"/>
  <c r="F41" i="39" l="1"/>
  <c r="S41" i="39" s="1"/>
  <c r="H41" i="39"/>
  <c r="U41" i="39" s="1"/>
  <c r="H124" i="39"/>
  <c r="I124" i="39" s="1"/>
  <c r="J124" i="39" s="1"/>
  <c r="K124" i="39" s="1"/>
  <c r="L124" i="39" s="1"/>
  <c r="M124" i="39" s="1"/>
  <c r="J41" i="39"/>
  <c r="W41" i="39" s="1"/>
  <c r="J27" i="39"/>
  <c r="G101" i="39"/>
  <c r="H27" i="39"/>
  <c r="U27" i="39" s="1"/>
  <c r="F27" i="39"/>
  <c r="S27" i="39" s="1"/>
  <c r="J25" i="39"/>
  <c r="F99" i="39"/>
  <c r="G99" i="39" s="1"/>
  <c r="H25" i="39"/>
  <c r="F25" i="39"/>
  <c r="J23" i="39"/>
  <c r="J21" i="39"/>
  <c r="G95" i="39"/>
  <c r="F21" i="39"/>
  <c r="H21" i="39"/>
  <c r="G89" i="39"/>
  <c r="J15" i="39"/>
  <c r="AC15" i="39" s="1"/>
  <c r="H15" i="39"/>
  <c r="F15" i="39"/>
  <c r="AA15" i="39" s="1"/>
  <c r="F81" i="39"/>
  <c r="G81" i="39" s="1"/>
  <c r="H81" i="39" s="1"/>
  <c r="I81" i="39" s="1"/>
  <c r="J81" i="39" s="1"/>
  <c r="K81" i="39" s="1"/>
  <c r="L81" i="39" s="1"/>
  <c r="M81" i="39" s="1"/>
  <c r="H11" i="39"/>
  <c r="F11" i="39"/>
  <c r="AA11" i="39" s="1"/>
  <c r="J11" i="39"/>
  <c r="AC41" i="39"/>
  <c r="W29" i="39"/>
  <c r="U29" i="39"/>
  <c r="U19" i="39"/>
  <c r="AA27" i="39"/>
  <c r="S29" i="39"/>
  <c r="U42" i="39"/>
  <c r="W42" i="39"/>
  <c r="AB41" i="39"/>
  <c r="AA41" i="39"/>
  <c r="U40" i="39"/>
  <c r="W40" i="39"/>
  <c r="AB39" i="39"/>
  <c r="W39" i="39"/>
  <c r="AA39" i="39"/>
  <c r="AC38" i="39"/>
  <c r="S38" i="39"/>
  <c r="U12" i="39"/>
  <c r="S11" i="39"/>
  <c r="S9" i="39"/>
  <c r="U9" i="39"/>
  <c r="S43" i="39"/>
  <c r="AC45" i="39"/>
  <c r="AB27" i="39"/>
  <c r="AB23" i="39"/>
  <c r="S15" i="39"/>
  <c r="W15" i="39"/>
  <c r="U37" i="39"/>
  <c r="W17" i="39"/>
  <c r="S17" i="39"/>
  <c r="W19" i="39"/>
  <c r="S19" i="39"/>
  <c r="C29" i="39"/>
  <c r="B66" i="43"/>
  <c r="C92" i="9"/>
  <c r="C94" i="9"/>
  <c r="F53" i="9"/>
  <c r="C31" i="12"/>
  <c r="C21" i="69"/>
  <c r="C5" i="68"/>
  <c r="D23" i="67"/>
  <c r="H16" i="1"/>
  <c r="L27" i="6"/>
  <c r="Q16" i="1"/>
  <c r="F27" i="69" s="1"/>
  <c r="F45" i="69" s="1"/>
  <c r="P7" i="1"/>
  <c r="C34" i="69"/>
  <c r="C35" i="69" s="1"/>
  <c r="E64" i="39"/>
  <c r="E59" i="40"/>
  <c r="G5" i="3"/>
  <c r="B3" i="3" s="1"/>
  <c r="E13" i="3" s="1"/>
  <c r="E2" i="70"/>
  <c r="E65" i="39"/>
  <c r="D19" i="12"/>
  <c r="C19" i="12" s="1"/>
  <c r="E8" i="6"/>
  <c r="E56" i="39" s="1"/>
  <c r="E66" i="39" s="1"/>
  <c r="I4" i="6"/>
  <c r="G3" i="43" s="1"/>
  <c r="G101" i="43" s="1"/>
  <c r="F27" i="6"/>
  <c r="E53" i="3"/>
  <c r="E508" i="3"/>
  <c r="E388" i="3"/>
  <c r="E555" i="3"/>
  <c r="E410" i="3"/>
  <c r="E337" i="3"/>
  <c r="E143" i="3"/>
  <c r="E397" i="3"/>
  <c r="E568" i="3"/>
  <c r="I6" i="3"/>
  <c r="E536" i="3"/>
  <c r="AK6" i="3"/>
  <c r="E549" i="3"/>
  <c r="E434" i="3"/>
  <c r="E237" i="3"/>
  <c r="E304" i="3"/>
  <c r="E565" i="3"/>
  <c r="E213"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61" i="3"/>
  <c r="E180" i="3"/>
  <c r="E117" i="3"/>
  <c r="E140" i="3"/>
  <c r="E120" i="3"/>
  <c r="E56" i="40"/>
  <c r="E16" i="6"/>
  <c r="O14" i="1"/>
  <c r="M16" i="1"/>
  <c r="P14" i="1"/>
  <c r="N16" i="1"/>
  <c r="B21" i="1" s="1"/>
  <c r="C36" i="69"/>
  <c r="AY6" i="3"/>
  <c r="E3" i="6"/>
  <c r="O9" i="1"/>
  <c r="P9" i="1" s="1"/>
  <c r="O11" i="1"/>
  <c r="P11" i="1" s="1"/>
  <c r="O12" i="1"/>
  <c r="P12" i="1" s="1"/>
  <c r="O8" i="1"/>
  <c r="K16" i="1"/>
  <c r="E305" i="3"/>
  <c r="E282" i="3"/>
  <c r="E153" i="3"/>
  <c r="E268" i="3"/>
  <c r="E343" i="3"/>
  <c r="E553" i="3"/>
  <c r="E501" i="3"/>
  <c r="E526" i="3"/>
  <c r="E530" i="3"/>
  <c r="E366" i="3"/>
  <c r="E319" i="3"/>
  <c r="E217" i="3"/>
  <c r="E175" i="3"/>
  <c r="E125" i="3"/>
  <c r="N104" i="46"/>
  <c r="T35" i="4"/>
  <c r="A19" i="51" s="1"/>
  <c r="B14" i="72" s="1"/>
  <c r="G16" i="1"/>
  <c r="F10" i="39" s="1"/>
  <c r="D19" i="53"/>
  <c r="D125" i="9"/>
  <c r="D11" i="52" s="1"/>
  <c r="D10" i="52"/>
  <c r="D12" i="52"/>
  <c r="D127" i="9"/>
  <c r="D13" i="52" s="1"/>
  <c r="M70" i="39"/>
  <c r="N68" i="39"/>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G17" i="43"/>
  <c r="C16" i="43" s="1"/>
  <c r="C5" i="43" s="1"/>
  <c r="K5" i="4"/>
  <c r="B47" i="48" s="1"/>
  <c r="D5" i="43"/>
  <c r="C35" i="43" s="1"/>
  <c r="F31" i="67"/>
  <c r="F31" i="15"/>
  <c r="K4" i="4"/>
  <c r="B46" i="48" s="1"/>
  <c r="B4" i="72" s="1"/>
  <c r="B4" i="62"/>
  <c r="B71" i="72" s="1"/>
  <c r="D9" i="53"/>
  <c r="B25" i="72" s="1"/>
  <c r="B24" i="72"/>
  <c r="K120" i="9"/>
  <c r="A18" i="62" s="1"/>
  <c r="B64" i="72" s="1"/>
  <c r="D7" i="71"/>
  <c r="C6" i="71"/>
  <c r="Y8" i="71"/>
  <c r="Z8" i="71" s="1"/>
  <c r="Y7" i="71"/>
  <c r="AA8" i="71"/>
  <c r="AB3" i="71"/>
  <c r="C37" i="43"/>
  <c r="E37" i="43" s="1"/>
  <c r="B8" i="71"/>
  <c r="B7" i="71" s="1"/>
  <c r="B6" i="71" s="1"/>
  <c r="B5" i="71" s="1"/>
  <c r="X8" i="71"/>
  <c r="AB8" i="71"/>
  <c r="Z7" i="71"/>
  <c r="Y3" i="71"/>
  <c r="Z3" i="71" s="1"/>
  <c r="D8" i="71"/>
  <c r="F8" i="7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E20" i="43"/>
  <c r="F66" i="67"/>
  <c r="B11" i="70"/>
  <c r="L59" i="15"/>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J20" i="15"/>
  <c r="F68" i="15"/>
  <c r="C14" i="15"/>
  <c r="C16" i="15"/>
  <c r="C14" i="67"/>
  <c r="C16" i="67"/>
  <c r="C17" i="15"/>
  <c r="C17" i="67"/>
  <c r="G1" i="73"/>
  <c r="C47" i="69" l="1"/>
  <c r="D45" i="69" s="1"/>
  <c r="B23" i="1"/>
  <c r="B24" i="1"/>
  <c r="F50" i="11" s="1"/>
  <c r="AC27" i="39"/>
  <c r="W27" i="39"/>
  <c r="AA25" i="39"/>
  <c r="S25" i="39"/>
  <c r="AB25" i="39"/>
  <c r="U25" i="39"/>
  <c r="AC25" i="39"/>
  <c r="W25" i="39"/>
  <c r="AC23" i="39"/>
  <c r="W23" i="39"/>
  <c r="U21" i="39"/>
  <c r="AB21" i="39"/>
  <c r="S21" i="39"/>
  <c r="AA21" i="39"/>
  <c r="W21" i="39"/>
  <c r="AC21" i="39"/>
  <c r="U15" i="39"/>
  <c r="AB15" i="39"/>
  <c r="W11" i="39"/>
  <c r="AC11" i="39"/>
  <c r="AB11" i="39"/>
  <c r="U11" i="39"/>
  <c r="AH11" i="43"/>
  <c r="AH13" i="43" s="1"/>
  <c r="AE11" i="43"/>
  <c r="AE13" i="43" s="1"/>
  <c r="N101" i="43"/>
  <c r="C38" i="69"/>
  <c r="C29" i="69"/>
  <c r="D27" i="69" s="1"/>
  <c r="Z11" i="43"/>
  <c r="Z13" i="43" s="1"/>
  <c r="M101" i="43"/>
  <c r="J22" i="43"/>
  <c r="B113" i="43"/>
  <c r="F27" i="68"/>
  <c r="C29" i="68" s="1"/>
  <c r="D27" i="68" s="1"/>
  <c r="AA11" i="43"/>
  <c r="AA13" i="43" s="1"/>
  <c r="AI11" i="43"/>
  <c r="AI13" i="43" s="1"/>
  <c r="AD11" i="43"/>
  <c r="AD13" i="43" s="1"/>
  <c r="E101" i="43"/>
  <c r="H22" i="43"/>
  <c r="K101" i="43"/>
  <c r="H101" i="43"/>
  <c r="H103" i="43" s="1"/>
  <c r="C101" i="43"/>
  <c r="F28" i="12"/>
  <c r="F27" i="11"/>
  <c r="C29" i="11" s="1"/>
  <c r="D27" i="11" s="1"/>
  <c r="E260" i="3"/>
  <c r="Y11" i="43"/>
  <c r="Y13" i="43" s="1"/>
  <c r="AC11" i="43"/>
  <c r="AC13" i="43" s="1"/>
  <c r="AG11" i="43"/>
  <c r="AG13" i="43" s="1"/>
  <c r="Z7" i="43"/>
  <c r="AB11" i="43"/>
  <c r="AB13" i="43" s="1"/>
  <c r="AF11" i="43"/>
  <c r="AF13" i="43" s="1"/>
  <c r="AJ11" i="43"/>
  <c r="AJ13" i="43" s="1"/>
  <c r="I101" i="43"/>
  <c r="D101" i="43"/>
  <c r="D103" i="43" s="1"/>
  <c r="E22" i="43"/>
  <c r="F101" i="43"/>
  <c r="F104" i="43" s="1"/>
  <c r="F22" i="43"/>
  <c r="G22" i="43"/>
  <c r="L101" i="43"/>
  <c r="J101" i="43"/>
  <c r="J107" i="43" s="1"/>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183" i="3"/>
  <c r="E528" i="3"/>
  <c r="E261" i="3"/>
  <c r="E423" i="3"/>
  <c r="E402" i="3"/>
  <c r="E578" i="3"/>
  <c r="E586" i="3"/>
  <c r="E16" i="3"/>
  <c r="E511" i="3"/>
  <c r="E314" i="3"/>
  <c r="E97" i="3"/>
  <c r="E285" i="3"/>
  <c r="E359" i="3"/>
  <c r="E574" i="3"/>
  <c r="O6" i="3"/>
  <c r="E328" i="3"/>
  <c r="E426" i="3"/>
  <c r="E415" i="3"/>
  <c r="AI6" i="3"/>
  <c r="AN6" i="3"/>
  <c r="E518" i="3"/>
  <c r="E495" i="3"/>
  <c r="E385" i="3"/>
  <c r="E353" i="3"/>
  <c r="E151" i="3"/>
  <c r="E201" i="3"/>
  <c r="E229" i="3"/>
  <c r="E247" i="3"/>
  <c r="E396" i="3"/>
  <c r="E431" i="3"/>
  <c r="E569" i="3"/>
  <c r="E579" i="3"/>
  <c r="E516" i="3"/>
  <c r="E509" i="3"/>
  <c r="E239" i="3"/>
  <c r="AJ6" i="3"/>
  <c r="N6" i="3"/>
  <c r="E322" i="3"/>
  <c r="E395" i="3"/>
  <c r="E114" i="3"/>
  <c r="E172" i="3"/>
  <c r="E563" i="3"/>
  <c r="E278" i="3"/>
  <c r="E69" i="3"/>
  <c r="E51" i="40"/>
  <c r="E453" i="3"/>
  <c r="E306" i="3"/>
  <c r="E368" i="3"/>
  <c r="E296" i="3"/>
  <c r="E244" i="3"/>
  <c r="E262" i="3"/>
  <c r="E196" i="3"/>
  <c r="E136" i="3"/>
  <c r="E156" i="3"/>
  <c r="E236" i="3"/>
  <c r="E148" i="3"/>
  <c r="E269" i="3"/>
  <c r="E122" i="3"/>
  <c r="E89" i="3"/>
  <c r="E149"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350" i="3"/>
  <c r="E303" i="3"/>
  <c r="E301" i="3"/>
  <c r="E159" i="3"/>
  <c r="E99" i="3"/>
  <c r="E228"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382" i="3"/>
  <c r="E263" i="3"/>
  <c r="E245" i="3"/>
  <c r="E191" i="3"/>
  <c r="E188" i="3"/>
  <c r="E181"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256" i="3"/>
  <c r="E279" i="3"/>
  <c r="E214" i="3"/>
  <c r="E257" i="3"/>
  <c r="E274"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2" i="3"/>
  <c r="E281" i="3"/>
  <c r="E226" i="3"/>
  <c r="E243" i="3"/>
  <c r="E276"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31" i="6"/>
  <c r="E27" i="6"/>
  <c r="AC6" i="3"/>
  <c r="H6" i="3"/>
  <c r="O16" i="1"/>
  <c r="F50" i="69"/>
  <c r="F50" i="68"/>
  <c r="L16" i="1"/>
  <c r="C15" i="15"/>
  <c r="C18" i="15"/>
  <c r="P8" i="1"/>
  <c r="P16" i="1" s="1"/>
  <c r="C11" i="12" s="1"/>
  <c r="D3" i="34"/>
  <c r="D3" i="33"/>
  <c r="E6" i="6"/>
  <c r="D37" i="11"/>
  <c r="D14" i="12"/>
  <c r="M18" i="9"/>
  <c r="B118" i="9" s="1"/>
  <c r="B14" i="74" s="1"/>
  <c r="B1" i="74" s="1"/>
  <c r="C17" i="4"/>
  <c r="B4" i="52" s="1"/>
  <c r="B43" i="72" s="1"/>
  <c r="L18" i="9"/>
  <c r="D19" i="11"/>
  <c r="C19" i="11" s="1"/>
  <c r="D3" i="37"/>
  <c r="D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03" i="3"/>
  <c r="AY67" i="3"/>
  <c r="AY50" i="3"/>
  <c r="AY196" i="3"/>
  <c r="AY160" i="3"/>
  <c r="AY139" i="3"/>
  <c r="AY289" i="3"/>
  <c r="AY74" i="3"/>
  <c r="AY183" i="3"/>
  <c r="AY123" i="3"/>
  <c r="AY261" i="3"/>
  <c r="AY204" i="3"/>
  <c r="AY284" i="3"/>
  <c r="AY252" i="3"/>
  <c r="AY209" i="3"/>
  <c r="AY363" i="3"/>
  <c r="AY319" i="3"/>
  <c r="AY489" i="3"/>
  <c r="AY455" i="3"/>
  <c r="AY412" i="3"/>
  <c r="AY497" i="3"/>
  <c r="AY43"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82" i="3"/>
  <c r="AY191" i="3"/>
  <c r="AY132" i="3"/>
  <c r="AY31" i="3"/>
  <c r="AY292" i="3"/>
  <c r="AY147" i="3"/>
  <c r="AY220" i="3"/>
  <c r="AY350" i="3"/>
  <c r="AY486" i="3"/>
  <c r="AY425"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98" i="3"/>
  <c r="AY171" i="3"/>
  <c r="AY163" i="3"/>
  <c r="AY237" i="3"/>
  <c r="AY334" i="3"/>
  <c r="AY526"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 i="3"/>
  <c r="AY90" i="3"/>
  <c r="AY75" i="3"/>
  <c r="AY387" i="3"/>
  <c r="AY444"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N102" i="43"/>
  <c r="N105" i="43"/>
  <c r="N104" i="43"/>
  <c r="N109" i="43"/>
  <c r="N103" i="43"/>
  <c r="N106" i="43"/>
  <c r="N107" i="43"/>
  <c r="K103" i="43"/>
  <c r="K102" i="43"/>
  <c r="K105" i="43"/>
  <c r="K109" i="43"/>
  <c r="K107" i="43"/>
  <c r="K104" i="43"/>
  <c r="K106" i="43"/>
  <c r="I109" i="43"/>
  <c r="I104" i="43"/>
  <c r="I106" i="43"/>
  <c r="I103" i="43"/>
  <c r="I102" i="43"/>
  <c r="I107" i="43"/>
  <c r="I105" i="43"/>
  <c r="F102" i="43"/>
  <c r="L109" i="43"/>
  <c r="L102" i="43"/>
  <c r="L105" i="43"/>
  <c r="L104" i="43"/>
  <c r="L106" i="43"/>
  <c r="L107" i="43"/>
  <c r="L103" i="43"/>
  <c r="J103"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U10" i="39" s="1"/>
  <c r="F10" i="40"/>
  <c r="AA10" i="40" s="1"/>
  <c r="J10" i="39"/>
  <c r="AC10" i="39" s="1"/>
  <c r="H10" i="40"/>
  <c r="AB10" i="40" s="1"/>
  <c r="B38" i="72"/>
  <c r="D20" i="53"/>
  <c r="B40" i="72" s="1"/>
  <c r="W10" i="39"/>
  <c r="S10" i="39"/>
  <c r="AA10" i="39"/>
  <c r="H7" i="33"/>
  <c r="J7" i="33"/>
  <c r="D65" i="40"/>
  <c r="E63" i="40"/>
  <c r="F48" i="35"/>
  <c r="S7" i="36"/>
  <c r="AA7" i="36"/>
  <c r="R36" i="36" s="1"/>
  <c r="AC7" i="37"/>
  <c r="V42" i="37" s="1"/>
  <c r="I42" i="37" s="1"/>
  <c r="W7" i="37"/>
  <c r="H7" i="37"/>
  <c r="H7" i="36"/>
  <c r="AB7" i="34"/>
  <c r="T49" i="34" s="1"/>
  <c r="G49" i="34" s="1"/>
  <c r="U7" i="34"/>
  <c r="F7" i="34"/>
  <c r="O68" i="39"/>
  <c r="O70" i="39" s="1"/>
  <c r="N70" i="39"/>
  <c r="F7" i="33"/>
  <c r="E58" i="21"/>
  <c r="AC7" i="36"/>
  <c r="V36" i="36" s="1"/>
  <c r="I36" i="36" s="1"/>
  <c r="W7" i="36"/>
  <c r="F7" i="37"/>
  <c r="W7" i="34"/>
  <c r="AC7" i="34"/>
  <c r="V49" i="34" s="1"/>
  <c r="I49" i="34" s="1"/>
  <c r="F7" i="39"/>
  <c r="H7" i="39"/>
  <c r="J7" i="39"/>
  <c r="T14" i="43"/>
  <c r="V14" i="43" s="1"/>
  <c r="T12" i="43"/>
  <c r="V12" i="43" s="1"/>
  <c r="T16" i="43"/>
  <c r="V16" i="43" s="1"/>
  <c r="T8" i="43"/>
  <c r="V8" i="43" s="1"/>
  <c r="T11" i="43"/>
  <c r="V11" i="43" s="1"/>
  <c r="T9" i="43"/>
  <c r="V9" i="43" s="1"/>
  <c r="T15" i="43"/>
  <c r="V15" i="43" s="1"/>
  <c r="T10" i="43"/>
  <c r="V10" i="43" s="1"/>
  <c r="T13" i="43"/>
  <c r="V13" i="43" s="1"/>
  <c r="C33" i="43"/>
  <c r="E33" i="43" s="1"/>
  <c r="C36" i="43"/>
  <c r="E36" i="43" s="1"/>
  <c r="E35" i="43"/>
  <c r="G35" i="43"/>
  <c r="I35" i="43" s="1"/>
  <c r="C38" i="43"/>
  <c r="E38" i="43" s="1"/>
  <c r="C34" i="43"/>
  <c r="E34" i="43" s="1"/>
  <c r="C39" i="43"/>
  <c r="G39" i="43" s="1"/>
  <c r="I39" i="43" s="1"/>
  <c r="G37" i="43"/>
  <c r="I37" i="43" s="1"/>
  <c r="D6" i="71"/>
  <c r="C5" i="71"/>
  <c r="D5" i="71" s="1"/>
  <c r="M17" i="67"/>
  <c r="M17" i="15"/>
  <c r="F59" i="15"/>
  <c r="P24" i="43"/>
  <c r="B66" i="40" s="1"/>
  <c r="P21" i="43"/>
  <c r="C49" i="67"/>
  <c r="P25" i="43"/>
  <c r="P23" i="43"/>
  <c r="B71" i="39" s="1"/>
  <c r="M20"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C47" i="11" l="1"/>
  <c r="D45" i="11" s="1"/>
  <c r="C29" i="12"/>
  <c r="D28" i="12" s="1"/>
  <c r="F34" i="11"/>
  <c r="C37" i="11" s="1"/>
  <c r="F34" i="68"/>
  <c r="F11" i="12"/>
  <c r="C23" i="12" s="1"/>
  <c r="J53" i="15"/>
  <c r="J53" i="67"/>
  <c r="M59" i="15"/>
  <c r="M59" i="67"/>
  <c r="F45" i="68"/>
  <c r="C47" i="68"/>
  <c r="D45" i="68" s="1"/>
  <c r="G38" i="43"/>
  <c r="I38" i="43" s="1"/>
  <c r="E39" i="43"/>
  <c r="C13" i="12"/>
  <c r="D22" i="43"/>
  <c r="D109" i="43"/>
  <c r="H106" i="43"/>
  <c r="J102" i="43"/>
  <c r="F106" i="43"/>
  <c r="D105" i="43"/>
  <c r="H104" i="43"/>
  <c r="J104" i="43"/>
  <c r="F109" i="43"/>
  <c r="D102" i="43"/>
  <c r="D104" i="43"/>
  <c r="H107" i="43"/>
  <c r="H102" i="43"/>
  <c r="J106" i="43"/>
  <c r="J105" i="43"/>
  <c r="J109" i="43"/>
  <c r="F103" i="43"/>
  <c r="F107" i="43"/>
  <c r="F105" i="43"/>
  <c r="D106" i="43"/>
  <c r="D107" i="43"/>
  <c r="H105" i="43"/>
  <c r="H109" i="43"/>
  <c r="E31" i="6"/>
  <c r="K20" i="6"/>
  <c r="K22" i="6"/>
  <c r="K23" i="6"/>
  <c r="K24" i="6"/>
  <c r="K26" i="6"/>
  <c r="K19" i="6"/>
  <c r="S6" i="1" s="1"/>
  <c r="K25" i="6"/>
  <c r="K21" i="6"/>
  <c r="E6" i="3"/>
  <c r="AB10" i="39"/>
  <c r="C19" i="15"/>
  <c r="C20" i="15" s="1"/>
  <c r="C26" i="15" s="1"/>
  <c r="AC10" i="40"/>
  <c r="U10" i="40"/>
  <c r="C20" i="11"/>
  <c r="C28" i="11" s="1"/>
  <c r="C27" i="11" s="1"/>
  <c r="D17" i="12"/>
  <c r="C17" i="12" s="1"/>
  <c r="D10" i="11"/>
  <c r="C10" i="11" s="1"/>
  <c r="D20" i="12"/>
  <c r="C20" i="12" s="1"/>
  <c r="C18" i="12" s="1"/>
  <c r="D10" i="68"/>
  <c r="D10" i="69"/>
  <c r="D26" i="6"/>
  <c r="D8" i="6"/>
  <c r="D14" i="6"/>
  <c r="D6" i="6"/>
  <c r="D10" i="6"/>
  <c r="D29" i="6"/>
  <c r="D19" i="6"/>
  <c r="C18" i="4"/>
  <c r="D23" i="6"/>
  <c r="D9" i="6"/>
  <c r="L19" i="9"/>
  <c r="E61" i="40"/>
  <c r="D13" i="6"/>
  <c r="D12" i="6"/>
  <c r="D20" i="6"/>
  <c r="D21" i="6"/>
  <c r="D15" i="6"/>
  <c r="M19" i="9"/>
  <c r="C118" i="9" s="1"/>
  <c r="C14" i="74" s="1"/>
  <c r="B2" i="74" s="1"/>
  <c r="D28" i="6"/>
  <c r="D30" i="6" s="1"/>
  <c r="D11" i="6"/>
  <c r="D5" i="6"/>
  <c r="D24" i="6"/>
  <c r="D22" i="6"/>
  <c r="D25" i="6"/>
  <c r="C7" i="74"/>
  <c r="C8" i="74"/>
  <c r="C15" i="12"/>
  <c r="C12" i="12"/>
  <c r="C115" i="43"/>
  <c r="D113" i="43" s="1"/>
  <c r="C23" i="43"/>
  <c r="C21" i="43" s="1"/>
  <c r="C29" i="43" s="1"/>
  <c r="E29" i="43" s="1"/>
  <c r="S7" i="43"/>
  <c r="T7" i="43" s="1"/>
  <c r="V7" i="43" s="1"/>
  <c r="S5" i="43"/>
  <c r="T5" i="43" s="1"/>
  <c r="V5" i="43" s="1"/>
  <c r="S3" i="43"/>
  <c r="T3" i="43" s="1"/>
  <c r="V3" i="43" s="1"/>
  <c r="S4" i="43"/>
  <c r="T4" i="43" s="1"/>
  <c r="V4" i="43" s="1"/>
  <c r="S2" i="43"/>
  <c r="T2" i="43" s="1"/>
  <c r="V2" i="43" s="1"/>
  <c r="C26" i="43" s="1"/>
  <c r="S6" i="43"/>
  <c r="T6" i="43" s="1"/>
  <c r="V6" i="43" s="1"/>
  <c r="S10" i="40"/>
  <c r="C30" i="43"/>
  <c r="E30" i="43" s="1"/>
  <c r="W7" i="39"/>
  <c r="AC7" i="39"/>
  <c r="V47" i="39" s="1"/>
  <c r="I47" i="39" s="1"/>
  <c r="S7" i="39"/>
  <c r="AA7" i="39"/>
  <c r="R47" i="39" s="1"/>
  <c r="F58" i="21"/>
  <c r="S7" i="33"/>
  <c r="AA7" i="33"/>
  <c r="R48" i="33" s="1"/>
  <c r="AB7" i="36"/>
  <c r="T36" i="36" s="1"/>
  <c r="G36" i="36" s="1"/>
  <c r="U7" i="36"/>
  <c r="R37" i="36"/>
  <c r="E36" i="36"/>
  <c r="F63" i="40"/>
  <c r="E65" i="40"/>
  <c r="W7" i="33"/>
  <c r="AC7" i="33"/>
  <c r="V48" i="33" s="1"/>
  <c r="I48" i="33" s="1"/>
  <c r="G36" i="43"/>
  <c r="I36" i="43" s="1"/>
  <c r="U7" i="39"/>
  <c r="AB7" i="39"/>
  <c r="T47" i="39" s="1"/>
  <c r="G47" i="39" s="1"/>
  <c r="I53" i="34"/>
  <c r="J53" i="34" s="1"/>
  <c r="AA7" i="37"/>
  <c r="R42" i="37" s="1"/>
  <c r="S7" i="37"/>
  <c r="I40" i="36"/>
  <c r="J40" i="36" s="1"/>
  <c r="AA7" i="34"/>
  <c r="R49" i="34" s="1"/>
  <c r="S7" i="34"/>
  <c r="G54" i="34"/>
  <c r="H54" i="34" s="1"/>
  <c r="G53" i="34"/>
  <c r="H53" i="34" s="1"/>
  <c r="AB7" i="37"/>
  <c r="T42" i="37" s="1"/>
  <c r="G42" i="37" s="1"/>
  <c r="U7" i="37"/>
  <c r="I46" i="37"/>
  <c r="J46" i="37" s="1"/>
  <c r="G48" i="35"/>
  <c r="U7" i="33"/>
  <c r="AB7" i="33"/>
  <c r="T48" i="33" s="1"/>
  <c r="G48" i="33" s="1"/>
  <c r="G33" i="43"/>
  <c r="I33" i="43" s="1"/>
  <c r="G34" i="43"/>
  <c r="I34" i="4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12" l="1"/>
  <c r="C16" i="12" s="1"/>
  <c r="C21" i="12" s="1"/>
  <c r="C22" i="12" s="1"/>
  <c r="C30" i="12" s="1"/>
  <c r="C28" i="12" s="1"/>
  <c r="Q52" i="67"/>
  <c r="F1" i="67"/>
  <c r="C36" i="11"/>
  <c r="C34" i="11"/>
  <c r="L56" i="15"/>
  <c r="Q52" i="15"/>
  <c r="F1" i="15"/>
  <c r="C36" i="68"/>
  <c r="C34" i="68"/>
  <c r="M25" i="6"/>
  <c r="I25" i="6" s="1"/>
  <c r="S12" i="1"/>
  <c r="M26" i="6"/>
  <c r="I26" i="6" s="1"/>
  <c r="S13" i="1"/>
  <c r="M23" i="6"/>
  <c r="I23" i="6" s="1"/>
  <c r="S10" i="1"/>
  <c r="M20" i="6"/>
  <c r="I20" i="6" s="1"/>
  <c r="S7" i="1"/>
  <c r="S16" i="1" s="1"/>
  <c r="M21" i="6"/>
  <c r="I21" i="6" s="1"/>
  <c r="S8" i="1"/>
  <c r="AQ6" i="1"/>
  <c r="AR6" i="1"/>
  <c r="T6" i="1"/>
  <c r="M24" i="6"/>
  <c r="I24" i="6" s="1"/>
  <c r="S11" i="1"/>
  <c r="M22" i="6"/>
  <c r="I22" i="6" s="1"/>
  <c r="S22" i="6" s="1"/>
  <c r="S9" i="1"/>
  <c r="H22" i="6"/>
  <c r="M19" i="6"/>
  <c r="K27" i="6"/>
  <c r="D16" i="6"/>
  <c r="R22" i="6"/>
  <c r="R9" i="1" s="1"/>
  <c r="A7" i="51"/>
  <c r="B7" i="72" s="1"/>
  <c r="A10" i="51"/>
  <c r="B9" i="72" s="1"/>
  <c r="C4" i="52"/>
  <c r="B45" i="72" s="1"/>
  <c r="C10" i="68"/>
  <c r="D19" i="68"/>
  <c r="D8" i="74"/>
  <c r="D7" i="74"/>
  <c r="D27" i="6"/>
  <c r="D31" i="6" s="1"/>
  <c r="C10" i="69"/>
  <c r="C8" i="69" s="1"/>
  <c r="C5" i="69" s="1"/>
  <c r="C23" i="69" s="1"/>
  <c r="D19" i="69"/>
  <c r="C27" i="43"/>
  <c r="G52" i="39"/>
  <c r="H52" i="39" s="1"/>
  <c r="G51" i="39"/>
  <c r="H51" i="39" s="1"/>
  <c r="I52" i="33"/>
  <c r="J52" i="33" s="1"/>
  <c r="I53" i="33"/>
  <c r="J53" i="33" s="1"/>
  <c r="E40" i="36"/>
  <c r="F40" i="36" s="1"/>
  <c r="E41" i="36"/>
  <c r="F41" i="36" s="1"/>
  <c r="R49" i="33"/>
  <c r="E48" i="33"/>
  <c r="R48" i="39"/>
  <c r="E47" i="39"/>
  <c r="I52" i="39" s="1"/>
  <c r="J52" i="39" s="1"/>
  <c r="I51" i="39"/>
  <c r="J51" i="39" s="1"/>
  <c r="G52" i="33"/>
  <c r="H52" i="33" s="1"/>
  <c r="G53" i="33"/>
  <c r="H53" i="33" s="1"/>
  <c r="H48" i="35"/>
  <c r="G46" i="37"/>
  <c r="H46" i="37" s="1"/>
  <c r="G47" i="37"/>
  <c r="H47" i="37" s="1"/>
  <c r="R50" i="34"/>
  <c r="E49" i="34"/>
  <c r="I41" i="36"/>
  <c r="J41" i="36" s="1"/>
  <c r="R43" i="37"/>
  <c r="E42" i="37"/>
  <c r="G63" i="40"/>
  <c r="F65" i="40"/>
  <c r="C37" i="36"/>
  <c r="B2" i="36" s="1"/>
  <c r="B3" i="36" s="1"/>
  <c r="C36" i="36"/>
  <c r="G40" i="36"/>
  <c r="H40" i="36" s="1"/>
  <c r="G41" i="36"/>
  <c r="H41" i="36" s="1"/>
  <c r="G58" i="21"/>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E6" i="76"/>
  <c r="C38" i="11" l="1"/>
  <c r="C35" i="11"/>
  <c r="C35" i="68"/>
  <c r="C38" i="68"/>
  <c r="S24" i="6"/>
  <c r="H24" i="6"/>
  <c r="R24" i="6" s="1"/>
  <c r="R11" i="1" s="1"/>
  <c r="S21" i="6"/>
  <c r="H21" i="6"/>
  <c r="R21" i="6" s="1"/>
  <c r="R8" i="1" s="1"/>
  <c r="AQ7" i="1"/>
  <c r="T7" i="1"/>
  <c r="AR7" i="1"/>
  <c r="AQ10" i="1"/>
  <c r="AR10" i="1"/>
  <c r="T10" i="1"/>
  <c r="AR13" i="1"/>
  <c r="T13" i="1"/>
  <c r="AQ13" i="1"/>
  <c r="AR12" i="1"/>
  <c r="AQ12" i="1"/>
  <c r="T12" i="1"/>
  <c r="AR9" i="1"/>
  <c r="AQ9" i="1"/>
  <c r="T9" i="1"/>
  <c r="AQ11" i="1"/>
  <c r="T11" i="1"/>
  <c r="AR11" i="1"/>
  <c r="AR8" i="1"/>
  <c r="AQ8" i="1"/>
  <c r="T8" i="1"/>
  <c r="S20" i="6"/>
  <c r="H20" i="6"/>
  <c r="R20" i="6" s="1"/>
  <c r="R7" i="1" s="1"/>
  <c r="S23" i="6"/>
  <c r="H23" i="6"/>
  <c r="R23" i="6" s="1"/>
  <c r="R10" i="1" s="1"/>
  <c r="S26" i="6"/>
  <c r="H26" i="6"/>
  <c r="R26" i="6" s="1"/>
  <c r="R13" i="1" s="1"/>
  <c r="S25" i="6"/>
  <c r="H25" i="6"/>
  <c r="R25" i="6" s="1"/>
  <c r="R12" i="1" s="1"/>
  <c r="I19" i="6"/>
  <c r="M27" i="6"/>
  <c r="C27" i="12"/>
  <c r="C25" i="12" s="1"/>
  <c r="C32" i="12" s="1"/>
  <c r="B2" i="12" s="1"/>
  <c r="I5" i="6"/>
  <c r="I6" i="6"/>
  <c r="C19" i="69"/>
  <c r="C24" i="69" s="1"/>
  <c r="D37" i="69"/>
  <c r="C37" i="69" s="1"/>
  <c r="C33" i="69" s="1"/>
  <c r="C19" i="68"/>
  <c r="D37" i="68"/>
  <c r="C37" i="68" s="1"/>
  <c r="E2" i="76"/>
  <c r="E47" i="37"/>
  <c r="F47" i="37" s="1"/>
  <c r="E46" i="37"/>
  <c r="F46" i="37" s="1"/>
  <c r="I47" i="37"/>
  <c r="J47" i="37" s="1"/>
  <c r="C49" i="34"/>
  <c r="C50" i="34"/>
  <c r="B2" i="34" s="1"/>
  <c r="B3" i="34" s="1"/>
  <c r="I48" i="35"/>
  <c r="J48" i="35" s="1"/>
  <c r="K48" i="35" s="1"/>
  <c r="L48" i="35" s="1"/>
  <c r="M48" i="35" s="1"/>
  <c r="N48" i="35" s="1"/>
  <c r="O48" i="35" s="1"/>
  <c r="J7" i="35"/>
  <c r="C47" i="39"/>
  <c r="C48" i="39"/>
  <c r="C48" i="33"/>
  <c r="C49" i="33"/>
  <c r="B2" i="33" s="1"/>
  <c r="B3" i="33" s="1"/>
  <c r="H58" i="21"/>
  <c r="G65" i="40"/>
  <c r="H63" i="40"/>
  <c r="C43" i="37"/>
  <c r="B2" i="37" s="1"/>
  <c r="B3" i="37" s="1"/>
  <c r="C42" i="37"/>
  <c r="E53" i="34"/>
  <c r="F53" i="34" s="1"/>
  <c r="E54" i="34"/>
  <c r="F54" i="34" s="1"/>
  <c r="I54" i="34"/>
  <c r="J54" i="34" s="1"/>
  <c r="F7" i="35"/>
  <c r="E51" i="39"/>
  <c r="F51" i="39" s="1"/>
  <c r="E52" i="39"/>
  <c r="F52" i="39" s="1"/>
  <c r="E53" i="33"/>
  <c r="F53" i="33" s="1"/>
  <c r="E52" i="33"/>
  <c r="F52" i="33" s="1"/>
  <c r="B2" i="76"/>
  <c r="B3" i="43"/>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D19" i="9"/>
  <c r="C33" i="68" l="1"/>
  <c r="C42" i="68" s="1"/>
  <c r="C33" i="11"/>
  <c r="D102" i="9"/>
  <c r="D21" i="9"/>
  <c r="B3" i="12"/>
  <c r="T16" i="1"/>
  <c r="I27" i="6"/>
  <c r="S19" i="6"/>
  <c r="S27" i="6" s="1"/>
  <c r="H19" i="6"/>
  <c r="C20" i="69"/>
  <c r="C28" i="69" s="1"/>
  <c r="C27" i="69" s="1"/>
  <c r="C20" i="68"/>
  <c r="C25" i="68" s="1"/>
  <c r="C24" i="68"/>
  <c r="C39" i="68"/>
  <c r="C39" i="69"/>
  <c r="C43" i="69" s="1"/>
  <c r="C42" i="69"/>
  <c r="B3" i="76"/>
  <c r="S7" i="35"/>
  <c r="AA7" i="35"/>
  <c r="R38" i="35" s="1"/>
  <c r="I63" i="40"/>
  <c r="H65" i="40"/>
  <c r="H7" i="35"/>
  <c r="I58" i="21"/>
  <c r="J58" i="21" s="1"/>
  <c r="K58" i="21" s="1"/>
  <c r="L58" i="21" s="1"/>
  <c r="M58" i="21" s="1"/>
  <c r="N58" i="21" s="1"/>
  <c r="O58" i="21" s="1"/>
  <c r="H7" i="21" s="1"/>
  <c r="J7" i="21"/>
  <c r="F7" i="21"/>
  <c r="B59" i="39"/>
  <c r="F59" i="39" s="1"/>
  <c r="B58" i="39"/>
  <c r="F58" i="39" s="1"/>
  <c r="B60" i="39"/>
  <c r="F60" i="39" s="1"/>
  <c r="B65" i="39"/>
  <c r="F65" i="39" s="1"/>
  <c r="B62" i="39"/>
  <c r="F62" i="39" s="1"/>
  <c r="B63" i="39"/>
  <c r="F63" i="39" s="1"/>
  <c r="B57" i="39"/>
  <c r="F57" i="39" s="1"/>
  <c r="B64" i="39"/>
  <c r="F64" i="39" s="1"/>
  <c r="B56" i="39"/>
  <c r="F56" i="39" s="1"/>
  <c r="B61" i="39"/>
  <c r="F61" i="39" s="1"/>
  <c r="W7" i="35"/>
  <c r="AC7" i="35"/>
  <c r="V38" i="35" s="1"/>
  <c r="I38" i="35"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D20" i="9"/>
  <c r="L51" i="15"/>
  <c r="L51" i="67"/>
  <c r="C39" i="11" l="1"/>
  <c r="C42" i="11"/>
  <c r="D103" i="9"/>
  <c r="F66" i="39"/>
  <c r="B2" i="39" s="1"/>
  <c r="B3" i="39" s="1"/>
  <c r="C41" i="69"/>
  <c r="C22" i="68"/>
  <c r="H27" i="6"/>
  <c r="R19" i="6"/>
  <c r="C25" i="69"/>
  <c r="C22" i="69" s="1"/>
  <c r="C31" i="69" s="1"/>
  <c r="C46" i="69"/>
  <c r="C45" i="69" s="1"/>
  <c r="C28" i="68"/>
  <c r="C27" i="68" s="1"/>
  <c r="C46" i="68"/>
  <c r="C45" i="68" s="1"/>
  <c r="C43" i="68"/>
  <c r="C41" i="68" s="1"/>
  <c r="U7" i="21"/>
  <c r="AB7" i="21"/>
  <c r="T48" i="21" s="1"/>
  <c r="G48" i="21" s="1"/>
  <c r="AC7" i="21"/>
  <c r="V48" i="21" s="1"/>
  <c r="I48" i="21" s="1"/>
  <c r="W7" i="21"/>
  <c r="U7" i="35"/>
  <c r="AB7" i="35"/>
  <c r="T38" i="35" s="1"/>
  <c r="G38" i="35" s="1"/>
  <c r="R39" i="35"/>
  <c r="E38" i="35"/>
  <c r="I42" i="35"/>
  <c r="J42" i="35" s="1"/>
  <c r="I43" i="35"/>
  <c r="J43" i="35" s="1"/>
  <c r="S7" i="21"/>
  <c r="AA7" i="21"/>
  <c r="R48" i="21" s="1"/>
  <c r="J63" i="40"/>
  <c r="I65" i="40"/>
  <c r="C58" i="15"/>
  <c r="C67" i="15" s="1"/>
  <c r="C68" i="15" s="1"/>
  <c r="C71" i="15" s="1"/>
  <c r="J16" i="15"/>
  <c r="J25" i="15" s="1"/>
  <c r="J16" i="67"/>
  <c r="J25" i="67" s="1"/>
  <c r="C80" i="67"/>
  <c r="C79" i="67" s="1"/>
  <c r="C80" i="15"/>
  <c r="C79" i="15" s="1"/>
  <c r="C58" i="67"/>
  <c r="C67" i="67" s="1"/>
  <c r="C68" i="67" s="1"/>
  <c r="Q69" i="15"/>
  <c r="Q68" i="15" s="1"/>
  <c r="C40" i="15"/>
  <c r="Q69" i="67"/>
  <c r="Q68" i="67" s="1"/>
  <c r="C40" i="67"/>
  <c r="C46" i="11" l="1"/>
  <c r="C45" i="11" s="1"/>
  <c r="C43" i="11"/>
  <c r="C41" i="11" s="1"/>
  <c r="C31" i="68"/>
  <c r="C49" i="68"/>
  <c r="C51" i="68" s="1"/>
  <c r="C49" i="69"/>
  <c r="C51" i="69" s="1"/>
  <c r="C52" i="69" s="1"/>
  <c r="B2" i="69" s="1"/>
  <c r="B3" i="69" s="1"/>
  <c r="R27" i="6"/>
  <c r="R6" i="1"/>
  <c r="R16" i="1" s="1"/>
  <c r="R49" i="21"/>
  <c r="E48" i="21"/>
  <c r="E43" i="35"/>
  <c r="F43" i="35" s="1"/>
  <c r="E42" i="35"/>
  <c r="F42" i="35" s="1"/>
  <c r="I52" i="21"/>
  <c r="J52" i="21" s="1"/>
  <c r="I53" i="21"/>
  <c r="J53" i="21" s="1"/>
  <c r="J65" i="40"/>
  <c r="K63" i="40"/>
  <c r="C39" i="35"/>
  <c r="B2" i="35" s="1"/>
  <c r="B3" i="35" s="1"/>
  <c r="C38" i="35"/>
  <c r="G42" i="35"/>
  <c r="H42" i="35" s="1"/>
  <c r="G43" i="35"/>
  <c r="H43" i="35" s="1"/>
  <c r="G52" i="21"/>
  <c r="H52" i="21" s="1"/>
  <c r="G53" i="21"/>
  <c r="H53" i="21"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9" i="11" l="1"/>
  <c r="C51" i="11" s="1"/>
  <c r="C52" i="11" s="1"/>
  <c r="B2" i="11" s="1"/>
  <c r="B3" i="11" s="1"/>
  <c r="C52" i="68"/>
  <c r="B2" i="68" s="1"/>
  <c r="C57" i="69"/>
  <c r="C56" i="69" s="1"/>
  <c r="K65" i="40"/>
  <c r="L63" i="40"/>
  <c r="E52" i="21"/>
  <c r="F52" i="21" s="1"/>
  <c r="E53" i="21"/>
  <c r="F53" i="21" s="1"/>
  <c r="C49" i="21"/>
  <c r="B2" i="21" s="1"/>
  <c r="B3" i="21" s="1"/>
  <c r="C48" i="21"/>
  <c r="Q66" i="15"/>
  <c r="Q75" i="15" s="1"/>
  <c r="Q57" i="15"/>
  <c r="Q62" i="15" s="1"/>
  <c r="Q66" i="67"/>
  <c r="Q75" i="67" s="1"/>
  <c r="Q57" i="67"/>
  <c r="Q62" i="67" s="1"/>
  <c r="B2" i="67"/>
  <c r="B3" i="67"/>
  <c r="C19" i="9"/>
  <c r="C56" i="11" l="1"/>
  <c r="C57" i="11" s="1"/>
  <c r="D22" i="9"/>
  <c r="C102" i="9"/>
  <c r="G19" i="9"/>
  <c r="C21" i="9"/>
  <c r="B3" i="68"/>
  <c r="C57" i="68"/>
  <c r="C56" i="68" s="1"/>
  <c r="L65" i="40"/>
  <c r="M63" i="40"/>
  <c r="D35" i="9"/>
  <c r="C20" i="9"/>
  <c r="D34" i="9"/>
  <c r="G21" i="9" l="1"/>
  <c r="J20" i="9"/>
  <c r="G20" i="9"/>
  <c r="C32" i="9" s="1"/>
  <c r="C103" i="9"/>
  <c r="M65" i="40"/>
  <c r="N63" i="40"/>
  <c r="C35" i="9" l="1"/>
  <c r="C34" i="9" s="1"/>
  <c r="N65" i="40"/>
  <c r="O63" i="40"/>
  <c r="O65" i="40" s="1"/>
  <c r="J7" i="40" l="1"/>
  <c r="F7" i="40"/>
  <c r="H7" i="40"/>
  <c r="U7" i="40" l="1"/>
  <c r="AB7" i="40"/>
  <c r="T42" i="40" s="1"/>
  <c r="G42" i="40" s="1"/>
  <c r="AC7" i="40"/>
  <c r="V42" i="40" s="1"/>
  <c r="I42" i="40" s="1"/>
  <c r="W7" i="40"/>
  <c r="AA7" i="40"/>
  <c r="R42" i="40" s="1"/>
  <c r="S7" i="40"/>
  <c r="R43" i="40" l="1"/>
  <c r="E42" i="40"/>
  <c r="I46" i="40"/>
  <c r="J46" i="40" s="1"/>
  <c r="I47" i="40"/>
  <c r="J47" i="40" s="1"/>
  <c r="G47" i="40"/>
  <c r="H47" i="40" s="1"/>
  <c r="G46" i="40"/>
  <c r="H46" i="40" s="1"/>
  <c r="C42" i="40" l="1"/>
  <c r="C43" i="40"/>
  <c r="E47" i="40"/>
  <c r="F47" i="40" s="1"/>
  <c r="E46" i="40"/>
  <c r="F46" i="40" s="1"/>
  <c r="B56" i="40" l="1"/>
  <c r="F56" i="40" s="1"/>
  <c r="B60" i="40"/>
  <c r="F60" i="40" s="1"/>
  <c r="B57" i="40"/>
  <c r="F57" i="40" s="1"/>
  <c r="B51" i="40"/>
  <c r="F51" i="40" s="1"/>
  <c r="F61" i="40"/>
  <c r="B2" i="40" s="1"/>
  <c r="B3" i="40" s="1"/>
  <c r="B55" i="40"/>
  <c r="F55" i="40" s="1"/>
  <c r="B58" i="40"/>
  <c r="F58" i="40" s="1"/>
  <c r="B53" i="40"/>
  <c r="F53" i="40" s="1"/>
  <c r="B59" i="40"/>
  <c r="F59" i="40" s="1"/>
  <c r="B52" i="40"/>
  <c r="F52" i="40" s="1"/>
  <c r="B54" i="40"/>
  <c r="F54" i="40" s="1"/>
  <c r="D118" i="9" l="1"/>
  <c r="F118" i="9"/>
  <c r="F4" i="52" s="1"/>
  <c r="B51" i="72" s="1"/>
  <c r="H118" i="9"/>
  <c r="C104" i="9" s="1"/>
  <c r="D4" i="52" l="1"/>
  <c r="B47" i="72" s="1"/>
  <c r="K118" i="9"/>
  <c r="H101" i="9"/>
  <c r="D5" i="53" s="1"/>
  <c r="D6" i="53" s="1"/>
  <c r="B22" i="72" s="1"/>
  <c r="I118" i="9"/>
  <c r="I4" i="52" s="1"/>
  <c r="B20" i="72"/>
  <c r="F119" i="9"/>
  <c r="F5" i="52" s="1"/>
  <c r="B53" i="72" s="1"/>
  <c r="G118" i="9"/>
  <c r="G4" i="52" s="1"/>
  <c r="B52" i="72" s="1"/>
  <c r="D119" i="9"/>
  <c r="D5" i="52" s="1"/>
  <c r="B49" i="72" s="1"/>
  <c r="H119" i="9"/>
  <c r="H5" i="52" s="1"/>
  <c r="H4" i="52"/>
  <c r="D14" i="74"/>
  <c r="M48" i="9" l="1"/>
  <c r="H102" i="9"/>
  <c r="D7" i="53" s="1"/>
  <c r="B21" i="72" s="1"/>
  <c r="C105" i="9"/>
  <c r="D45" i="9"/>
  <c r="C72" i="9" s="1"/>
  <c r="H107" i="9"/>
  <c r="H108" i="9" s="1"/>
  <c r="D15" i="53" s="1"/>
  <c r="B31" i="72" s="1"/>
  <c r="F14" i="74"/>
  <c r="E14" i="74"/>
  <c r="B5" i="74"/>
  <c r="E118" i="9"/>
  <c r="E4" i="52" s="1"/>
  <c r="B48" i="72" s="1"/>
  <c r="D53" i="9"/>
  <c r="D13" i="53"/>
  <c r="D52" i="9" l="1"/>
  <c r="C78" i="9"/>
  <c r="C73" i="9" s="1"/>
  <c r="C93" i="9"/>
  <c r="C86" i="9" s="1"/>
  <c r="D122" i="9"/>
  <c r="D8" i="52" s="1"/>
  <c r="C85" i="9"/>
  <c r="D55" i="9"/>
  <c r="M53" i="9" s="1"/>
  <c r="C64" i="9"/>
  <c r="C63" i="9" s="1"/>
  <c r="C67" i="9" s="1"/>
  <c r="D59" i="9" s="1"/>
  <c r="M55" i="9" s="1"/>
  <c r="M49" i="9"/>
  <c r="L64" i="9" s="1"/>
  <c r="M64" i="9" s="1"/>
  <c r="C95" i="9"/>
  <c r="C96" i="9" s="1"/>
  <c r="E96" i="9" s="1"/>
  <c r="E97" i="9" s="1"/>
  <c r="C79" i="9"/>
  <c r="D14" i="53"/>
  <c r="B32" i="72" s="1"/>
  <c r="B30" i="72"/>
  <c r="D123" i="9"/>
  <c r="D9" i="52" s="1"/>
  <c r="L68" i="9"/>
  <c r="M68" i="9" s="1"/>
  <c r="L66" i="9"/>
  <c r="M66" i="9" s="1"/>
  <c r="L67" i="9"/>
  <c r="M67" i="9" s="1"/>
  <c r="D5" i="74"/>
  <c r="C5" i="74"/>
  <c r="L63" i="9" l="1"/>
  <c r="M63" i="9" s="1"/>
  <c r="L65" i="9"/>
  <c r="M65" i="9" s="1"/>
  <c r="G14" i="74"/>
  <c r="B6" i="74" s="1"/>
  <c r="D6" i="74" s="1"/>
  <c r="C68" i="9"/>
  <c r="D54" i="9" s="1"/>
  <c r="M69" i="9"/>
  <c r="N69" i="9" s="1"/>
  <c r="C97" i="9"/>
  <c r="D58" i="9" s="1"/>
  <c r="D56" i="9" s="1"/>
  <c r="M54" i="9" s="1"/>
  <c r="N57" i="9" s="1"/>
  <c r="P57" i="9" s="1"/>
  <c r="C80" i="9"/>
  <c r="E80" i="9" s="1"/>
  <c r="E81" i="9" s="1"/>
  <c r="C6" i="74" l="1"/>
  <c r="N58" i="9"/>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<sst xmlns="http://schemas.openxmlformats.org/spreadsheetml/2006/main" count="10556" uniqueCount="4003">
  <si>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</si>
  <si>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</si>
  <si>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</si>
  <si>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</si>
  <si>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</si>
  <si>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</si>
  <si>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</si>
  <si>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</si>
  <si>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</si>
  <si>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</si>
  <si>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</si>
  <si>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</si>
  <si>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</si>
  <si>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</si>
  <si>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</si>
  <si>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</si>
  <si>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</si>
  <si>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</si>
  <si>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</si>
  <si>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</si>
  <si>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</si>
  <si>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</si>
  <si>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</si>
  <si>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</si>
  <si>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</si>
  <si>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</si>
  <si>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</si>
  <si>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</si>
  <si>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</si>
  <si>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</si>
  <si>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</si>
  <si>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</si>
  <si>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</si>
  <si>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</si>
  <si>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</si>
  <si>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</si>
  <si>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</si>
  <si>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</si>
  <si>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</si>
  <si>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</si>
  <si>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</si>
  <si>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</si>
  <si>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</si>
  <si>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</si>
  <si>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</si>
  <si>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</si>
  <si>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</si>
  <si>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</si>
  <si>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</si>
  <si>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</si>
  <si>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</si>
  <si>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</si>
  <si>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</si>
  <si>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</si>
  <si>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</si>
  <si>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</si>
  <si>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</si>
  <si>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</si>
  <si>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</si>
  <si>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</si>
  <si>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</si>
  <si>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</si>
  <si>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</si>
  <si>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</si>
  <si>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</si>
  <si>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</si>
  <si>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</si>
  <si>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</si>
  <si>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</si>
  <si>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</si>
  <si>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</si>
  <si>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</si>
  <si>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</si>
  <si>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</si>
  <si>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</si>
  <si>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</si>
  <si>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</si>
  <si>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</si>
  <si>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</si>
  <si>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</si>
  <si>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</si>
  <si>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</si>
  <si>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</si>
  <si>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</si>
  <si>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</si>
  <si>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</si>
  <si>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</si>
  <si>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</si>
  <si>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</si>
  <si>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</si>
  <si>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</si>
  <si>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</si>
  <si>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</si>
  <si>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</si>
  <si>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</si>
  <si>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</si>
  <si>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</si>
  <si>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</si>
  <si>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</si>
  <si>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</si>
  <si>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</si>
  <si>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</si>
  <si>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</si>
  <si>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</si>
  <si>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</si>
  <si>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</si>
  <si>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</si>
  <si>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</si>
  <si>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</si>
  <si>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</si>
  <si>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</si>
  <si>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</si>
  <si>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</si>
  <si>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</si>
  <si>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</si>
  <si>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</si>
  <si>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</si>
  <si>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</si>
  <si>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</si>
  <si>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</si>
  <si>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</si>
  <si>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</si>
  <si>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</si>
  <si>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</si>
  <si>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</si>
  <si>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</si>
  <si>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</si>
  <si>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</si>
  <si>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</si>
  <si>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</si>
  <si>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</si>
  <si>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</si>
  <si>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</si>
  <si>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</si>
  <si>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</si>
  <si>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</si>
  <si>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</si>
  <si>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</si>
  <si>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</si>
  <si>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</si>
  <si>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</si>
  <si>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</si>
  <si>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</si>
  <si>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</si>
  <si>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</si>
  <si>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</si>
  <si>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</si>
  <si>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</si>
  <si>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</si>
  <si>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</si>
  <si>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</si>
  <si>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</si>
  <si>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</si>
  <si>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</si>
  <si>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</si>
  <si>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</si>
  <si>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</si>
  <si>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</si>
  <si>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</si>
  <si>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</si>
  <si>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</si>
  <si>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</si>
  <si>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</si>
  <si>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</si>
  <si>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</si>
  <si>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</si>
  <si>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</si>
  <si>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</si>
  <si>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</si>
  <si>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</si>
  <si>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</si>
  <si>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</si>
  <si>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</si>
  <si>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</si>
  <si>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</si>
  <si>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</si>
  <si>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</si>
  <si>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</si>
  <si>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</si>
  <si>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</si>
  <si>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</si>
  <si>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</si>
  <si>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</si>
  <si>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</si>
  <si>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</si>
  <si>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</si>
  <si>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</si>
  <si>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</si>
  <si>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</si>
  <si>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</si>
  <si>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</si>
  <si>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</si>
  <si>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</si>
  <si>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</si>
  <si>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</si>
  <si>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</si>
  <si>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</si>
  <si>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</si>
  <si>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</si>
  <si>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</si>
  <si>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</si>
  <si>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</si>
  <si>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</si>
  <si>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</si>
  <si>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</si>
  <si>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</si>
  <si>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</si>
  <si>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</si>
  <si>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</si>
  <si>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</si>
  <si>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</si>
  <si>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</si>
  <si>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</si>
  <si>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</si>
  <si>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</si>
  <si>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</si>
  <si>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</si>
  <si>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</si>
  <si>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</si>
  <si>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</si>
  <si>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</si>
  <si>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</si>
  <si>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</si>
  <si>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</si>
  <si>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</si>
  <si>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</si>
  <si>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</si>
  <si>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</si>
  <si>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</si>
  <si>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</si>
  <si>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</si>
  <si>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</si>
  <si>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</si>
  <si>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</si>
  <si>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</si>
  <si>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</si>
  <si>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</si>
  <si>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</si>
  <si>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</si>
  <si>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</si>
  <si>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</si>
  <si>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</si>
  <si>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</si>
  <si>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</si>
  <si>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</si>
  <si>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</si>
  <si>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</si>
  <si>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</si>
  <si>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</si>
  <si>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</si>
  <si>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</si>
  <si>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</si>
  <si>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</si>
  <si>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</si>
  <si>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</si>
  <si>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</si>
  <si>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</si>
  <si>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</si>
  <si>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</si>
  <si>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</si>
  <si>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</si>
  <si>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</si>
  <si>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</si>
  <si>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</si>
  <si>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</si>
  <si>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</si>
  <si>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</si>
  <si>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</si>
  <si>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</si>
  <si>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</si>
  <si>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</si>
  <si>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</si>
  <si>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</si>
  <si>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</si>
  <si>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</si>
  <si>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</si>
  <si>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</si>
  <si>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</si>
  <si>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</si>
  <si>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</si>
  <si>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</si>
  <si>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</si>
  <si>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</si>
  <si>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</si>
  <si>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</si>
  <si>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</si>
  <si>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</si>
  <si>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</si>
  <si>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</si>
  <si>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</si>
  <si>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</si>
  <si>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</si>
  <si>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</si>
  <si>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</si>
  <si>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</si>
  <si>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</si>
  <si>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</si>
  <si>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</si>
  <si>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</si>
  <si>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</si>
  <si>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</si>
  <si>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</si>
  <si>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</si>
  <si>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</si>
  <si>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</si>
  <si>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</si>
  <si>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</si>
  <si>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</si>
  <si>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</si>
  <si>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</si>
  <si>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</si>
  <si>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</si>
  <si>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</si>
  <si>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</si>
  <si>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</si>
  <si>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</si>
  <si>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</si>
  <si>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</si>
  <si>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</si>
  <si>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</si>
  <si>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</si>
  <si>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</si>
  <si>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</si>
  <si>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</si>
  <si>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</si>
  <si>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</si>
  <si>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</si>
  <si>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</si>
  <si>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</si>
  <si>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</si>
  <si>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</si>
  <si>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</si>
  <si>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</si>
  <si>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</si>
  <si>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</si>
  <si>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</si>
  <si>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</si>
  <si>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</si>
  <si>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</si>
  <si>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</si>
  <si>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</si>
  <si>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</si>
  <si>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</si>
  <si>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</si>
  <si>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</si>
  <si>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</si>
  <si>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</si>
  <si>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</si>
  <si>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</si>
  <si>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</si>
  <si>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</si>
  <si>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</si>
  <si>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</si>
  <si>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</si>
  <si>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</si>
  <si>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</si>
  <si>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</si>
  <si>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</si>
  <si>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</si>
  <si>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</si>
  <si>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</si>
  <si>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</si>
  <si>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</si>
  <si>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</si>
  <si>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</si>
  <si>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</si>
  <si>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</si>
  <si>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</si>
  <si>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</si>
  <si>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</si>
  <si>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</si>
  <si>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</si>
  <si>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</si>
  <si>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</si>
  <si>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</si>
  <si>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</si>
  <si>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</si>
  <si>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</si>
  <si>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</si>
  <si>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</si>
  <si>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</si>
  <si>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</si>
  <si>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</si>
  <si>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</si>
  <si>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</si>
  <si>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</si>
  <si>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</si>
  <si>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</si>
  <si>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</si>
  <si>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</si>
  <si>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</si>
  <si>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</si>
  <si>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</si>
  <si>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</si>
  <si>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</si>
  <si>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</si>
  <si>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</si>
  <si>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</si>
  <si>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</si>
  <si>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</si>
  <si>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</si>
  <si>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</si>
  <si>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</si>
  <si>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</si>
  <si>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</si>
  <si>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</si>
  <si>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</si>
  <si>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</si>
  <si>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</si>
  <si>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</si>
  <si>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</si>
  <si>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</si>
  <si>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</si>
  <si>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</si>
  <si>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</si>
  <si>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</si>
  <si>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</si>
  <si>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</si>
  <si>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</si>
  <si>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</si>
  <si>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</si>
  <si>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</si>
  <si>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</si>
  <si>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</si>
  <si>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</si>
  <si>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</si>
  <si>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</si>
  <si>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</si>
  <si>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</si>
  <si>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</si>
  <si>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</si>
  <si>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</si>
  <si>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</si>
  <si>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</si>
  <si>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</si>
  <si>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</si>
  <si>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</si>
  <si>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</si>
  <si>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</si>
  <si>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</si>
  <si>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</si>
  <si>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</si>
  <si>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</si>
  <si>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</si>
  <si>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</si>
  <si>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</si>
  <si>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</si>
  <si>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</si>
  <si>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</si>
  <si>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</si>
  <si>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</si>
  <si>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</si>
  <si>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</si>
  <si>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</si>
  <si>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</si>
  <si>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</si>
  <si>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</si>
  <si>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</si>
  <si>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</si>
  <si>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</si>
  <si>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</si>
  <si>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</si>
  <si>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</si>
  <si>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</si>
  <si>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</si>
  <si>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</si>
  <si>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</si>
  <si>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</si>
  <si>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</si>
  <si>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</si>
  <si>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</si>
  <si>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</si>
  <si>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</si>
  <si>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</si>
  <si>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</si>
  <si>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</si>
  <si>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</si>
  <si>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</si>
  <si>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</si>
  <si>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</si>
  <si>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</si>
  <si>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</si>
  <si>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</si>
  <si>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</si>
  <si>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</si>
  <si>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</si>
  <si>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</si>
  <si>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</si>
  <si>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</si>
  <si>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</si>
  <si>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</si>
  <si>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</si>
  <si>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</si>
  <si>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</si>
  <si>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</si>
  <si>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</si>
  <si>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</si>
  <si>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</si>
  <si>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</si>
  <si>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</si>
  <si>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</si>
  <si>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</si>
  <si>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</si>
  <si>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</si>
  <si>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</si>
  <si>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</si>
  <si>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</si>
  <si>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</si>
  <si>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</si>
  <si>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</si>
  <si>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</si>
  <si>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</si>
  <si>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</si>
  <si>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</si>
  <si>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</si>
  <si>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</si>
  <si>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</si>
  <si>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</si>
  <si>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</si>
  <si>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</si>
  <si>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</si>
  <si>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</si>
  <si>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</si>
  <si>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</si>
  <si>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</si>
  <si>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</si>
  <si>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</si>
  <si>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</si>
  <si>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</si>
  <si>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</si>
  <si>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</si>
  <si>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</si>
  <si>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</si>
  <si>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</si>
  <si>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</si>
  <si>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</si>
  <si>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</si>
  <si>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</si>
  <si>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</si>
  <si>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</si>
  <si>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</si>
  <si>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</si>
  <si>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</si>
  <si>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</si>
  <si>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</si>
  <si>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</si>
  <si>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</si>
  <si>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</si>
  <si>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</si>
  <si>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</si>
  <si>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</si>
  <si>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</si>
  <si>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</si>
  <si>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</si>
  <si>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</si>
  <si>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</si>
  <si>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</si>
  <si>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</si>
  <si>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</si>
  <si>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</si>
  <si>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</si>
  <si>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</si>
  <si>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</si>
  <si>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</si>
  <si>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</si>
  <si>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</si>
  <si>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</si>
  <si>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</si>
  <si>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</si>
  <si>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</si>
  <si>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</si>
  <si>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</si>
  <si>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</si>
  <si>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</si>
  <si>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</si>
  <si>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</si>
  <si>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</si>
  <si>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</si>
  <si>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</si>
  <si>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</si>
  <si>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</si>
  <si>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</si>
  <si>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</si>
  <si>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</si>
  <si>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</si>
  <si>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</si>
  <si>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</si>
  <si>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</si>
  <si>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</si>
  <si>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</si>
  <si>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</si>
  <si>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</si>
  <si>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</si>
  <si>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</si>
  <si>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</si>
  <si>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</si>
  <si>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</si>
  <si>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</si>
  <si>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</si>
  <si>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</si>
  <si>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</si>
  <si>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</si>
  <si>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</si>
  <si>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</si>
  <si>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</si>
  <si>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</si>
  <si>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</si>
  <si>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</si>
  <si>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</si>
  <si>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</si>
  <si>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</si>
  <si>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</si>
  <si>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</si>
  <si>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</si>
  <si>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</si>
  <si>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</si>
  <si>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</si>
  <si>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</si>
  <si>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</si>
  <si>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</si>
  <si>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</si>
  <si>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</si>
  <si>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</si>
  <si>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</si>
  <si>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</si>
  <si>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</si>
  <si>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</si>
  <si>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</si>
  <si>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</si>
  <si>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</si>
  <si>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</si>
  <si>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</si>
  <si>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</si>
  <si>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</si>
  <si>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</si>
  <si>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</si>
  <si>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</si>
  <si>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</si>
  <si>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</si>
  <si>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</si>
  <si>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</si>
  <si>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</si>
  <si>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</si>
  <si>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</si>
  <si>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</si>
  <si>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</si>
  <si>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</si>
  <si>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</si>
  <si>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</si>
  <si>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</si>
  <si>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</si>
  <si>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</si>
  <si>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</si>
  <si>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</si>
  <si>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</si>
  <si>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</si>
  <si>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</si>
  <si>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</si>
  <si>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</si>
  <si>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</si>
  <si>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</si>
  <si>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</si>
  <si>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</si>
  <si>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</si>
  <si>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</si>
  <si>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</si>
  <si>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</si>
  <si>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</si>
  <si>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</si>
  <si>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</si>
  <si>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</si>
  <si>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</si>
  <si>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</si>
  <si>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</si>
  <si>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</si>
  <si>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</si>
  <si>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</si>
  <si>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</si>
  <si>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</si>
  <si>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</si>
  <si>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</si>
  <si>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</si>
  <si>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</si>
  <si>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</si>
  <si>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</si>
  <si>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</si>
  <si>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</si>
  <si>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</si>
  <si>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</si>
  <si>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</si>
  <si>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</si>
  <si>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</si>
  <si>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</si>
  <si>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</si>
  <si>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</si>
  <si>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</si>
  <si>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</si>
  <si>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</si>
  <si>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</si>
  <si>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</si>
  <si>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</si>
  <si>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</si>
  <si>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</si>
  <si>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</si>
  <si>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</si>
  <si>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</si>
  <si>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</si>
  <si>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</si>
  <si>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</si>
  <si>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</si>
  <si>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</si>
  <si>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</si>
  <si>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</si>
  <si>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</si>
  <si>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</si>
  <si>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</si>
  <si>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</si>
  <si>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</si>
  <si>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</si>
  <si>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</si>
  <si>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</si>
  <si>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</si>
  <si>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</si>
  <si>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</si>
  <si>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</si>
  <si>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</si>
  <si>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</si>
  <si>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</si>
  <si>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</si>
  <si>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</si>
  <si>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</si>
  <si>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</si>
  <si>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</si>
  <si>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</si>
  <si>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</si>
  <si>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</si>
  <si>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</si>
  <si>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</si>
  <si>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</si>
  <si>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</si>
  <si>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</si>
  <si>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</si>
  <si>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</si>
  <si>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</si>
  <si>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</si>
  <si>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</si>
  <si>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</si>
  <si>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</si>
  <si>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</si>
  <si>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</si>
  <si>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</si>
  <si>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</si>
  <si>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</si>
  <si>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</si>
  <si>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</si>
  <si>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</si>
  <si>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</si>
  <si>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</si>
  <si>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</si>
  <si>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</si>
  <si>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</si>
  <si>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</si>
  <si>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</si>
  <si>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</si>
  <si>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</si>
  <si>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</si>
  <si>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</si>
  <si>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</si>
  <si>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</si>
  <si>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</si>
  <si>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</si>
  <si>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</si>
  <si>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</si>
  <si>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</si>
  <si>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</si>
  <si>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</si>
  <si>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</si>
  <si>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</si>
  <si>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</si>
  <si>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</si>
  <si>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</si>
  <si>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</si>
  <si>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</si>
  <si>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</si>
  <si>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</si>
  <si>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</si>
  <si>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</si>
  <si>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</si>
  <si>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</si>
  <si>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</si>
  <si>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</si>
  <si>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</si>
  <si>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</si>
  <si>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</si>
  <si>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</si>
  <si>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</si>
  <si>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</si>
  <si>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</si>
  <si>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</si>
  <si>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</si>
  <si>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</si>
  <si>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</si>
  <si>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</si>
  <si>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</si>
  <si>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</si>
  <si>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</si>
  <si>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</si>
  <si>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</si>
  <si>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</si>
  <si>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</si>
  <si>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</si>
  <si>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</si>
  <si>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</si>
  <si>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</si>
  <si>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</si>
  <si>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</si>
  <si>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</si>
  <si>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</si>
  <si>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</si>
  <si>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</si>
  <si>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</si>
  <si>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</si>
  <si>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</si>
  <si>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</si>
  <si>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</si>
  <si>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</si>
  <si>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</si>
  <si>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</si>
  <si>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</si>
  <si>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</si>
  <si>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</si>
  <si>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</si>
  <si>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</si>
  <si>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</si>
  <si>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</si>
  <si>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</si>
  <si>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</si>
  <si>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</si>
  <si>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</si>
  <si>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</si>
  <si>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</si>
  <si>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</si>
  <si>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</si>
  <si>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</si>
  <si>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</si>
  <si>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</si>
  <si>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</si>
  <si>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</si>
  <si>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</si>
  <si>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</si>
  <si>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</si>
  <si>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</si>
  <si>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</si>
  <si>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</si>
  <si>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</si>
  <si>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</si>
  <si>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</si>
  <si>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</si>
  <si>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</si>
  <si>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</si>
  <si>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</si>
  <si>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</si>
  <si>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</si>
  <si>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</si>
  <si>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</si>
  <si>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</si>
  <si>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</si>
  <si>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</si>
  <si>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</si>
  <si>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</si>
  <si>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</si>
  <si>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</si>
  <si>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</si>
  <si>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</si>
  <si>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</si>
  <si>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</si>
  <si>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</si>
  <si>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</si>
  <si>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</si>
  <si>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</si>
  <si>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</si>
  <si>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</si>
  <si>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</si>
  <si>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</si>
  <si>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</si>
  <si>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</si>
  <si>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</si>
  <si>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</si>
  <si>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</si>
  <si>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</si>
  <si>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</si>
  <si>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</si>
  <si>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</si>
  <si>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</si>
  <si>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</si>
  <si>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</si>
  <si>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</si>
  <si>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</si>
  <si>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</si>
  <si>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</si>
  <si>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</si>
  <si>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</si>
  <si>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</si>
  <si>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</si>
  <si>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</si>
  <si>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</si>
  <si>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</si>
  <si>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</si>
  <si>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</si>
  <si>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</si>
  <si>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</si>
  <si>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</si>
  <si>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</si>
  <si>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</si>
  <si>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</si>
  <si>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</si>
  <si>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</si>
  <si>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</si>
  <si>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</si>
  <si>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</si>
  <si>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</si>
  <si>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</si>
  <si>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</si>
  <si>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</si>
  <si>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</si>
  <si>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</si>
  <si>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</si>
  <si>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</si>
  <si>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</si>
  <si>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</si>
  <si>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</si>
  <si>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</si>
  <si>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</si>
  <si>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</si>
  <si>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</si>
  <si>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</si>
  <si>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</si>
  <si>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</si>
  <si>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</si>
  <si>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</si>
  <si>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</si>
  <si>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</si>
  <si>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</si>
  <si>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</si>
  <si>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</si>
  <si>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</si>
  <si>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</si>
  <si>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</si>
  <si>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</si>
  <si>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</si>
  <si>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</si>
  <si>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</si>
  <si>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</si>
  <si>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</si>
  <si>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</si>
  <si>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</si>
  <si>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</si>
  <si>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</si>
  <si>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</si>
  <si>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</si>
  <si>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</si>
  <si>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</si>
  <si>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</si>
  <si>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</si>
  <si>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</si>
  <si>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</si>
  <si>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</si>
  <si>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</si>
  <si>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</si>
  <si>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</si>
  <si>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</si>
  <si>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</si>
  <si>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</si>
  <si>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</si>
  <si>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</si>
  <si>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</si>
  <si>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</si>
  <si>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</si>
  <si>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</si>
  <si>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</si>
  <si>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</si>
  <si>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</si>
  <si>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</si>
  <si>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</si>
  <si>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</si>
  <si>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</si>
  <si>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</si>
  <si>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</si>
  <si>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</si>
  <si>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</si>
  <si>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</si>
  <si>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</si>
  <si>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</si>
  <si>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</si>
  <si>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</si>
  <si>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</si>
  <si>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</si>
  <si>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</si>
  <si>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</si>
  <si>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</si>
  <si>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</si>
  <si>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</si>
  <si>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</si>
  <si>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</si>
  <si>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</si>
  <si>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</si>
  <si>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</si>
  <si>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</si>
  <si>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</si>
  <si>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</si>
  <si>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</si>
  <si>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</si>
  <si>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</si>
  <si>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</si>
  <si>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</si>
  <si>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</si>
  <si>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</si>
  <si>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</si>
  <si>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</si>
  <si>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</si>
  <si>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</si>
  <si>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</si>
  <si>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</si>
  <si>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</si>
  <si>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</si>
  <si>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</si>
  <si>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</si>
  <si>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</si>
  <si>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</si>
  <si>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</si>
  <si>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</si>
  <si>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</si>
  <si>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</si>
  <si>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</si>
  <si>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</si>
  <si>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</si>
  <si>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</si>
  <si>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</si>
  <si>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</si>
  <si>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</si>
  <si>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</si>
  <si>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</si>
  <si>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</si>
  <si>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</si>
  <si>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</si>
  <si>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</si>
  <si>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</si>
  <si>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</si>
  <si>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</si>
  <si>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</si>
  <si>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</si>
  <si>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</si>
  <si>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</si>
  <si>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</si>
  <si>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</si>
  <si>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</si>
  <si>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</si>
  <si>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</si>
  <si>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</si>
  <si>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</si>
  <si>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</si>
  <si>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</si>
  <si>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</si>
  <si>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</si>
  <si>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</si>
  <si>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</si>
  <si>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</si>
  <si>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</si>
  <si>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</si>
  <si>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</si>
  <si>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</si>
  <si>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</si>
  <si>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</si>
  <si>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</si>
  <si>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</si>
  <si>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</si>
  <si>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</si>
  <si>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</si>
  <si>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</si>
  <si>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</si>
  <si>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</si>
  <si>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</si>
  <si>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</si>
  <si>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</si>
  <si>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</si>
  <si>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</si>
  <si>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</si>
  <si>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</si>
  <si>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</si>
  <si>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</si>
  <si>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</si>
  <si>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</si>
  <si>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</si>
  <si>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</si>
  <si>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</si>
  <si>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</si>
  <si>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</si>
  <si>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</si>
  <si>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</si>
  <si>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</si>
  <si>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</si>
  <si>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</si>
  <si>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</si>
  <si>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</si>
  <si>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</si>
  <si>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</si>
  <si>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</si>
  <si>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</si>
  <si>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</si>
  <si>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</si>
  <si>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</si>
  <si>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</si>
  <si>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</si>
  <si>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</si>
  <si>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</si>
  <si>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</si>
  <si>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</si>
  <si>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</si>
  <si>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</si>
  <si>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</si>
  <si>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</si>
  <si>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</si>
  <si>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</si>
  <si>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</si>
  <si>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</si>
  <si>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</si>
  <si>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</si>
  <si>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</si>
  <si>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</si>
  <si>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</si>
  <si>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</si>
  <si>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</si>
  <si>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</si>
  <si>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</si>
  <si>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</si>
  <si>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</si>
  <si>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</si>
  <si>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</si>
  <si>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</si>
  <si>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</si>
  <si>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</si>
  <si>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</si>
  <si>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</si>
  <si>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</si>
  <si>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</si>
  <si>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</si>
  <si>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</si>
  <si>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</si>
  <si>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</si>
  <si>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</si>
  <si>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</si>
  <si>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</si>
  <si>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</si>
  <si>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</si>
  <si>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</si>
  <si>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</si>
  <si>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</si>
  <si>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</si>
  <si>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</si>
  <si>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</si>
  <si>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</si>
  <si>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</si>
  <si>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</si>
  <si>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</si>
  <si>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</si>
  <si>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</si>
  <si>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</si>
  <si>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</si>
  <si>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</si>
  <si>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</si>
  <si>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</si>
  <si>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</si>
  <si>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</si>
  <si>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</si>
  <si>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</si>
  <si>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</si>
  <si>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</si>
  <si>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</si>
  <si>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</si>
  <si>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</si>
  <si>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</si>
  <si>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</si>
  <si>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</si>
  <si>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</si>
  <si>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</si>
  <si>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</si>
  <si>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</si>
  <si>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</si>
  <si>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</si>
  <si>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</si>
  <si>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</si>
  <si>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</si>
  <si>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</si>
  <si>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</si>
  <si>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</si>
  <si>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</si>
  <si>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</si>
  <si>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</si>
  <si>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</si>
  <si>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</si>
  <si>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</si>
  <si>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</si>
  <si>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</si>
  <si>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</si>
  <si>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</si>
  <si>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</si>
  <si>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</si>
  <si>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</si>
  <si>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</si>
  <si>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</si>
  <si>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</si>
  <si>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</si>
  <si>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</si>
  <si>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</si>
  <si>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</si>
  <si>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</si>
  <si>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</si>
  <si>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</si>
  <si>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</si>
  <si>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</si>
  <si>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</si>
  <si>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</si>
  <si>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</si>
  <si>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</si>
  <si>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</si>
  <si>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</si>
  <si>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</si>
  <si>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</si>
  <si>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</si>
  <si>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</si>
  <si>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</si>
  <si>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</si>
  <si>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</si>
  <si>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</si>
  <si>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</si>
  <si>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</si>
  <si>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</si>
  <si>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</si>
  <si>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</si>
  <si>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</si>
  <si>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</si>
  <si>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</si>
  <si>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</si>
  <si>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</si>
  <si>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</si>
  <si>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</si>
  <si>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</si>
  <si>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</si>
  <si>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</si>
  <si>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</si>
  <si>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</si>
  <si>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</si>
  <si>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</si>
  <si>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</si>
  <si>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</si>
  <si>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</si>
  <si>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</si>
  <si>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</si>
  <si>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</si>
  <si>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</si>
  <si>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</si>
  <si>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</si>
  <si>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</si>
  <si>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</si>
  <si>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</si>
  <si>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</si>
  <si>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</si>
  <si>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</si>
  <si>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</si>
  <si>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</si>
  <si>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</si>
  <si>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</si>
  <si>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</si>
  <si>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</si>
  <si>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</si>
  <si>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</si>
  <si>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</si>
  <si>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</si>
  <si>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</si>
  <si>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</si>
  <si>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</si>
  <si>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</si>
  <si>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</si>
  <si>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</si>
  <si>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</si>
  <si>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</si>
  <si>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</si>
  <si>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</si>
  <si>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</si>
  <si>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</si>
  <si>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</si>
  <si>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</si>
  <si>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</si>
  <si>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</si>
  <si>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</si>
  <si>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</si>
  <si>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</si>
  <si>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</si>
  <si>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</si>
  <si>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</si>
  <si>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</si>
  <si>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</si>
  <si>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</si>
  <si>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</si>
  <si>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</si>
  <si>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</si>
  <si>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</si>
  <si>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</si>
  <si>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</si>
  <si>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</si>
  <si>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</si>
  <si>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</si>
  <si>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</si>
  <si>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</si>
  <si>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</si>
  <si>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</si>
  <si>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</si>
  <si>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</si>
  <si>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</si>
  <si>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</si>
  <si>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</si>
  <si>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</si>
  <si>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</si>
  <si>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</si>
  <si>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</si>
  <si>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</si>
  <si>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</si>
  <si>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</si>
  <si>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</si>
  <si>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</si>
  <si>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</si>
  <si>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</si>
  <si>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</si>
  <si>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</si>
  <si>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</si>
  <si>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</si>
  <si>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</si>
  <si>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</si>
  <si>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</si>
  <si>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</si>
  <si>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</si>
  <si>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</si>
  <si>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</si>
  <si>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</si>
  <si>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</si>
  <si>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</si>
  <si>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</si>
  <si>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</si>
  <si>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</si>
  <si>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</si>
  <si>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</si>
  <si>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</si>
  <si>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</si>
  <si>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</si>
  <si>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</si>
  <si>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</si>
  <si>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</si>
  <si>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</si>
  <si>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</si>
  <si>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</si>
  <si>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</si>
  <si>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</si>
  <si>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</si>
  <si>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</si>
  <si>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</si>
  <si>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</si>
  <si>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</si>
  <si>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</si>
  <si>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</si>
  <si>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</si>
  <si>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</si>
  <si>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</si>
  <si>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</si>
  <si>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</si>
  <si>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</si>
  <si>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</si>
  <si>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</si>
  <si>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</si>
  <si>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</si>
  <si>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</si>
  <si>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</si>
  <si>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</si>
  <si>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</si>
  <si>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</si>
  <si>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</si>
  <si>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</si>
  <si>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</si>
  <si>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</si>
  <si>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</si>
  <si>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</si>
  <si>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</si>
  <si>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</si>
  <si>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</si>
  <si>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</si>
  <si>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</si>
  <si>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</si>
  <si>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</si>
  <si>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</si>
  <si>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</si>
  <si>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</si>
  <si>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</si>
  <si>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</si>
  <si>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</si>
  <si>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</si>
  <si>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</si>
  <si>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</si>
  <si>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</si>
  <si>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</si>
  <si>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</si>
  <si>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</si>
  <si>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</si>
  <si>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</si>
  <si>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</si>
  <si>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</si>
  <si>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</si>
  <si>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</si>
  <si>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</si>
  <si>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</si>
  <si>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</si>
  <si>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</si>
  <si>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</si>
  <si>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</si>
  <si>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</si>
  <si>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</si>
  <si>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</si>
  <si>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</si>
  <si>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</si>
  <si>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</si>
  <si>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</si>
  <si>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</si>
  <si>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</si>
  <si>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</si>
  <si>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</si>
  <si>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</si>
  <si>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</si>
  <si>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</si>
  <si>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</si>
  <si>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</si>
  <si>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</si>
  <si>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</si>
  <si>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</si>
  <si>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</si>
  <si>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</si>
  <si>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</si>
  <si>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</si>
  <si>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</si>
  <si>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</si>
  <si>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</si>
  <si>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</si>
  <si>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</si>
  <si>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</si>
  <si>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</si>
  <si>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</si>
  <si>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</si>
  <si>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</si>
  <si>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</si>
  <si>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</si>
  <si>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</si>
  <si>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</si>
  <si>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</si>
  <si>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</si>
  <si>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</si>
  <si>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</si>
  <si>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</si>
  <si>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</si>
  <si>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</si>
  <si>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</si>
  <si>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</si>
  <si>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</si>
  <si>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</si>
  <si>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</si>
  <si>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</si>
  <si>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</si>
  <si>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</si>
  <si>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</si>
  <si>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</si>
  <si>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</si>
  <si>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</si>
  <si>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</si>
  <si>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</si>
  <si>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</si>
  <si>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</si>
  <si>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</si>
  <si>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</si>
  <si>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</si>
  <si>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</si>
  <si>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</si>
  <si>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</si>
  <si>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</si>
  <si>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</si>
  <si>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</si>
  <si>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</si>
  <si>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</si>
  <si>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</si>
  <si>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</si>
  <si>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</si>
  <si>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</si>
  <si>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</si>
  <si>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</si>
  <si>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</si>
  <si>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</si>
  <si>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</si>
  <si>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</si>
  <si>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</si>
  <si>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</si>
  <si>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</si>
  <si>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</si>
  <si>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</si>
  <si>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</si>
  <si>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</si>
  <si>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</si>
  <si>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</si>
  <si>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</si>
  <si>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</si>
  <si>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</si>
  <si>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</si>
  <si>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</si>
  <si>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</si>
  <si>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</si>
  <si>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</si>
  <si>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</si>
  <si>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</si>
  <si>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</si>
  <si>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</si>
  <si>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</si>
  <si>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</si>
  <si>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</si>
  <si>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</si>
  <si>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</si>
  <si>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</si>
  <si>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</si>
  <si>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</si>
  <si>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</si>
  <si>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</si>
  <si>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</si>
  <si>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</si>
  <si>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</si>
  <si>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</si>
  <si>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</si>
  <si>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</si>
  <si>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</si>
  <si>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</si>
  <si>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</si>
  <si>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</si>
  <si>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</si>
  <si>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</si>
  <si>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</si>
  <si>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</si>
  <si>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</si>
  <si>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</si>
  <si>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</si>
  <si>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</si>
  <si>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</si>
  <si>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</si>
  <si>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</si>
  <si>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</si>
  <si>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</si>
  <si>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</si>
  <si>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</si>
  <si>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</si>
  <si>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</si>
  <si>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</si>
  <si>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</si>
  <si>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</si>
  <si>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</si>
  <si>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</si>
  <si>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</si>
  <si>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</si>
  <si>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</si>
  <si>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</si>
  <si>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</si>
  <si>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</si>
  <si>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</si>
  <si>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</si>
  <si>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</si>
  <si>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</si>
  <si>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</si>
  <si>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</si>
  <si>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</si>
  <si>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</si>
  <si>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</si>
  <si>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</si>
  <si>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</si>
  <si>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</si>
  <si>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</si>
  <si>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</si>
  <si>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</si>
  <si>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</si>
  <si>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</si>
  <si>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</si>
  <si>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</si>
  <si>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</si>
  <si>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</si>
  <si>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</si>
  <si>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</si>
  <si>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</si>
  <si>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</si>
  <si>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</si>
  <si>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</si>
  <si>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</si>
  <si>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</si>
  <si>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</si>
  <si>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</si>
  <si>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</si>
  <si>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</si>
  <si>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</si>
  <si>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</si>
  <si>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</si>
  <si>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</si>
  <si>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</si>
  <si>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</si>
  <si>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</si>
  <si>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</si>
  <si>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</si>
  <si>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</si>
  <si>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</si>
  <si>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</si>
  <si>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</si>
  <si>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</si>
  <si>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</si>
  <si>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</si>
  <si>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</si>
  <si>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</si>
  <si>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</si>
  <si>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</si>
  <si>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</si>
  <si>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</si>
  <si>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</si>
  <si>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</si>
  <si>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</si>
  <si>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</si>
  <si>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</si>
  <si>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</si>
  <si>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</si>
  <si>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</si>
  <si>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</si>
  <si>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</si>
  <si>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</si>
  <si>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</si>
  <si>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</si>
  <si>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</si>
  <si>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</si>
  <si>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</si>
  <si>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</si>
  <si>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</si>
  <si>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</si>
  <si>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</si>
  <si>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</si>
  <si>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</si>
  <si>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</si>
  <si>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</si>
  <si>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</si>
  <si>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</si>
  <si>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</si>
  <si>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</si>
  <si>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</si>
  <si>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</si>
  <si>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</si>
  <si>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</si>
  <si>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</si>
  <si>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</si>
  <si>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</si>
  <si>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</si>
  <si>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</si>
  <si>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</si>
  <si>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</si>
  <si>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</si>
  <si>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</si>
  <si>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</si>
  <si>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</si>
  <si>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</si>
  <si>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</si>
  <si>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</si>
  <si>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</si>
  <si>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</si>
  <si>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</si>
  <si>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</si>
  <si>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</si>
  <si>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</si>
  <si>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</si>
  <si>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</si>
  <si>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</si>
  <si>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</si>
  <si>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</si>
  <si>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</si>
  <si>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</si>
  <si>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</si>
  <si>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</si>
  <si>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</si>
  <si>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</si>
  <si>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</si>
  <si>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</si>
  <si>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</si>
  <si>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</si>
  <si>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</si>
  <si>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</si>
  <si>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</si>
  <si>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</si>
  <si>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</si>
  <si>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</si>
  <si>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</si>
  <si>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</si>
  <si>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</si>
  <si>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</si>
  <si>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</si>
  <si>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</si>
  <si>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</si>
  <si>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</si>
  <si>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</si>
  <si>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</si>
  <si>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</si>
  <si>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</si>
  <si>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</si>
  <si>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</si>
  <si>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</si>
  <si>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</si>
  <si>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</si>
  <si>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</si>
  <si>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</si>
  <si>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</si>
  <si>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</si>
  <si>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</si>
  <si>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</si>
  <si>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</si>
  <si>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</si>
  <si>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</si>
  <si>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</si>
  <si>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</si>
  <si>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</si>
  <si>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</si>
  <si>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</si>
  <si>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</si>
  <si>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</si>
  <si>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</si>
  <si>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</si>
  <si>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</si>
  <si>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</si>
  <si>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</si>
  <si>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</si>
  <si>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</si>
  <si>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</si>
  <si>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</si>
  <si>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</si>
  <si>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</si>
  <si>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</si>
  <si>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</si>
  <si>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</si>
  <si>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</si>
  <si>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</si>
  <si>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</si>
  <si>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</si>
  <si>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</si>
  <si>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</si>
  <si>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</si>
  <si>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</si>
  <si>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</si>
  <si>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</si>
  <si>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</si>
  <si>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</si>
  <si>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</si>
  <si>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</si>
  <si>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</si>
  <si>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</si>
  <si>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</si>
  <si>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</si>
  <si>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</si>
  <si>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</si>
  <si>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</si>
  <si>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</si>
  <si>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</si>
  <si>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</si>
  <si>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</si>
  <si>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</si>
  <si>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</si>
  <si>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</si>
  <si>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</si>
  <si>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</si>
  <si>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</si>
  <si>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</si>
  <si>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</si>
  <si>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</si>
  <si>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</si>
  <si>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</si>
  <si>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</si>
  <si>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</si>
  <si>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</si>
  <si>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</si>
  <si>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</si>
  <si>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</si>
  <si>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</si>
  <si>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</si>
  <si>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</si>
  <si>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</si>
  <si>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</si>
  <si>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</si>
  <si>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</si>
  <si>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</si>
  <si>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</si>
  <si>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</si>
  <si>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</si>
  <si>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</si>
  <si>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</si>
  <si>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</si>
  <si>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</si>
  <si>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</si>
  <si>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</si>
  <si>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</si>
  <si>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</si>
  <si>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</si>
  <si>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</si>
  <si>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</si>
  <si>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</si>
  <si>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</si>
  <si>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</si>
  <si>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</si>
  <si>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</si>
  <si>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</si>
  <si>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</si>
  <si>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</si>
  <si>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</si>
  <si>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</si>
  <si>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</si>
  <si>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</si>
  <si>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</si>
  <si>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</si>
  <si>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</si>
  <si>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</si>
  <si>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</si>
  <si>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</si>
  <si>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</si>
  <si>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</si>
  <si>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</si>
  <si>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</si>
  <si>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</si>
  <si>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</si>
  <si>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</si>
  <si>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</si>
  <si>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</si>
  <si>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</si>
  <si>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</si>
  <si>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</si>
  <si>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</si>
  <si>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</si>
  <si>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</si>
  <si>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</si>
  <si>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</si>
  <si>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</si>
  <si>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</si>
  <si>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</si>
  <si>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</si>
  <si>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</si>
  <si>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</si>
  <si>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</si>
  <si>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</si>
  <si>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</si>
  <si>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</si>
  <si>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</si>
  <si>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</si>
  <si>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</si>
  <si>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</si>
  <si>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</si>
  <si>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</si>
  <si>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</si>
  <si>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</si>
  <si>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</si>
  <si>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</si>
  <si>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</si>
  <si>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</si>
  <si>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</si>
  <si>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</si>
  <si>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</si>
  <si>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</si>
  <si>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</si>
  <si>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</si>
  <si>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</si>
  <si>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</si>
  <si>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</si>
  <si>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</si>
  <si>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</si>
  <si>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</si>
  <si>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</si>
  <si>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</si>
  <si>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</si>
  <si>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</si>
  <si>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</si>
  <si>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</si>
  <si>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</si>
  <si>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</si>
  <si>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</si>
  <si>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</si>
  <si>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</si>
  <si>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</si>
  <si>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</si>
  <si>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</si>
  <si>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</si>
  <si>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</si>
  <si>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</si>
  <si>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</si>
  <si>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</si>
  <si>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</si>
  <si>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</si>
  <si>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</si>
  <si>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</si>
  <si>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</si>
  <si>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</si>
  <si>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</si>
  <si>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</si>
  <si>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</si>
  <si>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</si>
  <si>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</si>
  <si>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</si>
  <si>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</si>
  <si>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</si>
  <si>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</si>
  <si>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</si>
  <si>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</si>
  <si>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</si>
  <si>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</si>
  <si>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</si>
  <si>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</si>
  <si>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</si>
  <si>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</si>
  <si>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</si>
  <si>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</si>
  <si>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</si>
  <si>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</si>
  <si>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</si>
  <si>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</si>
  <si>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</si>
  <si>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</si>
  <si>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</si>
  <si>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</si>
  <si>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</si>
  <si>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</si>
  <si>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</si>
  <si>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</si>
  <si>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</si>
  <si>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</si>
  <si>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</si>
  <si>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</si>
  <si>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</si>
  <si>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</si>
  <si>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</si>
  <si>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</si>
  <si>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</si>
  <si>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</si>
  <si>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</si>
  <si>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</si>
  <si>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</si>
  <si>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</si>
  <si>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</si>
  <si>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</si>
  <si>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</si>
  <si>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</si>
  <si>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</si>
  <si>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</si>
  <si>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</si>
  <si>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</si>
  <si>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</si>
  <si>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</si>
  <si>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</si>
  <si>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</si>
  <si>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</si>
  <si>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</si>
  <si>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</si>
  <si>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</si>
  <si>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</si>
  <si>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</si>
  <si>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</si>
  <si>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</si>
  <si>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</si>
  <si>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</si>
  <si>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</si>
  <si>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</si>
  <si>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</si>
  <si>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</si>
  <si>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</si>
  <si>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</si>
  <si>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</si>
  <si>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</si>
  <si>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</si>
  <si>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</si>
  <si>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</si>
  <si>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</si>
  <si>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</si>
  <si>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</si>
  <si>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</si>
  <si>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</si>
  <si>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</si>
  <si>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</si>
  <si>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</si>
  <si>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</si>
  <si>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</si>
  <si>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</si>
  <si>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</si>
  <si>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</si>
  <si>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</si>
  <si>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</si>
  <si>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</si>
  <si>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</si>
  <si>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</si>
  <si>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</si>
  <si>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</si>
  <si>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</si>
  <si>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</si>
  <si>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</si>
  <si>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</si>
  <si>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</si>
  <si>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</si>
  <si>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</si>
  <si>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</si>
  <si>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</si>
  <si>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</si>
  <si>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</si>
  <si>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</si>
  <si>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</si>
  <si>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</si>
  <si>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</si>
  <si>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</si>
  <si>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</si>
  <si>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</si>
  <si>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</si>
  <si>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</si>
  <si>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</si>
  <si>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</si>
  <si>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</si>
  <si>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</si>
  <si>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</si>
  <si>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</si>
  <si>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</si>
  <si>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</si>
  <si>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</si>
  <si>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</si>
  <si>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</si>
  <si>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</si>
  <si>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</si>
  <si>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</si>
  <si>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</si>
  <si>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</si>
  <si>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</si>
  <si>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</si>
  <si>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</si>
  <si>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</si>
  <si>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</si>
  <si>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</si>
  <si>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</si>
  <si>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</si>
  <si>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</si>
  <si>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</si>
  <si>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</si>
  <si>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</si>
  <si>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</si>
  <si>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</si>
  <si>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</si>
  <si>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</si>
  <si>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</si>
  <si>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</si>
  <si>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</si>
  <si>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</si>
  <si>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</si>
  <si>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</si>
  <si>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</si>
  <si>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</si>
  <si>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</si>
  <si>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</si>
  <si>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</si>
  <si>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</si>
  <si>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</si>
  <si>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</si>
  <si>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</si>
  <si>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</si>
  <si>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</si>
  <si>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</si>
  <si>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</si>
  <si>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</si>
  <si>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</si>
  <si>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</si>
  <si>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</si>
  <si>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</si>
  <si>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</si>
  <si>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</si>
  <si>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</si>
  <si>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</si>
  <si>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</si>
  <si>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</si>
  <si>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</si>
  <si>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</si>
  <si>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</si>
  <si>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</si>
  <si>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</si>
  <si>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</si>
  <si>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</si>
  <si>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</si>
  <si>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</si>
  <si>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</si>
  <si>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</si>
  <si>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</si>
  <si>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</si>
  <si>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</si>
  <si>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</si>
  <si>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</si>
  <si>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</si>
  <si>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</si>
  <si>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</si>
  <si>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</si>
  <si>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</si>
  <si>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</si>
  <si>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</si>
  <si>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</si>
  <si>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</si>
  <si>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</si>
  <si>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</si>
  <si>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</si>
  <si>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</si>
  <si>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</si>
  <si>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</si>
  <si>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</si>
  <si>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</si>
  <si>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</si>
  <si>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</si>
  <si>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</si>
  <si>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</si>
  <si>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</si>
  <si>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</si>
  <si>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</si>
  <si>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</si>
  <si>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</si>
  <si>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</si>
  <si>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</si>
  <si>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</si>
  <si>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</si>
  <si>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</si>
  <si>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</si>
  <si>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</si>
  <si>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</si>
  <si>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</si>
  <si>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</si>
  <si>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</si>
  <si>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</si>
  <si>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</si>
  <si>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</si>
  <si>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</si>
  <si>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</si>
  <si>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</si>
  <si>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</si>
  <si>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</si>
  <si>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</si>
  <si>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</si>
  <si>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</si>
  <si>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</si>
  <si>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</si>
  <si>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</si>
  <si>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</si>
  <si>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</si>
  <si>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</si>
  <si>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</si>
  <si>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</si>
  <si>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</si>
  <si>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</si>
  <si>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</si>
  <si>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</si>
  <si>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</si>
  <si>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</si>
  <si>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</si>
  <si>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</si>
  <si>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</si>
  <si>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</si>
  <si>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</si>
  <si>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</si>
  <si>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</si>
  <si>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</si>
  <si>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</si>
  <si>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</si>
  <si>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</si>
  <si>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</si>
  <si>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</si>
  <si>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</si>
  <si>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</si>
  <si>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</si>
  <si>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</si>
  <si>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</si>
  <si>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</si>
  <si>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</si>
  <si>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</si>
  <si>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</si>
  <si>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</si>
  <si>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</si>
  <si>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</si>
  <si>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</si>
  <si>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</si>
  <si>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</si>
  <si>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</si>
  <si>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</si>
  <si>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</si>
  <si>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</si>
  <si>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</si>
  <si>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</si>
  <si>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</si>
  <si>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</si>
  <si>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</si>
  <si>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</si>
  <si>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</si>
  <si>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</si>
  <si>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</si>
  <si>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</si>
  <si>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</si>
  <si>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</si>
  <si>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</si>
  <si>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</si>
  <si>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</si>
  <si>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</si>
  <si>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</si>
  <si>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</si>
  <si>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</si>
  <si>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</si>
  <si>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</si>
  <si>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</si>
  <si>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</si>
  <si>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</si>
  <si>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</si>
  <si>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</si>
  <si>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</si>
  <si>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</si>
  <si>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</si>
  <si>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</si>
  <si>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</si>
  <si>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</si>
  <si>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</si>
  <si>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</si>
  <si>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</si>
  <si>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</si>
  <si>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</si>
  <si>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</si>
  <si>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</si>
  <si>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</si>
  <si>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</si>
  <si>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</si>
  <si>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</si>
  <si>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</si>
  <si>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</si>
  <si>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</si>
  <si>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</si>
  <si>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</si>
  <si>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</si>
  <si>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</si>
  <si>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</si>
  <si>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</si>
  <si>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</si>
  <si>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</si>
  <si>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</si>
  <si>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</si>
  <si>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</si>
  <si>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</si>
  <si>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</si>
  <si>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</si>
  <si>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</si>
  <si>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</si>
  <si>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</si>
  <si>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</si>
  <si>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</si>
  <si>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</si>
  <si>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</si>
  <si>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</si>
  <si>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</si>
  <si>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</si>
  <si>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</si>
  <si>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</si>
  <si>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</si>
  <si>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</si>
  <si>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</si>
  <si>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</si>
  <si>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</si>
  <si>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</si>
  <si>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</si>
  <si>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</si>
  <si>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</si>
  <si>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</si>
  <si>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</si>
  <si>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</si>
  <si>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</si>
  <si>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</si>
  <si>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</si>
  <si>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</si>
  <si>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</si>
  <si>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</si>
  <si>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</si>
  <si>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</si>
  <si>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</si>
  <si>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</si>
  <si>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</si>
  <si>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</si>
  <si>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</si>
  <si>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</si>
  <si>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</si>
  <si>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</si>
  <si>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</si>
  <si>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</si>
  <si>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</si>
  <si>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</si>
  <si>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</si>
  <si>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</si>
  <si>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</si>
  <si>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</si>
  <si>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</si>
  <si>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</si>
  <si>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</si>
  <si>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</si>
  <si>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</si>
  <si>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</si>
  <si>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</si>
  <si>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</si>
  <si>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</si>
  <si>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</si>
  <si>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</si>
  <si>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</si>
  <si>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</si>
  <si>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</si>
  <si>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</si>
  <si>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</si>
  <si>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</si>
  <si>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</si>
  <si>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</si>
  <si>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</si>
  <si>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</si>
  <si>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</si>
  <si>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</si>
  <si>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</si>
  <si>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</si>
  <si>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</si>
  <si>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</si>
  <si>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</si>
  <si>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</si>
  <si>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</si>
  <si>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</si>
  <si>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</si>
  <si>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</si>
  <si>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</si>
  <si>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</si>
  <si>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</si>
  <si>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</si>
  <si>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</si>
  <si>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</si>
  <si>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</si>
  <si>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</si>
  <si>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</si>
  <si>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</si>
  <si>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</si>
  <si>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</si>
  <si>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</si>
  <si>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</si>
  <si>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</si>
  <si>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</si>
  <si>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</si>
  <si>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</si>
  <si>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</si>
  <si>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</si>
  <si>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</si>
  <si>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</si>
  <si>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</si>
  <si>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</si>
  <si>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</si>
  <si>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</si>
  <si>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</si>
  <si>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</si>
  <si>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</si>
  <si>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</si>
  <si>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</si>
  <si>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</si>
  <si>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</si>
  <si>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</si>
  <si>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</si>
  <si>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</si>
  <si>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</si>
  <si>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</si>
  <si>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</si>
  <si>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</si>
  <si>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</si>
  <si>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</si>
  <si>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</si>
  <si>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</si>
  <si>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</si>
  <si>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</si>
  <si>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</si>
  <si>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</si>
  <si>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</si>
  <si>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</si>
  <si>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</si>
  <si>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</si>
  <si>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</si>
  <si>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</si>
  <si>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</si>
  <si>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</si>
  <si>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</si>
  <si>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</si>
  <si>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</si>
  <si>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</si>
  <si>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</si>
  <si>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</si>
  <si>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</si>
  <si>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</si>
  <si>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</si>
  <si>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</si>
  <si>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</si>
  <si>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</si>
  <si>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</si>
  <si>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</si>
  <si>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</si>
  <si>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</si>
  <si>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</si>
  <si>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</si>
  <si>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</si>
  <si>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</si>
  <si>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</si>
  <si>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</si>
  <si>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</si>
  <si>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</si>
  <si>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</si>
  <si>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</si>
  <si>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</si>
  <si>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</si>
  <si>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</si>
  <si>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</si>
  <si>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</si>
  <si>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</si>
  <si>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</si>
  <si>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</si>
  <si>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</si>
  <si>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</si>
  <si>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</si>
  <si>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</si>
  <si>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</si>
  <si>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</si>
  <si>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</si>
  <si>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</si>
  <si>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</si>
  <si>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</si>
  <si>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</si>
  <si>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</si>
  <si>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</si>
  <si>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</si>
  <si>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</si>
  <si>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</si>
  <si>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</si>
  <si>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</si>
  <si>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</si>
  <si>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</si>
  <si>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</si>
  <si>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</si>
  <si>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</si>
  <si>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</si>
  <si>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</si>
  <si>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</si>
  <si>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</si>
  <si>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</si>
  <si>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</si>
  <si>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</si>
  <si>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</si>
  <si>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</si>
  <si>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</si>
  <si>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</si>
  <si>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</si>
  <si>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</si>
  <si>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</si>
  <si>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</si>
  <si>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</si>
  <si>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</si>
  <si>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</si>
  <si>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</si>
  <si>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</si>
  <si>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</si>
  <si>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</si>
  <si>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</si>
  <si>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</si>
  <si>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</si>
  <si>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</si>
  <si>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</si>
  <si>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</si>
  <si>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</si>
  <si>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</si>
  <si>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</si>
  <si>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</si>
  <si>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</si>
  <si>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</si>
  <si>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</si>
  <si>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</si>
  <si>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</si>
  <si>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</si>
  <si>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</si>
  <si>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</si>
  <si>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</si>
  <si>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</si>
  <si>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</si>
  <si>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</si>
  <si>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</si>
  <si>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</si>
  <si>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</si>
  <si>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</si>
  <si>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</si>
  <si>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</si>
  <si>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</si>
  <si>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</si>
  <si>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</si>
  <si>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</si>
  <si>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</si>
  <si>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</si>
  <si>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</si>
  <si>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</si>
  <si>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</si>
  <si>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</si>
  <si>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</si>
  <si>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</si>
  <si>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</si>
  <si>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</si>
  <si>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</si>
  <si>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</si>
  <si>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</si>
  <si>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</si>
  <si>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</si>
  <si>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</si>
  <si>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</si>
  <si>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</si>
  <si>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</si>
  <si>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</si>
  <si>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</si>
  <si>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</si>
  <si>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</si>
  <si>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</si>
  <si>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</si>
  <si>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</si>
  <si>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</si>
  <si>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</si>
  <si>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</si>
  <si>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</si>
  <si>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</si>
  <si>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</si>
  <si>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</si>
  <si>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</si>
  <si>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</si>
  <si>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</si>
  <si>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</si>
  <si>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</si>
  <si>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</si>
  <si>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</si>
  <si>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</si>
  <si>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</si>
  <si>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</si>
  <si>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</si>
  <si>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</si>
  <si>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</si>
  <si>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</si>
  <si>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</si>
  <si>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</si>
  <si>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</si>
  <si>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</si>
  <si>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</si>
  <si>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</si>
  <si>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</si>
  <si>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</si>
  <si>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</si>
  <si>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</si>
  <si>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</si>
  <si>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</si>
  <si>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</si>
  <si>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</si>
  <si>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</si>
  <si>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</si>
  <si>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</si>
  <si>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</si>
  <si>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</si>
  <si>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</si>
  <si>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</si>
  <si>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</si>
  <si>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</si>
  <si>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</si>
  <si>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</si>
  <si>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</si>
  <si>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</si>
  <si>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</si>
  <si>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</si>
  <si>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</si>
  <si>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</si>
  <si>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</si>
  <si>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</si>
  <si>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</si>
  <si>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</si>
  <si>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</si>
  <si>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</si>
  <si>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</si>
  <si>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</si>
  <si>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</si>
  <si>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</si>
  <si>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</si>
  <si>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</si>
  <si>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</si>
  <si>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</si>
  <si>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</si>
  <si>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</si>
  <si>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</si>
  <si>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</si>
  <si>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</si>
  <si>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</si>
  <si>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</si>
  <si>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</si>
  <si>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</si>
  <si>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</si>
  <si>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</si>
  <si>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</si>
  <si>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</si>
  <si>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</si>
  <si>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</si>
  <si>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</si>
  <si>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</si>
  <si>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</si>
  <si>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</si>
  <si>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</si>
  <si>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</si>
  <si>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</si>
  <si>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</si>
  <si>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</si>
  <si>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</si>
  <si>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</si>
  <si>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</si>
  <si>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</si>
  <si>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</si>
  <si>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</si>
  <si>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</si>
  <si>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</si>
  <si>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</si>
  <si>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</si>
  <si>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</si>
  <si>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</si>
  <si>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</si>
  <si>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</si>
  <si>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</si>
  <si>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</si>
  <si>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</si>
  <si>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</si>
  <si>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</si>
  <si>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</si>
  <si>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</si>
  <si>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</si>
  <si>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</si>
  <si>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</si>
  <si>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</si>
  <si>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</si>
  <si>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</si>
  <si>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</si>
  <si>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</si>
  <si>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</si>
  <si>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</si>
  <si>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</si>
  <si>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</si>
  <si>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</si>
  <si>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</si>
  <si>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</si>
  <si>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</si>
  <si>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</si>
  <si>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</si>
  <si>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</si>
  <si>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</si>
  <si>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</si>
  <si>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</si>
  <si>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</si>
  <si>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</si>
  <si>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</si>
  <si>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</si>
  <si>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</si>
  <si>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</si>
  <si>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</si>
  <si>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</si>
  <si>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</si>
  <si>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</si>
  <si>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</si>
  <si>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</si>
  <si>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</si>
  <si>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</si>
  <si>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</si>
  <si>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</si>
  <si>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</si>
  <si>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</si>
  <si>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</si>
  <si>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</si>
  <si>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</si>
  <si>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</si>
  <si>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</si>
  <si>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</si>
  <si>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</si>
  <si>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</si>
  <si>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</si>
  <si>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</si>
  <si>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</si>
  <si>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</si>
  <si>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</si>
  <si>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</si>
  <si>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</si>
  <si>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</si>
  <si>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</si>
  <si>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</si>
  <si>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</si>
  <si>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</si>
  <si>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</si>
  <si>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</si>
  <si>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</si>
  <si>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</si>
  <si>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</si>
  <si>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</si>
  <si>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</si>
  <si>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</si>
  <si>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</si>
  <si>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</si>
  <si>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</si>
  <si>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</si>
  <si>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</si>
  <si>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</si>
  <si>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</si>
  <si>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</si>
  <si>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</si>
  <si>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</si>
  <si>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</si>
  <si>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</si>
  <si>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</si>
  <si>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</si>
  <si>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</si>
  <si>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</si>
  <si>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</si>
  <si>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</si>
  <si>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</si>
  <si>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</si>
  <si>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</si>
  <si>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</si>
  <si>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</si>
  <si>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</si>
  <si>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</si>
  <si>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</si>
  <si>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</si>
  <si>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</si>
  <si>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</si>
  <si>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</si>
  <si>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</si>
  <si>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</si>
  <si>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</si>
  <si>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</si>
  <si>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</si>
  <si>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</si>
  <si>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</si>
  <si>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</si>
  <si>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</si>
  <si>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</si>
  <si>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</si>
  <si>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</si>
  <si>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</si>
  <si>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</si>
  <si>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</si>
  <si>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</si>
  <si>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</si>
  <si>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</si>
  <si>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</si>
  <si>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</si>
  <si>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</si>
  <si>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</si>
  <si>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</si>
  <si>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</si>
  <si>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</si>
  <si>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</si>
  <si>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</si>
  <si>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</si>
  <si>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</si>
  <si>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</si>
  <si>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</si>
  <si>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</si>
  <si>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</si>
  <si>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</si>
  <si>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</si>
  <si>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</si>
  <si>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</si>
  <si>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</si>
  <si>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</si>
  <si>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</si>
  <si>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</si>
  <si>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</si>
  <si>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</si>
  <si>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</si>
  <si>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</si>
  <si>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</si>
  <si>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</si>
  <si>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</si>
  <si>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</si>
  <si>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</si>
  <si>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</si>
  <si>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</si>
  <si>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</si>
  <si>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</si>
  <si>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</si>
  <si>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</si>
  <si>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</si>
  <si>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</si>
  <si>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</si>
  <si>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</si>
  <si>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</si>
  <si>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</si>
  <si>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</si>
  <si>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</si>
  <si>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</si>
  <si>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</si>
  <si>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</si>
  <si>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</si>
  <si>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</si>
  <si>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</si>
  <si>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</si>
  <si>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</si>
  <si>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</si>
  <si>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</si>
  <si>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</si>
  <si>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</si>
  <si>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</si>
  <si>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</si>
  <si>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</si>
  <si>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</si>
  <si>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</si>
  <si>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</si>
  <si>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</si>
  <si>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</si>
  <si>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</si>
  <si>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</si>
  <si>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</si>
  <si>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</si>
  <si>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</si>
  <si>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</si>
  <si>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</si>
  <si>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</si>
  <si>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</si>
  <si>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</si>
  <si>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</si>
  <si>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</si>
  <si>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</si>
  <si>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</si>
  <si>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</si>
  <si>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</si>
  <si>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</si>
  <si>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</si>
  <si>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</si>
  <si>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</si>
  <si>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</si>
  <si>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</si>
  <si>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</si>
  <si>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</si>
  <si>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</si>
  <si>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</si>
  <si>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</si>
  <si>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</si>
  <si>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</si>
  <si>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</si>
  <si>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</si>
  <si>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</si>
  <si>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</si>
  <si>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</si>
  <si>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</si>
  <si>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</si>
  <si>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</si>
  <si>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</si>
  <si>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</si>
  <si>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</si>
  <si>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</si>
  <si>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</si>
  <si>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</si>
  <si>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</si>
  <si>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</si>
  <si>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</si>
  <si>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</si>
  <si>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</si>
  <si>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</si>
  <si>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</si>
  <si>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</si>
  <si>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</si>
  <si>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</si>
  <si>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</si>
  <si>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</si>
  <si>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</si>
  <si>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</si>
  <si>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</si>
  <si>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</si>
  <si>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</si>
  <si>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</si>
  <si>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</si>
  <si>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</si>
  <si>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</si>
  <si>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</si>
  <si>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</si>
  <si>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</si>
  <si>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</si>
  <si>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</si>
  <si>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</si>
  <si>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</si>
  <si>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</si>
  <si>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</si>
  <si>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</si>
  <si>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</si>
  <si>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</si>
  <si>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</si>
  <si>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</si>
  <si>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</si>
  <si>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</si>
  <si>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</si>
  <si>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</si>
  <si>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</si>
  <si>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</si>
  <si>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</si>
  <si>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</si>
  <si>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</si>
  <si>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</si>
  <si>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</si>
  <si>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</si>
  <si>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</si>
  <si>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</si>
  <si>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</si>
  <si>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</si>
  <si>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</si>
  <si>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</si>
  <si>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</si>
  <si>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</si>
  <si>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</si>
  <si>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</si>
  <si>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</si>
  <si>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</si>
  <si>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</si>
  <si>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</si>
  <si>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</si>
  <si>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</si>
  <si>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</si>
  <si>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</si>
  <si>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</si>
  <si>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</si>
  <si>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</si>
  <si>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</si>
  <si>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</si>
  <si>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</si>
  <si>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</si>
  <si>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</si>
  <si>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</si>
  <si>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</si>
  <si>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</si>
  <si>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</si>
  <si>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</si>
  <si>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</si>
  <si>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</si>
  <si>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</si>
  <si>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</si>
  <si>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</si>
  <si>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</si>
  <si>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</si>
  <si>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</si>
  <si>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</si>
  <si>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</si>
  <si>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</si>
  <si>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</si>
  <si>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</si>
  <si>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</si>
  <si>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</si>
  <si>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</si>
  <si>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</si>
  <si>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</si>
  <si>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</si>
  <si>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</si>
  <si>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</si>
  <si>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</si>
  <si>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</si>
  <si>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</si>
  <si>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</si>
  <si>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</si>
  <si>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</si>
  <si>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</si>
  <si>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</si>
  <si>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</si>
  <si>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</si>
  <si>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</si>
  <si>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</si>
  <si>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</si>
  <si>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</si>
  <si>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</si>
  <si>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</si>
  <si>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</si>
  <si>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</si>
  <si>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</si>
  <si>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</si>
  <si>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</si>
  <si>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</si>
  <si>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</si>
  <si>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</si>
  <si>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</si>
  <si>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</si>
  <si>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</si>
  <si>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</si>
  <si>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</si>
  <si>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</si>
  <si>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</si>
  <si>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</si>
  <si>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</si>
  <si>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</si>
  <si>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</si>
  <si>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</si>
  <si>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</si>
  <si>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</si>
  <si>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</si>
  <si>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</si>
  <si>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</si>
  <si>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</si>
  <si>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</si>
  <si>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</si>
  <si>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</si>
  <si>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</si>
  <si>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</si>
  <si>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</si>
  <si>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</si>
  <si>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</si>
  <si>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</si>
  <si>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</si>
  <si>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</si>
  <si>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</si>
  <si>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</si>
  <si>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</si>
  <si>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</si>
  <si>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</si>
  <si>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</si>
  <si>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</si>
  <si>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</si>
  <si>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</si>
  <si>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</si>
  <si>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</si>
  <si>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</si>
  <si>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</si>
  <si>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</si>
  <si>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</si>
  <si>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</si>
  <si>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</si>
  <si>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</si>
  <si>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</si>
  <si>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</si>
  <si>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</si>
  <si>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</si>
  <si>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</si>
  <si>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</si>
  <si>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</si>
  <si>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</si>
  <si>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</si>
  <si>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</si>
  <si>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142" type="noConversion"/>
  </si>
  <si>
    <t>用地规划许可证</t>
    <phoneticPr fontId="142" type="noConversion"/>
  </si>
  <si>
    <r>
      <t>地字第1</t>
    </r>
    <r>
      <rPr>
        <sz val="11"/>
        <color theme="1"/>
        <rFont val="宋体"/>
        <family val="3"/>
        <charset val="134"/>
        <scheme val="minor"/>
      </rPr>
      <t>31022201300034号</t>
    </r>
    <phoneticPr fontId="142" type="noConversion"/>
  </si>
  <si>
    <t>国世通房地产开发有限公司</t>
    <phoneticPr fontId="142" type="noConversion"/>
  </si>
  <si>
    <t>空港温泉新新小镇一期项目</t>
    <phoneticPr fontId="142" type="noConversion"/>
  </si>
  <si>
    <t>独流一排村东北、大广高速东侧</t>
    <phoneticPr fontId="142" type="noConversion"/>
  </si>
  <si>
    <t>居住用地</t>
    <phoneticPr fontId="142" type="noConversion"/>
  </si>
  <si>
    <t>一期</t>
    <phoneticPr fontId="142" type="noConversion"/>
  </si>
  <si>
    <t>二期</t>
    <phoneticPr fontId="142" type="noConversion"/>
  </si>
  <si>
    <r>
      <t>地字第1</t>
    </r>
    <r>
      <rPr>
        <sz val="11"/>
        <color theme="1"/>
        <rFont val="宋体"/>
        <family val="3"/>
        <charset val="134"/>
        <scheme val="minor"/>
      </rPr>
      <t>31022201300035号</t>
    </r>
    <phoneticPr fontId="142" type="noConversion"/>
  </si>
  <si>
    <t>空港温泉新新小镇二期项目</t>
    <phoneticPr fontId="142" type="noConversion"/>
  </si>
  <si>
    <t>平方米</t>
    <phoneticPr fontId="142" type="noConversion"/>
  </si>
  <si>
    <t>平方米</t>
    <phoneticPr fontId="142" type="noConversion"/>
  </si>
  <si>
    <t>三期</t>
    <phoneticPr fontId="142" type="noConversion"/>
  </si>
  <si>
    <r>
      <t>地字第1</t>
    </r>
    <r>
      <rPr>
        <sz val="11"/>
        <color theme="1"/>
        <rFont val="宋体"/>
        <family val="3"/>
        <charset val="134"/>
        <scheme val="minor"/>
      </rPr>
      <t>31022201300036号</t>
    </r>
    <phoneticPr fontId="142" type="noConversion"/>
  </si>
  <si>
    <t>空港温泉新新小镇三期项目</t>
    <phoneticPr fontId="142" type="noConversion"/>
  </si>
  <si>
    <t>四期</t>
    <phoneticPr fontId="142" type="noConversion"/>
  </si>
  <si>
    <r>
      <t>地字第1</t>
    </r>
    <r>
      <rPr>
        <sz val="11"/>
        <color theme="1"/>
        <rFont val="宋体"/>
        <family val="3"/>
        <charset val="134"/>
        <scheme val="minor"/>
      </rPr>
      <t>31022201300037号</t>
    </r>
    <phoneticPr fontId="142" type="noConversion"/>
  </si>
  <si>
    <t>空港温泉新新小镇四期项目</t>
    <phoneticPr fontId="142" type="noConversion"/>
  </si>
  <si>
    <t>五期</t>
    <phoneticPr fontId="142" type="noConversion"/>
  </si>
  <si>
    <r>
      <t>地字第1</t>
    </r>
    <r>
      <rPr>
        <sz val="11"/>
        <color theme="1"/>
        <rFont val="宋体"/>
        <family val="3"/>
        <charset val="134"/>
        <scheme val="minor"/>
      </rPr>
      <t>31022201400027号</t>
    </r>
    <phoneticPr fontId="142" type="noConversion"/>
  </si>
  <si>
    <t>空港温泉新新小镇五期项目</t>
    <phoneticPr fontId="142" type="noConversion"/>
  </si>
  <si>
    <t>固安温泉休闲商务产业园区、独流一排村东北</t>
    <phoneticPr fontId="142" type="noConversion"/>
  </si>
  <si>
    <t>六期</t>
    <phoneticPr fontId="142" type="noConversion"/>
  </si>
  <si>
    <r>
      <t>地字第1</t>
    </r>
    <r>
      <rPr>
        <sz val="11"/>
        <color theme="1"/>
        <rFont val="宋体"/>
        <family val="3"/>
        <charset val="134"/>
        <scheme val="minor"/>
      </rPr>
      <t>31022201400028号</t>
    </r>
    <phoneticPr fontId="142" type="noConversion"/>
  </si>
  <si>
    <t>空港温泉新新小镇六期项目</t>
    <phoneticPr fontId="142" type="noConversion"/>
  </si>
  <si>
    <t>七期</t>
    <phoneticPr fontId="142" type="noConversion"/>
  </si>
  <si>
    <r>
      <t>地字第1</t>
    </r>
    <r>
      <rPr>
        <sz val="11"/>
        <color theme="1"/>
        <rFont val="宋体"/>
        <family val="3"/>
        <charset val="134"/>
        <scheme val="minor"/>
      </rPr>
      <t>31022201400029号</t>
    </r>
    <phoneticPr fontId="142" type="noConversion"/>
  </si>
  <si>
    <t>空港温泉新新小镇七期项目</t>
    <phoneticPr fontId="142" type="noConversion"/>
  </si>
  <si>
    <t>平方米</t>
    <phoneticPr fontId="142" type="noConversion"/>
  </si>
  <si>
    <t>八期</t>
    <phoneticPr fontId="142" type="noConversion"/>
  </si>
  <si>
    <r>
      <t>地字第1</t>
    </r>
    <r>
      <rPr>
        <sz val="11"/>
        <color theme="1"/>
        <rFont val="宋体"/>
        <family val="3"/>
        <charset val="134"/>
        <scheme val="minor"/>
      </rPr>
      <t>31022201400030号</t>
    </r>
    <phoneticPr fontId="142" type="noConversion"/>
  </si>
  <si>
    <t>空港温泉新新小镇八期项目</t>
    <phoneticPr fontId="142" type="noConversion"/>
  </si>
  <si>
    <t>九期</t>
    <phoneticPr fontId="142" type="noConversion"/>
  </si>
  <si>
    <r>
      <t>地字第1</t>
    </r>
    <r>
      <rPr>
        <sz val="11"/>
        <color theme="1"/>
        <rFont val="宋体"/>
        <family val="3"/>
        <charset val="134"/>
        <scheme val="minor"/>
      </rPr>
      <t>31022201400031号</t>
    </r>
    <phoneticPr fontId="142" type="noConversion"/>
  </si>
  <si>
    <t>空港温泉新新小镇九期项目</t>
    <phoneticPr fontId="142" type="noConversion"/>
  </si>
  <si>
    <t>《国有土地使用证》</t>
    <phoneticPr fontId="142" type="noConversion"/>
  </si>
  <si>
    <r>
      <t>固国用（2</t>
    </r>
    <r>
      <rPr>
        <sz val="11"/>
        <color theme="1"/>
        <rFont val="宋体"/>
        <family val="3"/>
        <charset val="134"/>
        <scheme val="minor"/>
      </rPr>
      <t>014）第140049号</t>
    </r>
    <phoneticPr fontId="142" type="noConversion"/>
  </si>
  <si>
    <t>城镇住宅用地</t>
    <phoneticPr fontId="142" type="noConversion"/>
  </si>
  <si>
    <t>出让</t>
    <phoneticPr fontId="142" type="noConversion"/>
  </si>
  <si>
    <r>
      <t>固国用（2</t>
    </r>
    <r>
      <rPr>
        <sz val="11"/>
        <color theme="1"/>
        <rFont val="宋体"/>
        <family val="3"/>
        <charset val="134"/>
        <scheme val="minor"/>
      </rPr>
      <t>014）第140053号</t>
    </r>
    <phoneticPr fontId="142" type="noConversion"/>
  </si>
  <si>
    <r>
      <t>固国用（2</t>
    </r>
    <r>
      <rPr>
        <sz val="11"/>
        <color theme="1"/>
        <rFont val="宋体"/>
        <family val="3"/>
        <charset val="134"/>
        <scheme val="minor"/>
      </rPr>
      <t>014）第140050号</t>
    </r>
    <phoneticPr fontId="142" type="noConversion"/>
  </si>
  <si>
    <t>出让</t>
  </si>
  <si>
    <t>出让</t>
    <phoneticPr fontId="142" type="noConversion"/>
  </si>
  <si>
    <r>
      <t>固国用（2</t>
    </r>
    <r>
      <rPr>
        <sz val="11"/>
        <color theme="1"/>
        <rFont val="宋体"/>
        <family val="3"/>
        <charset val="134"/>
        <scheme val="minor"/>
      </rPr>
      <t>014）第140051号</t>
    </r>
    <phoneticPr fontId="142" type="noConversion"/>
  </si>
  <si>
    <r>
      <t>固国用（2</t>
    </r>
    <r>
      <rPr>
        <sz val="11"/>
        <color theme="1"/>
        <rFont val="宋体"/>
        <family val="3"/>
        <charset val="134"/>
        <scheme val="minor"/>
      </rPr>
      <t>014）第140013号</t>
    </r>
    <phoneticPr fontId="142" type="noConversion"/>
  </si>
  <si>
    <t>独流一排村东北、大广高速东侧</t>
    <phoneticPr fontId="142" type="noConversion"/>
  </si>
  <si>
    <t>城镇住宅用地</t>
  </si>
  <si>
    <t>城镇住宅用地</t>
    <phoneticPr fontId="142" type="noConversion"/>
  </si>
  <si>
    <t>出让</t>
    <phoneticPr fontId="142" type="noConversion"/>
  </si>
  <si>
    <r>
      <t>固国用（2</t>
    </r>
    <r>
      <rPr>
        <sz val="11"/>
        <color theme="1"/>
        <rFont val="宋体"/>
        <family val="3"/>
        <charset val="134"/>
        <scheme val="minor"/>
      </rPr>
      <t>014）第140052号</t>
    </r>
    <phoneticPr fontId="142" type="noConversion"/>
  </si>
  <si>
    <t>平方米</t>
    <phoneticPr fontId="142" type="noConversion"/>
  </si>
  <si>
    <r>
      <t>固国用（2</t>
    </r>
    <r>
      <rPr>
        <sz val="11"/>
        <color theme="1"/>
        <rFont val="宋体"/>
        <family val="3"/>
        <charset val="134"/>
        <scheme val="minor"/>
      </rPr>
      <t>014）第140014号</t>
    </r>
    <phoneticPr fontId="142" type="noConversion"/>
  </si>
  <si>
    <r>
      <t>固国用（2</t>
    </r>
    <r>
      <rPr>
        <sz val="11"/>
        <color theme="1"/>
        <rFont val="宋体"/>
        <family val="3"/>
        <charset val="134"/>
        <scheme val="minor"/>
      </rPr>
      <t>014）第140015号</t>
    </r>
    <phoneticPr fontId="142" type="noConversion"/>
  </si>
  <si>
    <r>
      <t>固国用（2</t>
    </r>
    <r>
      <rPr>
        <sz val="11"/>
        <color theme="1"/>
        <rFont val="宋体"/>
        <family val="3"/>
        <charset val="134"/>
        <scheme val="minor"/>
      </rPr>
      <t>014）第140012号</t>
    </r>
    <phoneticPr fontId="142" type="noConversion"/>
  </si>
  <si>
    <t>3.1.1期综合经济技术指标</t>
    <phoneticPr fontId="142" type="noConversion"/>
  </si>
  <si>
    <t>楼号</t>
  </si>
  <si>
    <t>总建筑面积（㎡）</t>
  </si>
  <si>
    <t>地上建筑面积（㎡）</t>
  </si>
  <si>
    <t>地下建筑面积（㎡）</t>
  </si>
  <si>
    <t>建筑占地面积（㎡）</t>
  </si>
  <si>
    <t>户数</t>
  </si>
  <si>
    <t>人数</t>
  </si>
  <si>
    <t>建筑层数</t>
  </si>
  <si>
    <t>建筑高度（m）地上/地下</t>
  </si>
  <si>
    <t>备注</t>
  </si>
  <si>
    <t>人防</t>
  </si>
  <si>
    <t>户型总计</t>
    <phoneticPr fontId="142" type="noConversion"/>
  </si>
  <si>
    <t>东西向53平米（一居）</t>
    <phoneticPr fontId="142" type="noConversion"/>
  </si>
  <si>
    <t>东西向70平米（一居）</t>
    <phoneticPr fontId="142" type="noConversion"/>
  </si>
  <si>
    <t>东西向70平米（两居）</t>
    <phoneticPr fontId="142" type="noConversion"/>
  </si>
  <si>
    <t>东西向78平米（两居）</t>
    <phoneticPr fontId="142" type="noConversion"/>
  </si>
  <si>
    <t>小户型底跃（含首层大堂户型及二层非跃层户型）</t>
    <phoneticPr fontId="142" type="noConversion"/>
  </si>
  <si>
    <t>小户型85平米</t>
    <phoneticPr fontId="142" type="noConversion"/>
  </si>
  <si>
    <t>小户型107平米</t>
    <phoneticPr fontId="142" type="noConversion"/>
  </si>
  <si>
    <t>小户型顶跃</t>
    <phoneticPr fontId="142" type="noConversion"/>
  </si>
  <si>
    <t>中户型底跃（含首层大堂户型及二层非跃层户型）</t>
    <phoneticPr fontId="142" type="noConversion"/>
  </si>
  <si>
    <t>中户型101平米</t>
    <phoneticPr fontId="142" type="noConversion"/>
  </si>
  <si>
    <t>中户型117平米</t>
    <phoneticPr fontId="142" type="noConversion"/>
  </si>
  <si>
    <t>中户型顶跃</t>
    <phoneticPr fontId="142" type="noConversion"/>
  </si>
  <si>
    <t>大户型底跃（含首层大堂户型及二层非跃层户型）</t>
    <phoneticPr fontId="142" type="noConversion"/>
  </si>
  <si>
    <t>大户型118平米</t>
    <phoneticPr fontId="142" type="noConversion"/>
  </si>
  <si>
    <t>大户型136平米</t>
    <phoneticPr fontId="142" type="noConversion"/>
  </si>
  <si>
    <t>大户型顶跃</t>
    <phoneticPr fontId="142" type="noConversion"/>
  </si>
  <si>
    <t>公租房58平米</t>
    <phoneticPr fontId="142" type="noConversion"/>
  </si>
  <si>
    <t>廉租房45-47平米</t>
    <phoneticPr fontId="142" type="noConversion"/>
  </si>
  <si>
    <t>合院183</t>
    <phoneticPr fontId="142" type="noConversion"/>
  </si>
  <si>
    <t>上版指标</t>
    <phoneticPr fontId="142" type="noConversion"/>
  </si>
  <si>
    <t>差值</t>
    <phoneticPr fontId="142" type="noConversion"/>
  </si>
  <si>
    <t>序号</t>
  </si>
  <si>
    <t>项目</t>
  </si>
  <si>
    <t>数值</t>
  </si>
  <si>
    <t>单位</t>
  </si>
  <si>
    <t>1#幼儿园</t>
  </si>
  <si>
    <t>4F</t>
  </si>
  <si>
    <t>一、</t>
  </si>
  <si>
    <t>建设用地面积</t>
  </si>
  <si>
    <t>㎡</t>
  </si>
  <si>
    <t>2#商业楼</t>
  </si>
  <si>
    <t>2F</t>
  </si>
  <si>
    <t>二、</t>
  </si>
  <si>
    <t>总建筑面积</t>
  </si>
  <si>
    <t>3#住宅楼</t>
  </si>
  <si>
    <t>12F/-1F</t>
    <phoneticPr fontId="142" type="noConversion"/>
  </si>
  <si>
    <t>其中</t>
  </si>
  <si>
    <t>地上建筑面积</t>
  </si>
  <si>
    <t>其中</t>
    <phoneticPr fontId="142" type="noConversion"/>
  </si>
  <si>
    <t>住宅</t>
    <phoneticPr fontId="142" type="noConversion"/>
  </si>
  <si>
    <t>住宅计容建筑面积</t>
  </si>
  <si>
    <t>商业</t>
    <phoneticPr fontId="142" type="noConversion"/>
  </si>
  <si>
    <t>金融邮电面积：445.17㎡  归商业</t>
    <phoneticPr fontId="142" type="noConversion"/>
  </si>
  <si>
    <t>高层住宅</t>
    <phoneticPr fontId="142" type="noConversion"/>
  </si>
  <si>
    <t>配套</t>
    <phoneticPr fontId="142" type="noConversion"/>
  </si>
  <si>
    <t xml:space="preserve"> 文化活动站面积：202.83㎡                    警务室面积：20.89㎡                        技术防范办公室面积24.41㎡</t>
    <phoneticPr fontId="142" type="noConversion"/>
  </si>
  <si>
    <t>4#住宅楼</t>
  </si>
  <si>
    <t>10F</t>
    <phoneticPr fontId="142" type="noConversion"/>
  </si>
  <si>
    <t>幼儿园建筑面积</t>
  </si>
  <si>
    <t>18班</t>
  </si>
  <si>
    <t>住宅</t>
  </si>
  <si>
    <t xml:space="preserve"> </t>
  </si>
  <si>
    <t>商业用房建筑面积</t>
  </si>
  <si>
    <t>配套</t>
  </si>
  <si>
    <t xml:space="preserve">卫生站面积：913.11㎡                     公共厕所面积：64.08㎡                     </t>
    <phoneticPr fontId="142" type="noConversion"/>
  </si>
  <si>
    <t>配套服务及其它</t>
  </si>
  <si>
    <t xml:space="preserve"> </t>
    <phoneticPr fontId="142" type="noConversion"/>
  </si>
  <si>
    <t>5#住宅楼</t>
  </si>
  <si>
    <t>地下建筑面积</t>
  </si>
  <si>
    <t>住宅地下建筑面积</t>
  </si>
  <si>
    <t>地下车库建筑面积</t>
  </si>
  <si>
    <t>（含设备用房）</t>
  </si>
  <si>
    <t xml:space="preserve">物业管理面积：1120.43㎡                    文化活动站面积：493.41㎡                    电梯维修办公室面积：20.88㎡                    </t>
    <phoneticPr fontId="142" type="noConversion"/>
  </si>
  <si>
    <t>三、</t>
  </si>
  <si>
    <t>容积率</t>
  </si>
  <si>
    <t>6#住宅楼</t>
  </si>
  <si>
    <t>四、</t>
  </si>
  <si>
    <t>居住户数</t>
  </si>
  <si>
    <t>户</t>
  </si>
  <si>
    <t>7#住宅楼</t>
  </si>
  <si>
    <t>五、</t>
  </si>
  <si>
    <t>户均人数</t>
  </si>
  <si>
    <t>户/人</t>
  </si>
  <si>
    <t>8#住宅楼</t>
  </si>
  <si>
    <t>六、</t>
  </si>
  <si>
    <t>居住人数</t>
  </si>
  <si>
    <t>人</t>
  </si>
  <si>
    <t>9#住宅楼</t>
  </si>
  <si>
    <t>七、</t>
  </si>
  <si>
    <t>建筑密度</t>
  </si>
  <si>
    <t>％</t>
  </si>
  <si>
    <t>10#住宅楼</t>
  </si>
  <si>
    <t>八、</t>
  </si>
  <si>
    <t>绿地率</t>
  </si>
  <si>
    <t>九、</t>
  </si>
  <si>
    <t>停车位</t>
  </si>
  <si>
    <t>辆</t>
  </si>
  <si>
    <t>文化活动站面积：362.25㎡                     消防水箱间30.04㎡</t>
    <phoneticPr fontId="142" type="noConversion"/>
  </si>
  <si>
    <t>地上停车位</t>
  </si>
  <si>
    <t>11#住宅楼</t>
  </si>
  <si>
    <t>地下停车库</t>
  </si>
  <si>
    <t>12#住宅楼</t>
  </si>
  <si>
    <t>13#住宅楼</t>
  </si>
  <si>
    <t>14#住宅楼</t>
  </si>
  <si>
    <t>15#住宅楼</t>
  </si>
  <si>
    <t>16#住宅楼</t>
    <phoneticPr fontId="142" type="noConversion"/>
  </si>
  <si>
    <t>总计</t>
    <phoneticPr fontId="142" type="noConversion"/>
  </si>
  <si>
    <t>户型占比</t>
    <phoneticPr fontId="142" type="noConversion"/>
  </si>
  <si>
    <t>小区级配套公共设施分级配建表</t>
    <phoneticPr fontId="142" type="noConversion"/>
  </si>
  <si>
    <t>上版指标</t>
    <phoneticPr fontId="142" type="noConversion"/>
  </si>
  <si>
    <t>差值</t>
    <phoneticPr fontId="142" type="noConversion"/>
  </si>
  <si>
    <t>实际配建（地上）</t>
    <phoneticPr fontId="142" type="noConversion"/>
  </si>
  <si>
    <t>实际配建（地下）</t>
    <phoneticPr fontId="142" type="noConversion"/>
  </si>
  <si>
    <t>备注</t>
    <phoneticPr fontId="142" type="noConversion"/>
  </si>
  <si>
    <t>教育</t>
    <phoneticPr fontId="142" type="noConversion"/>
  </si>
  <si>
    <t>幼儿园</t>
    <phoneticPr fontId="142" type="noConversion"/>
  </si>
  <si>
    <t>小学</t>
    <phoneticPr fontId="142" type="noConversion"/>
  </si>
  <si>
    <t>一期地下车库及配套公建</t>
  </si>
  <si>
    <t>商业服务</t>
    <phoneticPr fontId="142" type="noConversion"/>
  </si>
  <si>
    <t>综合百货店</t>
    <phoneticPr fontId="142" type="noConversion"/>
  </si>
  <si>
    <t>变配电室</t>
  </si>
  <si>
    <t>综合食品店</t>
    <phoneticPr fontId="142" type="noConversion"/>
  </si>
  <si>
    <t>有线电视光电转换间</t>
  </si>
  <si>
    <t>餐饮</t>
    <phoneticPr fontId="142" type="noConversion"/>
  </si>
  <si>
    <t>固定通信机房</t>
  </si>
  <si>
    <t>便民店</t>
    <phoneticPr fontId="142" type="noConversion"/>
  </si>
  <si>
    <t>换热站</t>
  </si>
  <si>
    <t>其他第三产业设施</t>
    <phoneticPr fontId="142" type="noConversion"/>
  </si>
  <si>
    <t>医疗卫生</t>
    <phoneticPr fontId="142" type="noConversion"/>
  </si>
  <si>
    <t>卫生站</t>
    <phoneticPr fontId="142" type="noConversion"/>
  </si>
  <si>
    <t>文化体育</t>
    <phoneticPr fontId="142" type="noConversion"/>
  </si>
  <si>
    <t>文化活动站</t>
    <phoneticPr fontId="142" type="noConversion"/>
  </si>
  <si>
    <t>居民健身设施</t>
    <phoneticPr fontId="142" type="noConversion"/>
  </si>
  <si>
    <t>金融邮电</t>
    <phoneticPr fontId="142" type="noConversion"/>
  </si>
  <si>
    <t>储蓄所</t>
    <phoneticPr fontId="142" type="noConversion"/>
  </si>
  <si>
    <t>邮电所</t>
    <phoneticPr fontId="142" type="noConversion"/>
  </si>
  <si>
    <t>社区服务</t>
    <phoneticPr fontId="142" type="noConversion"/>
  </si>
  <si>
    <t>社区服务中心</t>
    <phoneticPr fontId="142" type="noConversion"/>
  </si>
  <si>
    <t>治安联防站</t>
    <phoneticPr fontId="142" type="noConversion"/>
  </si>
  <si>
    <t>居委会</t>
    <phoneticPr fontId="142" type="noConversion"/>
  </si>
  <si>
    <t>物业管理</t>
    <phoneticPr fontId="142" type="noConversion"/>
  </si>
  <si>
    <t>养老设施</t>
    <phoneticPr fontId="142" type="noConversion"/>
  </si>
  <si>
    <t>市政公用</t>
    <phoneticPr fontId="142" type="noConversion"/>
  </si>
  <si>
    <t>变电室（地下）</t>
    <phoneticPr fontId="142" type="noConversion"/>
  </si>
  <si>
    <t>路灯配电室</t>
    <phoneticPr fontId="142" type="noConversion"/>
  </si>
  <si>
    <t>公共厕所</t>
    <phoneticPr fontId="142" type="noConversion"/>
  </si>
  <si>
    <t>垃圾收集点</t>
    <phoneticPr fontId="142" type="noConversion"/>
  </si>
  <si>
    <t>电梯维护办公室</t>
    <phoneticPr fontId="142" type="noConversion"/>
  </si>
  <si>
    <t>人防警报室</t>
    <phoneticPr fontId="142" type="noConversion"/>
  </si>
  <si>
    <t>水箱间</t>
    <phoneticPr fontId="142" type="noConversion"/>
  </si>
  <si>
    <t>警务室</t>
    <phoneticPr fontId="142" type="noConversion"/>
  </si>
  <si>
    <t>消防控制室兼监控室</t>
    <phoneticPr fontId="142" type="noConversion"/>
  </si>
  <si>
    <t>技术防范办公室</t>
    <phoneticPr fontId="142" type="noConversion"/>
  </si>
  <si>
    <t>总计</t>
    <phoneticPr fontId="142" type="noConversion"/>
  </si>
  <si>
    <t>车位数配置</t>
    <phoneticPr fontId="142" type="noConversion"/>
  </si>
  <si>
    <t>住宅每户1辆，商业65辆/万平方米，其他配套和学校不用配车位</t>
    <phoneticPr fontId="142" type="noConversion"/>
  </si>
  <si>
    <t>3.1.2期综合经济技术指标</t>
    <phoneticPr fontId="142" type="noConversion"/>
  </si>
  <si>
    <t>大户型底跃（含首层大堂户型及二层非跃层户型）</t>
    <phoneticPr fontId="142" type="noConversion"/>
  </si>
  <si>
    <t>大户型118平米</t>
    <phoneticPr fontId="142" type="noConversion"/>
  </si>
  <si>
    <t>大户型136平米</t>
    <phoneticPr fontId="142" type="noConversion"/>
  </si>
  <si>
    <t>大户型顶跃</t>
    <phoneticPr fontId="142" type="noConversion"/>
  </si>
  <si>
    <t>公租房58平米</t>
    <phoneticPr fontId="142" type="noConversion"/>
  </si>
  <si>
    <t>廉租房45-47平米</t>
    <phoneticPr fontId="142" type="noConversion"/>
  </si>
  <si>
    <t>合院183</t>
    <phoneticPr fontId="142" type="noConversion"/>
  </si>
  <si>
    <t>社区服务面积384.17㎡</t>
    <phoneticPr fontId="142" type="noConversion"/>
  </si>
  <si>
    <t>小学</t>
    <phoneticPr fontId="142" type="noConversion"/>
  </si>
  <si>
    <t>商业服务</t>
    <phoneticPr fontId="142" type="noConversion"/>
  </si>
  <si>
    <t>综合百货店</t>
    <phoneticPr fontId="142" type="noConversion"/>
  </si>
  <si>
    <t>储蓄所</t>
    <phoneticPr fontId="142" type="noConversion"/>
  </si>
  <si>
    <t>邮电所</t>
    <phoneticPr fontId="142" type="noConversion"/>
  </si>
  <si>
    <t>社区服务</t>
    <phoneticPr fontId="142" type="noConversion"/>
  </si>
  <si>
    <t>社区服务中心</t>
    <phoneticPr fontId="142" type="noConversion"/>
  </si>
  <si>
    <t>治安联防站</t>
    <phoneticPr fontId="142" type="noConversion"/>
  </si>
  <si>
    <t>居委会</t>
    <phoneticPr fontId="142" type="noConversion"/>
  </si>
  <si>
    <t>物业管理</t>
    <phoneticPr fontId="142" type="noConversion"/>
  </si>
  <si>
    <t>养老设施</t>
    <phoneticPr fontId="142" type="noConversion"/>
  </si>
  <si>
    <t>市政公用</t>
    <phoneticPr fontId="142" type="noConversion"/>
  </si>
  <si>
    <t>变电室（地下）</t>
    <phoneticPr fontId="142" type="noConversion"/>
  </si>
  <si>
    <t>路灯配电室</t>
    <phoneticPr fontId="142" type="noConversion"/>
  </si>
  <si>
    <t>公共厕所</t>
    <phoneticPr fontId="142" type="noConversion"/>
  </si>
  <si>
    <t>垃圾收集点</t>
    <phoneticPr fontId="142" type="noConversion"/>
  </si>
  <si>
    <t>电梯维护办公室</t>
    <phoneticPr fontId="142" type="noConversion"/>
  </si>
  <si>
    <t>人防警报室</t>
    <phoneticPr fontId="142" type="noConversion"/>
  </si>
  <si>
    <t>水箱间</t>
    <phoneticPr fontId="142" type="noConversion"/>
  </si>
  <si>
    <t>警务室</t>
    <phoneticPr fontId="142" type="noConversion"/>
  </si>
  <si>
    <t>消防控制室兼监控室</t>
    <phoneticPr fontId="142" type="noConversion"/>
  </si>
  <si>
    <t>技术防范办公室</t>
    <phoneticPr fontId="142" type="noConversion"/>
  </si>
  <si>
    <t>车位数配置</t>
    <phoneticPr fontId="142" type="noConversion"/>
  </si>
  <si>
    <t>住宅每户1辆，商业65辆/万平方米，其他配套和学校不用配车位</t>
    <phoneticPr fontId="142" type="noConversion"/>
  </si>
  <si>
    <t>建筑物明细表</t>
  </si>
  <si>
    <t>3.2.1期综合经济技术指标</t>
    <phoneticPr fontId="142" type="noConversion"/>
  </si>
  <si>
    <t>东西向53平米（一居室）</t>
    <phoneticPr fontId="142" type="noConversion"/>
  </si>
  <si>
    <t>东西向70平米（一居室）</t>
    <phoneticPr fontId="142" type="noConversion"/>
  </si>
  <si>
    <t>东西向70平米（两居室）</t>
    <phoneticPr fontId="142" type="noConversion"/>
  </si>
  <si>
    <t>东西向78平米（两居室）</t>
    <phoneticPr fontId="142" type="noConversion"/>
  </si>
  <si>
    <t>18#住宅楼</t>
    <phoneticPr fontId="142" type="noConversion"/>
  </si>
  <si>
    <t>17#住宅楼</t>
  </si>
  <si>
    <t>高层住宅</t>
  </si>
  <si>
    <t>卫生站面积384.17㎡</t>
    <phoneticPr fontId="142" type="noConversion"/>
  </si>
  <si>
    <t>19#住宅楼</t>
  </si>
  <si>
    <t>20#住宅楼</t>
  </si>
  <si>
    <t>21#住宅楼</t>
  </si>
  <si>
    <t>物业管理面积243.75㎡</t>
  </si>
  <si>
    <t>22#住宅楼</t>
  </si>
  <si>
    <t>23#住宅楼</t>
  </si>
  <si>
    <t>24#住宅楼</t>
  </si>
  <si>
    <t>25#住宅楼</t>
  </si>
  <si>
    <t>26#住宅楼</t>
  </si>
  <si>
    <t>27#住宅楼</t>
  </si>
  <si>
    <t>二期地下车库及配套公建</t>
  </si>
  <si>
    <t>3.2.2期综合经济技术指标</t>
    <phoneticPr fontId="142" type="noConversion"/>
  </si>
  <si>
    <t>首层建筑面积</t>
    <phoneticPr fontId="142" type="noConversion"/>
  </si>
  <si>
    <t>3.3期综合经济技术指标</t>
    <phoneticPr fontId="142" type="noConversion"/>
  </si>
  <si>
    <t>28#住宅楼</t>
  </si>
  <si>
    <t>29#住宅楼</t>
  </si>
  <si>
    <t>30#养老设施</t>
  </si>
  <si>
    <t>31#住宅楼</t>
  </si>
  <si>
    <t>32#住宅楼</t>
  </si>
  <si>
    <t>6F/-1F</t>
  </si>
  <si>
    <t>33#住宅楼</t>
  </si>
  <si>
    <t>3F/-1F</t>
    <phoneticPr fontId="142" type="noConversion"/>
  </si>
  <si>
    <t>合院</t>
  </si>
  <si>
    <t>34#住宅楼</t>
  </si>
  <si>
    <t>洋房</t>
  </si>
  <si>
    <t>35#住宅楼</t>
  </si>
  <si>
    <t>3F/-1F</t>
  </si>
  <si>
    <t>36#住宅楼</t>
  </si>
  <si>
    <t>37#住宅楼</t>
  </si>
  <si>
    <t>养老设施</t>
  </si>
  <si>
    <t>38#住宅楼</t>
  </si>
  <si>
    <t>39#住宅楼</t>
  </si>
  <si>
    <t>40#住宅楼</t>
  </si>
  <si>
    <t>41#住宅楼</t>
  </si>
  <si>
    <t>42#住宅楼</t>
  </si>
  <si>
    <t>43#住宅楼</t>
  </si>
  <si>
    <t>44#住宅楼</t>
  </si>
  <si>
    <t>45#住宅楼</t>
  </si>
  <si>
    <t>52#住宅楼</t>
    <phoneticPr fontId="142" type="noConversion"/>
  </si>
  <si>
    <t>53#住宅楼</t>
    <phoneticPr fontId="142" type="noConversion"/>
  </si>
  <si>
    <t>54#住宅楼</t>
    <phoneticPr fontId="142" type="noConversion"/>
  </si>
  <si>
    <t>55#住宅楼</t>
    <phoneticPr fontId="142" type="noConversion"/>
  </si>
  <si>
    <t>56#住宅楼</t>
    <phoneticPr fontId="142" type="noConversion"/>
  </si>
  <si>
    <t>57#住宅楼</t>
    <phoneticPr fontId="142" type="noConversion"/>
  </si>
  <si>
    <t>58#住宅楼</t>
    <phoneticPr fontId="142" type="noConversion"/>
  </si>
  <si>
    <t>59#住宅楼</t>
    <phoneticPr fontId="142" type="noConversion"/>
  </si>
  <si>
    <t>60#住宅楼</t>
    <phoneticPr fontId="142" type="noConversion"/>
  </si>
  <si>
    <t>61#住宅楼</t>
    <phoneticPr fontId="142" type="noConversion"/>
  </si>
  <si>
    <t>62#住宅楼</t>
    <phoneticPr fontId="142" type="noConversion"/>
  </si>
  <si>
    <t>63#住宅楼</t>
    <phoneticPr fontId="142" type="noConversion"/>
  </si>
  <si>
    <t>64#住宅楼</t>
    <phoneticPr fontId="142" type="noConversion"/>
  </si>
  <si>
    <t>65#住宅楼</t>
    <phoneticPr fontId="142" type="noConversion"/>
  </si>
  <si>
    <t>三期地下车库及配套公建</t>
  </si>
  <si>
    <t>其他</t>
  </si>
  <si>
    <r>
      <t>3</t>
    </r>
    <r>
      <rPr>
        <sz val="11"/>
        <color theme="1"/>
        <rFont val="宋体"/>
        <family val="2"/>
        <charset val="134"/>
        <scheme val="minor"/>
      </rPr>
      <t>.4期综合经济技术指标</t>
    </r>
    <phoneticPr fontId="142" type="noConversion"/>
  </si>
  <si>
    <t>66#住宅楼</t>
    <phoneticPr fontId="142" type="noConversion"/>
  </si>
  <si>
    <t>6F</t>
    <phoneticPr fontId="142" type="noConversion"/>
  </si>
  <si>
    <t>67#住宅楼</t>
    <phoneticPr fontId="142" type="noConversion"/>
  </si>
  <si>
    <r>
      <t>1</t>
    </r>
    <r>
      <rPr>
        <sz val="11"/>
        <color theme="1"/>
        <rFont val="宋体"/>
        <family val="2"/>
        <charset val="134"/>
        <scheme val="minor"/>
      </rPr>
      <t>2</t>
    </r>
    <r>
      <rPr>
        <sz val="11"/>
        <color theme="1"/>
        <rFont val="宋体"/>
        <family val="2"/>
        <charset val="134"/>
        <scheme val="minor"/>
      </rPr>
      <t>F/-1F</t>
    </r>
    <phoneticPr fontId="142" type="noConversion"/>
  </si>
  <si>
    <t>68#养老设施</t>
    <phoneticPr fontId="142" type="noConversion"/>
  </si>
  <si>
    <t>69#住宅楼</t>
    <phoneticPr fontId="142" type="noConversion"/>
  </si>
  <si>
    <t>70#住宅楼</t>
    <phoneticPr fontId="142" type="noConversion"/>
  </si>
  <si>
    <t>71#住宅楼</t>
    <phoneticPr fontId="142" type="noConversion"/>
  </si>
  <si>
    <t>72#住宅楼</t>
    <phoneticPr fontId="142" type="noConversion"/>
  </si>
  <si>
    <t>73#住宅楼</t>
    <phoneticPr fontId="142" type="noConversion"/>
  </si>
  <si>
    <t>人防楼梯间面积</t>
    <phoneticPr fontId="142" type="noConversion"/>
  </si>
  <si>
    <t>74#住宅楼</t>
    <phoneticPr fontId="142" type="noConversion"/>
  </si>
  <si>
    <t>75#住宅楼</t>
    <phoneticPr fontId="142" type="noConversion"/>
  </si>
  <si>
    <t>人防楼梯间</t>
    <phoneticPr fontId="142" type="noConversion"/>
  </si>
  <si>
    <t>楼座夹层</t>
    <phoneticPr fontId="142" type="noConversion"/>
  </si>
  <si>
    <t>四期地下车库及配套公建</t>
  </si>
  <si>
    <t>夹层</t>
    <phoneticPr fontId="142" type="noConversion"/>
  </si>
  <si>
    <r>
      <t>3</t>
    </r>
    <r>
      <rPr>
        <sz val="11"/>
        <color theme="1"/>
        <rFont val="宋体"/>
        <family val="2"/>
        <charset val="134"/>
        <scheme val="minor"/>
      </rPr>
      <t>.5期综合经济技术指标</t>
    </r>
    <phoneticPr fontId="142" type="noConversion"/>
  </si>
  <si>
    <t>76#住宅楼</t>
    <phoneticPr fontId="142" type="noConversion"/>
  </si>
  <si>
    <t>77#住宅楼</t>
    <phoneticPr fontId="142" type="noConversion"/>
  </si>
  <si>
    <t>78#住宅楼</t>
    <phoneticPr fontId="142" type="noConversion"/>
  </si>
  <si>
    <t>79#住宅楼</t>
    <phoneticPr fontId="142" type="noConversion"/>
  </si>
  <si>
    <t>80#住宅楼</t>
    <phoneticPr fontId="142" type="noConversion"/>
  </si>
  <si>
    <t>81#住宅楼</t>
    <phoneticPr fontId="142" type="noConversion"/>
  </si>
  <si>
    <t>82#住宅楼</t>
    <phoneticPr fontId="142" type="noConversion"/>
  </si>
  <si>
    <t>83#住宅楼</t>
    <phoneticPr fontId="142" type="noConversion"/>
  </si>
  <si>
    <t>84#住宅楼</t>
    <phoneticPr fontId="142" type="noConversion"/>
  </si>
  <si>
    <t>85#住宅楼</t>
    <phoneticPr fontId="142" type="noConversion"/>
  </si>
  <si>
    <t>86#住宅楼</t>
    <phoneticPr fontId="142" type="noConversion"/>
  </si>
  <si>
    <t>87#住宅楼</t>
    <phoneticPr fontId="142" type="noConversion"/>
  </si>
  <si>
    <t>五期地下车库及配套公建</t>
  </si>
  <si>
    <r>
      <t>3</t>
    </r>
    <r>
      <rPr>
        <sz val="11"/>
        <color theme="1"/>
        <rFont val="宋体"/>
        <family val="2"/>
        <charset val="134"/>
        <scheme val="minor"/>
      </rPr>
      <t>.6期综合经济技术指标</t>
    </r>
    <phoneticPr fontId="142" type="noConversion"/>
  </si>
  <si>
    <t>88#住宅楼</t>
    <phoneticPr fontId="142" type="noConversion"/>
  </si>
  <si>
    <t>89#住宅楼</t>
    <phoneticPr fontId="142" type="noConversion"/>
  </si>
  <si>
    <t>90#住宅楼</t>
    <phoneticPr fontId="142" type="noConversion"/>
  </si>
  <si>
    <t>91#住宅楼</t>
    <phoneticPr fontId="142" type="noConversion"/>
  </si>
  <si>
    <t>92#住宅楼</t>
    <phoneticPr fontId="142" type="noConversion"/>
  </si>
  <si>
    <t>93#住宅楼</t>
    <phoneticPr fontId="142" type="noConversion"/>
  </si>
  <si>
    <t>公租房</t>
  </si>
  <si>
    <t>94#住宅楼</t>
    <phoneticPr fontId="142" type="noConversion"/>
  </si>
  <si>
    <t>廉租房</t>
  </si>
  <si>
    <t>文化活动站面积466.64㎡ 公厕面积61.27㎡</t>
    <phoneticPr fontId="142" type="noConversion"/>
  </si>
  <si>
    <t>95#保障房</t>
    <phoneticPr fontId="142" type="noConversion"/>
  </si>
  <si>
    <r>
      <t>12F</t>
    </r>
    <r>
      <rPr>
        <sz val="11"/>
        <color theme="1"/>
        <rFont val="宋体"/>
        <family val="2"/>
        <charset val="134"/>
        <scheme val="minor"/>
      </rPr>
      <t>/-1F</t>
    </r>
    <phoneticPr fontId="142" type="noConversion"/>
  </si>
  <si>
    <t>物业面积82.54㎡人防警报室20.14㎡</t>
    <phoneticPr fontId="142" type="noConversion"/>
  </si>
  <si>
    <t>96#住宅楼</t>
    <phoneticPr fontId="142" type="noConversion"/>
  </si>
  <si>
    <t>97#住宅楼</t>
    <phoneticPr fontId="142" type="noConversion"/>
  </si>
  <si>
    <t>卫生站面积613.48㎡ 物业管理面积300.18㎡</t>
    <phoneticPr fontId="142" type="noConversion"/>
  </si>
  <si>
    <t>98#住宅楼</t>
    <phoneticPr fontId="142" type="noConversion"/>
  </si>
  <si>
    <t>99#住宅楼</t>
    <phoneticPr fontId="142" type="noConversion"/>
  </si>
  <si>
    <t>户型配比</t>
    <phoneticPr fontId="142" type="noConversion"/>
  </si>
  <si>
    <t>六期地下车库及配套公建</t>
  </si>
  <si>
    <t>公租房、廉租房经济技术指标</t>
  </si>
  <si>
    <t>建筑面积（㎡）</t>
  </si>
  <si>
    <t>户数（户）</t>
  </si>
  <si>
    <t>95#</t>
    <phoneticPr fontId="142" type="noConversion"/>
  </si>
  <si>
    <r>
      <t>3</t>
    </r>
    <r>
      <rPr>
        <sz val="11"/>
        <color theme="1"/>
        <rFont val="宋体"/>
        <family val="2"/>
        <charset val="134"/>
        <scheme val="minor"/>
      </rPr>
      <t>.7期综合经济技术指标</t>
    </r>
    <phoneticPr fontId="142" type="noConversion"/>
  </si>
  <si>
    <t>100#住宅楼</t>
    <phoneticPr fontId="142" type="noConversion"/>
  </si>
  <si>
    <t>101#住宅楼</t>
    <phoneticPr fontId="142" type="noConversion"/>
  </si>
  <si>
    <t>102#住宅楼</t>
    <phoneticPr fontId="142" type="noConversion"/>
  </si>
  <si>
    <t>103#住宅楼</t>
    <phoneticPr fontId="142" type="noConversion"/>
  </si>
  <si>
    <t>104#住宅楼</t>
    <phoneticPr fontId="142" type="noConversion"/>
  </si>
  <si>
    <t>105#住宅楼</t>
    <phoneticPr fontId="142" type="noConversion"/>
  </si>
  <si>
    <t>106#住宅楼</t>
    <phoneticPr fontId="142" type="noConversion"/>
  </si>
  <si>
    <t>107#住宅楼</t>
    <phoneticPr fontId="142" type="noConversion"/>
  </si>
  <si>
    <t>配套挑空计容面积</t>
    <phoneticPr fontId="142" type="noConversion"/>
  </si>
  <si>
    <t>108#住宅楼</t>
    <phoneticPr fontId="142" type="noConversion"/>
  </si>
  <si>
    <t>109#住宅楼</t>
    <phoneticPr fontId="142" type="noConversion"/>
  </si>
  <si>
    <t xml:space="preserve">养老设施面积873.34㎡（其中挑空面积90.45） 物业管理面积318.39㎡  </t>
    <phoneticPr fontId="142" type="noConversion"/>
  </si>
  <si>
    <t>配套挑空计容</t>
    <phoneticPr fontId="142" type="noConversion"/>
  </si>
  <si>
    <t>110#住宅楼</t>
    <phoneticPr fontId="142" type="noConversion"/>
  </si>
  <si>
    <r>
      <t>1</t>
    </r>
    <r>
      <rPr>
        <sz val="11"/>
        <color theme="1"/>
        <rFont val="宋体"/>
        <family val="2"/>
        <charset val="134"/>
        <scheme val="minor"/>
      </rPr>
      <t>0</t>
    </r>
    <r>
      <rPr>
        <sz val="11"/>
        <color theme="1"/>
        <rFont val="宋体"/>
        <family val="2"/>
        <charset val="134"/>
        <scheme val="minor"/>
      </rPr>
      <t>F</t>
    </r>
    <phoneticPr fontId="142" type="noConversion"/>
  </si>
  <si>
    <t>七期地下车库及配套公建</t>
  </si>
  <si>
    <t>规划区综合经济技术指标</t>
  </si>
  <si>
    <t>规划区商业用房及配套公共设施指标表</t>
  </si>
  <si>
    <t>应建配套</t>
    <phoneticPr fontId="142" type="noConversion"/>
  </si>
  <si>
    <t>商业用房</t>
  </si>
  <si>
    <t>总建筑指标450-570平方米/千人</t>
    <phoneticPr fontId="142" type="noConversion"/>
  </si>
  <si>
    <t>固安管理规定</t>
    <phoneticPr fontId="142" type="noConversion"/>
  </si>
  <si>
    <t>幼儿园</t>
  </si>
  <si>
    <t>1#楼</t>
  </si>
  <si>
    <t>86#楼</t>
  </si>
  <si>
    <t>住宅面积1%</t>
    <phoneticPr fontId="142" type="noConversion"/>
  </si>
  <si>
    <t>住宅面积2%</t>
  </si>
  <si>
    <t>一</t>
  </si>
  <si>
    <t>物业管理用房</t>
  </si>
  <si>
    <t>2-025#、102#三层、5#6#楼一层</t>
  </si>
  <si>
    <r>
      <t>总建筑面积1</t>
    </r>
    <r>
      <rPr>
        <sz val="11"/>
        <color theme="1"/>
        <rFont val="宋体"/>
        <family val="3"/>
        <charset val="134"/>
        <scheme val="minor"/>
      </rPr>
      <t>0万以上：建筑面积10万以下按0.3%；超出部分按0.15%</t>
    </r>
    <phoneticPr fontId="142" type="noConversion"/>
  </si>
  <si>
    <r>
      <t>居委会办公不少于3</t>
    </r>
    <r>
      <rPr>
        <sz val="11"/>
        <color theme="1"/>
        <rFont val="宋体"/>
        <family val="3"/>
        <charset val="134"/>
        <scheme val="minor"/>
      </rPr>
      <t>00平米（每百户300平米）</t>
    </r>
    <phoneticPr fontId="142" type="noConversion"/>
  </si>
  <si>
    <t>二</t>
  </si>
  <si>
    <t>6#楼裙房二层</t>
  </si>
  <si>
    <t>1-1.5万人/1处，300平米/1处</t>
    <phoneticPr fontId="142" type="noConversion"/>
  </si>
  <si>
    <t>居住区规范</t>
    <phoneticPr fontId="142" type="noConversion"/>
  </si>
  <si>
    <t>垃圾转运站0.7-1平方公里一处，每处面积不小于100平方米</t>
    <phoneticPr fontId="142" type="noConversion"/>
  </si>
  <si>
    <t>三</t>
  </si>
  <si>
    <t>公厕</t>
  </si>
  <si>
    <t>2#商业楼、64#商业楼、78#楼裙房、81#楼裙房</t>
  </si>
  <si>
    <t>居住小区应沿城市道路或者在居民聚集活动场所附近设置，按6-10平方米/千人。</t>
    <phoneticPr fontId="142" type="noConversion"/>
  </si>
  <si>
    <t>四</t>
  </si>
  <si>
    <t>消防控制室</t>
  </si>
  <si>
    <t>五</t>
  </si>
  <si>
    <t>安防控制中心</t>
  </si>
  <si>
    <t>六</t>
  </si>
  <si>
    <t>社区服务中心</t>
  </si>
  <si>
    <r>
      <t>每小区设置一处，一处2</t>
    </r>
    <r>
      <rPr>
        <sz val="11"/>
        <color theme="1"/>
        <rFont val="宋体"/>
        <family val="3"/>
        <charset val="134"/>
        <scheme val="minor"/>
      </rPr>
      <t>00-300平米</t>
    </r>
    <phoneticPr fontId="142" type="noConversion"/>
  </si>
  <si>
    <t>七</t>
  </si>
  <si>
    <t>10#局部一到三层、5#二层</t>
  </si>
  <si>
    <r>
      <t>1</t>
    </r>
    <r>
      <rPr>
        <sz val="11"/>
        <color theme="1"/>
        <rFont val="宋体"/>
        <family val="3"/>
        <charset val="134"/>
        <scheme val="minor"/>
      </rPr>
      <t>-1.5万人/1处，400-600平米/1处</t>
    </r>
    <phoneticPr fontId="142" type="noConversion"/>
  </si>
  <si>
    <t>八</t>
  </si>
  <si>
    <t>金融邮电</t>
  </si>
  <si>
    <t>6#楼裙房一层</t>
  </si>
  <si>
    <t>储蓄所150，邮电所150</t>
    <phoneticPr fontId="142" type="noConversion"/>
  </si>
  <si>
    <t>九</t>
  </si>
  <si>
    <t>警务室</t>
  </si>
  <si>
    <t>十</t>
  </si>
  <si>
    <t>养老服务设施</t>
  </si>
  <si>
    <t>养老设施34#、养老设施57#、102#二层</t>
  </si>
  <si>
    <r>
      <t>每百户3</t>
    </r>
    <r>
      <rPr>
        <sz val="11"/>
        <color theme="1"/>
        <rFont val="宋体"/>
        <family val="3"/>
        <charset val="134"/>
        <scheme val="minor"/>
      </rPr>
      <t>0平方米</t>
    </r>
    <phoneticPr fontId="142" type="noConversion"/>
  </si>
  <si>
    <t>十一</t>
  </si>
  <si>
    <t>人防警报室</t>
  </si>
  <si>
    <t>79#楼顶</t>
  </si>
  <si>
    <t>十二</t>
  </si>
  <si>
    <t>水箱间</t>
  </si>
  <si>
    <t>21#楼顶</t>
  </si>
  <si>
    <t>总计</t>
  </si>
  <si>
    <t>电梯维修办公室</t>
    <phoneticPr fontId="142" type="noConversion"/>
  </si>
  <si>
    <t>带小学</t>
    <phoneticPr fontId="142" type="noConversion"/>
  </si>
  <si>
    <t>综合经济技术指标</t>
    <phoneticPr fontId="142" type="noConversion"/>
  </si>
  <si>
    <t>居住区用地平衡表</t>
  </si>
  <si>
    <t>面积（ha）</t>
  </si>
  <si>
    <t>所占比例（％）</t>
  </si>
  <si>
    <t>人均面积（㎡/人）</t>
  </si>
  <si>
    <t>居住用地（R）</t>
  </si>
  <si>
    <t>住宅用地（R01）</t>
  </si>
  <si>
    <t>地上建筑面积</t>
    <phoneticPr fontId="142" type="noConversion"/>
  </si>
  <si>
    <t>公建用地（R02）</t>
  </si>
  <si>
    <t>道路用地（R03）</t>
  </si>
  <si>
    <t>公共绿地（R04）</t>
  </si>
  <si>
    <t>幼儿园建筑面积</t>
    <phoneticPr fontId="142" type="noConversion"/>
  </si>
  <si>
    <t>小学建筑面积</t>
    <phoneticPr fontId="142" type="noConversion"/>
  </si>
  <si>
    <t>12班</t>
    <phoneticPr fontId="142" type="noConversion"/>
  </si>
  <si>
    <t>其中配套面积9627.97平方米，配套挑空计容面积90.45平方米</t>
    <phoneticPr fontId="142" type="noConversion"/>
  </si>
  <si>
    <t>商业用房及配套公共设施指标表</t>
    <phoneticPr fontId="142" type="noConversion"/>
  </si>
  <si>
    <t>实际配建总</t>
    <phoneticPr fontId="142" type="noConversion"/>
  </si>
  <si>
    <t>应建配套总计</t>
    <phoneticPr fontId="142" type="noConversion"/>
  </si>
  <si>
    <t>建筑面积配建标准</t>
    <phoneticPr fontId="142" type="noConversion"/>
  </si>
  <si>
    <r>
      <t>（3</t>
    </r>
    <r>
      <rPr>
        <sz val="11"/>
        <color theme="1"/>
        <rFont val="宋体"/>
        <family val="3"/>
        <charset val="134"/>
        <scheme val="minor"/>
      </rPr>
      <t>30-1200）/千人</t>
    </r>
    <phoneticPr fontId="142" type="noConversion"/>
  </si>
  <si>
    <t>2-025#，2#，3#、4#、5#、16#、17#、21#、94#、96#、97#、109#楼裙房</t>
    <phoneticPr fontId="142" type="noConversion"/>
  </si>
  <si>
    <r>
      <t>（4</t>
    </r>
    <r>
      <rPr>
        <sz val="11"/>
        <color theme="1"/>
        <rFont val="宋体"/>
        <family val="3"/>
        <charset val="134"/>
        <scheme val="minor"/>
      </rPr>
      <t>50-570）/千人</t>
    </r>
    <phoneticPr fontId="142" type="noConversion"/>
  </si>
  <si>
    <t>95#楼</t>
    <phoneticPr fontId="142" type="noConversion"/>
  </si>
  <si>
    <t>2-025#，5#、21#、97#、109#裙房，95#首层局部</t>
    <phoneticPr fontId="142" type="noConversion"/>
  </si>
  <si>
    <t>居委会</t>
  </si>
  <si>
    <t>2-025#三层</t>
    <phoneticPr fontId="142" type="noConversion"/>
  </si>
  <si>
    <t>4#、17#、97#楼裙房</t>
    <phoneticPr fontId="142" type="noConversion"/>
  </si>
  <si>
    <t>（38-98）/千人</t>
    <phoneticPr fontId="142" type="noConversion"/>
  </si>
  <si>
    <t>垃圾收集</t>
  </si>
  <si>
    <t>2-022#楼南侧</t>
  </si>
  <si>
    <t>2-025#，4#、94#楼裙房</t>
    <phoneticPr fontId="142" type="noConversion"/>
  </si>
  <si>
    <r>
      <t>（4</t>
    </r>
    <r>
      <rPr>
        <sz val="11"/>
        <color theme="1"/>
        <rFont val="宋体"/>
        <family val="3"/>
        <charset val="134"/>
        <scheme val="minor"/>
      </rPr>
      <t>5-75）/千人</t>
    </r>
    <phoneticPr fontId="142" type="noConversion"/>
  </si>
  <si>
    <t>2-025#</t>
  </si>
  <si>
    <t>5#楼裙房</t>
    <phoneticPr fontId="142" type="noConversion"/>
  </si>
  <si>
    <t>16#楼裙房</t>
    <phoneticPr fontId="142" type="noConversion"/>
  </si>
  <si>
    <t>10#局部一到二层，3#、94#、5#楼裙房</t>
    <phoneticPr fontId="142" type="noConversion"/>
  </si>
  <si>
    <r>
      <t>（1</t>
    </r>
    <r>
      <rPr>
        <sz val="11"/>
        <color theme="1"/>
        <rFont val="宋体"/>
        <family val="3"/>
        <charset val="134"/>
        <scheme val="minor"/>
      </rPr>
      <t>6-22）/千人</t>
    </r>
    <phoneticPr fontId="142" type="noConversion"/>
  </si>
  <si>
    <t>3#楼裙房</t>
    <phoneticPr fontId="142" type="noConversion"/>
  </si>
  <si>
    <t>2-025#，3#楼裙房</t>
    <phoneticPr fontId="142" type="noConversion"/>
  </si>
  <si>
    <t>十二</t>
    <phoneticPr fontId="142" type="noConversion"/>
  </si>
  <si>
    <t>30#，68#，9#楼裙房</t>
    <phoneticPr fontId="142" type="noConversion"/>
  </si>
  <si>
    <r>
      <t>（5</t>
    </r>
    <r>
      <rPr>
        <sz val="11"/>
        <color theme="1"/>
        <rFont val="宋体"/>
        <family val="3"/>
        <charset val="134"/>
        <scheme val="minor"/>
      </rPr>
      <t>9-292）/千人</t>
    </r>
    <phoneticPr fontId="142" type="noConversion"/>
  </si>
  <si>
    <t>十三</t>
    <phoneticPr fontId="142" type="noConversion"/>
  </si>
  <si>
    <t>95#楼顶</t>
    <phoneticPr fontId="142" type="noConversion"/>
  </si>
  <si>
    <t>十四</t>
    <phoneticPr fontId="142" type="noConversion"/>
  </si>
  <si>
    <t>10#楼顶</t>
    <phoneticPr fontId="142" type="noConversion"/>
  </si>
  <si>
    <t>十五</t>
    <phoneticPr fontId="142" type="noConversion"/>
  </si>
  <si>
    <t>（30-140）/千人</t>
    <phoneticPr fontId="142" type="noConversion"/>
  </si>
  <si>
    <t>配套公共设施指标表</t>
    <phoneticPr fontId="142" type="noConversion"/>
  </si>
  <si>
    <t>应配最小</t>
    <phoneticPr fontId="142" type="noConversion"/>
  </si>
  <si>
    <t>应配最大</t>
    <phoneticPr fontId="142" type="noConversion"/>
  </si>
  <si>
    <t>实际总</t>
    <phoneticPr fontId="142" type="noConversion"/>
  </si>
  <si>
    <t>项目</t>
    <phoneticPr fontId="142" type="noConversion"/>
  </si>
  <si>
    <t>数值</t>
    <phoneticPr fontId="142" type="noConversion"/>
  </si>
  <si>
    <t>单位</t>
    <phoneticPr fontId="142" type="noConversion"/>
  </si>
  <si>
    <t>应建面积</t>
    <phoneticPr fontId="142" type="noConversion"/>
  </si>
  <si>
    <t>出处</t>
    <phoneticPr fontId="142" type="noConversion"/>
  </si>
  <si>
    <t>公共管理和公共服务设施</t>
    <phoneticPr fontId="142" type="noConversion"/>
  </si>
  <si>
    <t>—</t>
    <phoneticPr fontId="142" type="noConversion"/>
  </si>
  <si>
    <t>商业服务业设施</t>
    <phoneticPr fontId="142" type="noConversion"/>
  </si>
  <si>
    <t>商场</t>
    <phoneticPr fontId="142" type="noConversion"/>
  </si>
  <si>
    <t>1500-3000，半径500米</t>
    <phoneticPr fontId="142" type="noConversion"/>
  </si>
  <si>
    <t>新国标</t>
    <phoneticPr fontId="142" type="noConversion"/>
  </si>
  <si>
    <t>菜市场或生鲜超市</t>
    <phoneticPr fontId="142" type="noConversion"/>
  </si>
  <si>
    <t>750-1500或2000-2500，半径500米</t>
    <phoneticPr fontId="142" type="noConversion"/>
  </si>
  <si>
    <t>餐饮设施</t>
    <phoneticPr fontId="142" type="noConversion"/>
  </si>
  <si>
    <t>银行营业网点</t>
    <phoneticPr fontId="142" type="noConversion"/>
  </si>
  <si>
    <t>电信营业网点</t>
    <phoneticPr fontId="142" type="noConversion"/>
  </si>
  <si>
    <t>其它商业</t>
    <phoneticPr fontId="142" type="noConversion"/>
  </si>
  <si>
    <t>市政公用设施</t>
    <phoneticPr fontId="142" type="noConversion"/>
  </si>
  <si>
    <t>社区服务设施</t>
    <phoneticPr fontId="142" type="noConversion"/>
  </si>
  <si>
    <t>社区卫生服务站</t>
    <phoneticPr fontId="142" type="noConversion"/>
  </si>
  <si>
    <t>120-270每处，半径300米</t>
    <phoneticPr fontId="142" type="noConversion"/>
  </si>
  <si>
    <t>社区服务站</t>
    <phoneticPr fontId="142" type="noConversion"/>
  </si>
  <si>
    <t>600-1000，半径300米</t>
    <phoneticPr fontId="142" type="noConversion"/>
  </si>
  <si>
    <t>居委会办公用房</t>
  </si>
  <si>
    <t>居委会办公不少于300平米（每百户300平米）</t>
    <phoneticPr fontId="142" type="noConversion"/>
  </si>
  <si>
    <t>250-1200，半径500</t>
    <phoneticPr fontId="142" type="noConversion"/>
  </si>
  <si>
    <t>3150-4550，半径300</t>
    <phoneticPr fontId="142" type="noConversion"/>
  </si>
  <si>
    <t>国标要求托老所350-750，半径300</t>
    <phoneticPr fontId="142" type="noConversion"/>
  </si>
  <si>
    <t>30-80</t>
    <phoneticPr fontId="142" type="noConversion"/>
  </si>
  <si>
    <t>便民服务设施</t>
    <phoneticPr fontId="142" type="noConversion"/>
  </si>
  <si>
    <t>物业管理与服务</t>
    <phoneticPr fontId="142" type="noConversion"/>
  </si>
  <si>
    <t>总建筑面积的2‰</t>
    <phoneticPr fontId="142" type="noConversion"/>
  </si>
  <si>
    <t>总建筑面积10万以上：建筑面积10万以下按0.3%；超出部分按0.15%</t>
    <phoneticPr fontId="142" type="noConversion"/>
  </si>
  <si>
    <t>便利店</t>
    <phoneticPr fontId="142" type="noConversion"/>
  </si>
  <si>
    <t>50-100,1000人-3000人一处</t>
    <phoneticPr fontId="142" type="noConversion"/>
  </si>
  <si>
    <t>其它</t>
    <phoneticPr fontId="142" type="noConversion"/>
  </si>
  <si>
    <t>公租房</t>
    <phoneticPr fontId="142" type="noConversion"/>
  </si>
  <si>
    <t>廉租房</t>
    <phoneticPr fontId="142" type="noConversion"/>
  </si>
  <si>
    <t>空港温泉新新小镇项目人防应建面积</t>
    <phoneticPr fontId="142" type="noConversion"/>
  </si>
  <si>
    <t>应建人防面积</t>
    <phoneticPr fontId="142" type="noConversion"/>
  </si>
  <si>
    <t>实际建设人防面积</t>
    <phoneticPr fontId="142" type="noConversion"/>
  </si>
  <si>
    <t>空港温泉新新小镇1.1期项目</t>
  </si>
  <si>
    <t>空港温泉新新小镇1.2期项目</t>
  </si>
  <si>
    <t>空港温泉新新小镇2.1期项目</t>
  </si>
  <si>
    <t>空港温泉新新小镇3.1期项目</t>
  </si>
  <si>
    <t>空港温泉新新小镇3.2期项目</t>
  </si>
  <si>
    <t>空港温泉新新小镇3.3期项目</t>
  </si>
  <si>
    <t>空港温泉新新小镇3.4期项目</t>
  </si>
  <si>
    <t>空港温泉新新小镇3.5期项目</t>
  </si>
  <si>
    <t>空港温泉新新小镇3.6期项目</t>
  </si>
  <si>
    <t>空港温泉新新小镇3.7期项目</t>
  </si>
  <si>
    <t>规划区人防总面积</t>
  </si>
  <si>
    <t>规划区人防单位计算</t>
    <phoneticPr fontId="142" type="noConversion"/>
  </si>
  <si>
    <t>居住区综合技术指标</t>
    <phoneticPr fontId="142" type="noConversion"/>
  </si>
  <si>
    <t>计量单位</t>
    <phoneticPr fontId="142" type="noConversion"/>
  </si>
  <si>
    <t>所占比例（%）</t>
    <phoneticPr fontId="142" type="noConversion"/>
  </si>
  <si>
    <t>人均面积指标（㎡/人）</t>
    <phoneticPr fontId="142" type="noConversion"/>
  </si>
  <si>
    <t>各级生活圈居住区指标</t>
    <phoneticPr fontId="142" type="noConversion"/>
  </si>
  <si>
    <t>居住区用地</t>
    <phoneticPr fontId="142" type="noConversion"/>
  </si>
  <si>
    <t>总用地面积</t>
    <phoneticPr fontId="142" type="noConversion"/>
  </si>
  <si>
    <t>h㎡</t>
    <phoneticPr fontId="142" type="noConversion"/>
  </si>
  <si>
    <t>住宅用地</t>
    <phoneticPr fontId="142" type="noConversion"/>
  </si>
  <si>
    <t>h㎡</t>
  </si>
  <si>
    <t>配套公建用地</t>
    <phoneticPr fontId="142" type="noConversion"/>
  </si>
  <si>
    <t>公共绿地</t>
    <phoneticPr fontId="142" type="noConversion"/>
  </si>
  <si>
    <t>城市道路用地</t>
    <phoneticPr fontId="142" type="noConversion"/>
  </si>
  <si>
    <t>居住总人口</t>
    <phoneticPr fontId="142" type="noConversion"/>
  </si>
  <si>
    <t>人</t>
    <phoneticPr fontId="142" type="noConversion"/>
  </si>
  <si>
    <t>——</t>
    <phoneticPr fontId="142" type="noConversion"/>
  </si>
  <si>
    <t>居住总套（户）数</t>
    <phoneticPr fontId="142" type="noConversion"/>
  </si>
  <si>
    <t>套</t>
    <phoneticPr fontId="142" type="noConversion"/>
  </si>
  <si>
    <t>居住街坊指标</t>
    <phoneticPr fontId="142" type="noConversion"/>
  </si>
  <si>
    <t>用地面积</t>
    <phoneticPr fontId="142" type="noConversion"/>
  </si>
  <si>
    <t>㎡</t>
    <phoneticPr fontId="142" type="noConversion"/>
  </si>
  <si>
    <t>容积率</t>
    <phoneticPr fontId="142" type="noConversion"/>
  </si>
  <si>
    <t>-</t>
    <phoneticPr fontId="142" type="noConversion"/>
  </si>
  <si>
    <t>总建筑面积</t>
    <phoneticPr fontId="142" type="noConversion"/>
  </si>
  <si>
    <t>地上总建筑面积</t>
    <phoneticPr fontId="142" type="noConversion"/>
  </si>
  <si>
    <t xml:space="preserve">住宅建筑 </t>
    <phoneticPr fontId="142" type="noConversion"/>
  </si>
  <si>
    <t>4-095#  共141户</t>
    <phoneticPr fontId="142" type="noConversion"/>
  </si>
  <si>
    <t>4-095#  共179户</t>
    <phoneticPr fontId="142" type="noConversion"/>
  </si>
  <si>
    <t>配套公建</t>
    <phoneticPr fontId="142" type="noConversion"/>
  </si>
  <si>
    <t>——</t>
    <phoneticPr fontId="142" type="noConversion"/>
  </si>
  <si>
    <t>小学建筑面积</t>
    <phoneticPr fontId="142" type="noConversion"/>
  </si>
  <si>
    <t>㎡</t>
    <phoneticPr fontId="142" type="noConversion"/>
  </si>
  <si>
    <t>人防楼梯间面积</t>
    <phoneticPr fontId="142" type="noConversion"/>
  </si>
  <si>
    <t>——</t>
    <phoneticPr fontId="142" type="noConversion"/>
  </si>
  <si>
    <t>地下总建筑面积</t>
    <phoneticPr fontId="142" type="noConversion"/>
  </si>
  <si>
    <t>㎡</t>
    <phoneticPr fontId="142" type="noConversion"/>
  </si>
  <si>
    <t>地下总建筑面积</t>
    <phoneticPr fontId="142" type="noConversion"/>
  </si>
  <si>
    <t>地下车库</t>
    <phoneticPr fontId="142" type="noConversion"/>
  </si>
  <si>
    <t>地下车库面积</t>
    <phoneticPr fontId="142" type="noConversion"/>
  </si>
  <si>
    <t>地下室面积</t>
    <phoneticPr fontId="142" type="noConversion"/>
  </si>
  <si>
    <t>人防面积</t>
    <phoneticPr fontId="142" type="noConversion"/>
  </si>
  <si>
    <t>绿地率</t>
    <phoneticPr fontId="142" type="noConversion"/>
  </si>
  <si>
    <t>%</t>
    <phoneticPr fontId="142" type="noConversion"/>
  </si>
  <si>
    <t>集中绿地面积</t>
    <phoneticPr fontId="142" type="noConversion"/>
  </si>
  <si>
    <t>住宅套（户）数</t>
    <phoneticPr fontId="142" type="noConversion"/>
  </si>
  <si>
    <t>住宅套均面积</t>
    <phoneticPr fontId="142" type="noConversion"/>
  </si>
  <si>
    <t>㎡/套</t>
    <phoneticPr fontId="142" type="noConversion"/>
  </si>
  <si>
    <t>居住人数</t>
    <phoneticPr fontId="142" type="noConversion"/>
  </si>
  <si>
    <t>建筑密度</t>
    <phoneticPr fontId="142" type="noConversion"/>
  </si>
  <si>
    <t>住宅建筑平均层数</t>
    <phoneticPr fontId="142" type="noConversion"/>
  </si>
  <si>
    <t>层</t>
    <phoneticPr fontId="142" type="noConversion"/>
  </si>
  <si>
    <t>住宅建筑高度控制最大值</t>
    <phoneticPr fontId="142" type="noConversion"/>
  </si>
  <si>
    <t>m</t>
    <phoneticPr fontId="142" type="noConversion"/>
  </si>
  <si>
    <t>停车位</t>
    <phoneticPr fontId="142" type="noConversion"/>
  </si>
  <si>
    <t>总停车位</t>
    <phoneticPr fontId="142" type="noConversion"/>
  </si>
  <si>
    <t>辆</t>
    <phoneticPr fontId="142" type="noConversion"/>
  </si>
  <si>
    <t>地上停车位</t>
    <phoneticPr fontId="142" type="noConversion"/>
  </si>
  <si>
    <t>地下停车位</t>
    <phoneticPr fontId="142" type="noConversion"/>
  </si>
  <si>
    <t>地面停车位</t>
    <phoneticPr fontId="142" type="noConversion"/>
  </si>
  <si>
    <t>——</t>
    <phoneticPr fontId="142" type="noConversion"/>
  </si>
  <si>
    <t>配套公共设施指标表</t>
    <phoneticPr fontId="142" type="noConversion"/>
  </si>
  <si>
    <t>4-005#楼裙房</t>
    <phoneticPr fontId="142" type="noConversion"/>
  </si>
  <si>
    <t>4-003#楼裙房</t>
    <phoneticPr fontId="142" type="noConversion"/>
  </si>
  <si>
    <t>4-004#、4-017#、4-097#楼裙房</t>
    <phoneticPr fontId="142" type="noConversion"/>
  </si>
  <si>
    <t>4-016#楼裙房</t>
    <phoneticPr fontId="142" type="noConversion"/>
  </si>
  <si>
    <t>4-010#局部一到二层，4-003#、4-094#、4-005#楼裙房</t>
    <phoneticPr fontId="142" type="noConversion"/>
  </si>
  <si>
    <t>幼儿园</t>
    <phoneticPr fontId="142" type="noConversion"/>
  </si>
  <si>
    <t>4-001#楼</t>
    <phoneticPr fontId="142" type="noConversion"/>
  </si>
  <si>
    <t>4-030#，4-068#，4-109#楼裙房                 养老设施具体功能为老年日间照料中心</t>
    <phoneticPr fontId="142" type="noConversion"/>
  </si>
  <si>
    <t>2-025#，4-004#、4-094#楼裙房</t>
    <phoneticPr fontId="142" type="noConversion"/>
  </si>
  <si>
    <t>垃圾站</t>
    <phoneticPr fontId="142" type="noConversion"/>
  </si>
  <si>
    <t>布置间距不超过70米</t>
    <phoneticPr fontId="142" type="noConversion"/>
  </si>
  <si>
    <t>2-025#，4-003#楼裙房</t>
    <phoneticPr fontId="142" type="noConversion"/>
  </si>
  <si>
    <t>4-095#楼顶</t>
    <phoneticPr fontId="142" type="noConversion"/>
  </si>
  <si>
    <t>2-025#，4-005#、4-021#、4-097#、4-109#裙房，4-095#首层局部</t>
    <phoneticPr fontId="142" type="noConversion"/>
  </si>
  <si>
    <t>室外健身设施</t>
    <phoneticPr fontId="142" type="noConversion"/>
  </si>
  <si>
    <t>室外健身场地</t>
    <phoneticPr fontId="142" type="noConversion"/>
  </si>
  <si>
    <t>结合绿地景观设置</t>
    <phoneticPr fontId="142" type="noConversion"/>
  </si>
  <si>
    <t>总地下面积（地库+住宅地下）</t>
  </si>
  <si>
    <t>地库面积</t>
  </si>
  <si>
    <t>用地面积</t>
  </si>
  <si>
    <t>住宅地下面积</t>
  </si>
  <si>
    <t>地上停车</t>
  </si>
  <si>
    <t>地下停车</t>
  </si>
  <si>
    <t>已建区地下停车位</t>
    <phoneticPr fontId="142" type="noConversion"/>
  </si>
  <si>
    <t>1.1期</t>
  </si>
  <si>
    <t>1.2期</t>
  </si>
  <si>
    <t>2.1期</t>
  </si>
  <si>
    <t>已建区商业用房及配套公共设施指标表</t>
  </si>
  <si>
    <t>文化体育</t>
    <phoneticPr fontId="142" type="noConversion"/>
  </si>
  <si>
    <t>文化活动站</t>
    <phoneticPr fontId="142" type="noConversion"/>
  </si>
  <si>
    <t>居民健身设施</t>
    <phoneticPr fontId="142" type="noConversion"/>
  </si>
  <si>
    <t>监控室</t>
  </si>
  <si>
    <t>2-025#、</t>
    <phoneticPr fontId="142" type="noConversion"/>
  </si>
  <si>
    <t>其中监控室52.64㎡，消控室34.93㎡</t>
    <phoneticPr fontId="142" type="noConversion"/>
  </si>
  <si>
    <t xml:space="preserve">总体指标  </t>
  </si>
  <si>
    <t>规划要求</t>
  </si>
  <si>
    <t>设计面积</t>
  </si>
  <si>
    <t>可售面积</t>
  </si>
  <si>
    <t>住宅面积指标表</t>
  </si>
  <si>
    <t xml:space="preserve"> 总用地面积  </t>
  </si>
  <si>
    <t xml:space="preserve">　  </t>
  </si>
  <si>
    <t>户数占比</t>
  </si>
  <si>
    <t>分类</t>
  </si>
  <si>
    <t>面积区间</t>
  </si>
  <si>
    <t>户型</t>
  </si>
  <si>
    <t>产权面积</t>
  </si>
  <si>
    <t>公摊面积</t>
  </si>
  <si>
    <t>赠送面积</t>
  </si>
  <si>
    <t>总面积</t>
  </si>
  <si>
    <t>面积占比</t>
  </si>
  <si>
    <t>赠送面积</t>
    <phoneticPr fontId="142" type="noConversion"/>
  </si>
  <si>
    <t xml:space="preserve"> 项目建设用地面积  </t>
  </si>
  <si>
    <t>东西向小高层</t>
  </si>
  <si>
    <t>53㎡</t>
  </si>
  <si>
    <t>一室两厅一厨一卫</t>
  </si>
  <si>
    <t>52.57㎡</t>
  </si>
  <si>
    <t>9.9㎡</t>
  </si>
  <si>
    <t>2.24㎡</t>
  </si>
  <si>
    <t xml:space="preserve"> 总建筑面积</t>
  </si>
  <si>
    <t>70㎡</t>
  </si>
  <si>
    <t>69.21㎡/70.19㎡</t>
  </si>
  <si>
    <t>　13.16㎡/13.21㎡</t>
  </si>
  <si>
    <t>2.31㎡</t>
  </si>
  <si>
    <t xml:space="preserve"> 计容建筑面积</t>
  </si>
  <si>
    <t>南向小高层（含首层大堂户型)</t>
    <phoneticPr fontId="142" type="noConversion"/>
  </si>
  <si>
    <t>70-82㎡</t>
  </si>
  <si>
    <t>两室两厅一厨一卫</t>
  </si>
  <si>
    <t>69.92/76.49/77.73/81.62㎡</t>
  </si>
  <si>
    <t>13.21/14.24/14.73/15.21㎡</t>
  </si>
  <si>
    <t>2.76/3.32/2.85/3.45㎡</t>
  </si>
  <si>
    <t xml:space="preserve"> 住宅</t>
  </si>
  <si>
    <t>86㎡</t>
  </si>
  <si>
    <t>85.50㎡</t>
  </si>
  <si>
    <t>18.07㎡　</t>
  </si>
  <si>
    <t>4.08㎡　</t>
  </si>
  <si>
    <t xml:space="preserve"> 商业</t>
    <phoneticPr fontId="142" type="noConversion"/>
  </si>
  <si>
    <t>101㎡</t>
  </si>
  <si>
    <t>三室两厅一厨两卫</t>
  </si>
  <si>
    <t>101.37㎡</t>
  </si>
  <si>
    <t>20.09㎡　</t>
  </si>
  <si>
    <t>4.06㎡　</t>
  </si>
  <si>
    <t xml:space="preserve"> 其他配套用房</t>
  </si>
  <si>
    <t>108㎡</t>
  </si>
  <si>
    <t>107.94㎡</t>
  </si>
  <si>
    <t>23.10㎡　</t>
  </si>
  <si>
    <t>5.97㎡　</t>
  </si>
  <si>
    <t xml:space="preserve"> 幼儿园</t>
    <phoneticPr fontId="142" type="noConversion"/>
  </si>
  <si>
    <t>117㎡</t>
  </si>
  <si>
    <t>117.17㎡</t>
  </si>
  <si>
    <t>23.35㎡　</t>
  </si>
  <si>
    <t>7.09㎡　</t>
  </si>
  <si>
    <t xml:space="preserve">卫生站  </t>
    <phoneticPr fontId="142" type="noConversion"/>
  </si>
  <si>
    <t>118㎡</t>
  </si>
  <si>
    <t>117.64㎡</t>
  </si>
  <si>
    <t>20.87㎡　</t>
  </si>
  <si>
    <t>4.69㎡　</t>
  </si>
  <si>
    <t xml:space="preserve">文化活动站 </t>
    <phoneticPr fontId="142" type="noConversion"/>
  </si>
  <si>
    <t>137㎡</t>
  </si>
  <si>
    <t>四室两厅一厨两卫</t>
  </si>
  <si>
    <t>136.73㎡</t>
  </si>
  <si>
    <t>24.40㎡　</t>
  </si>
  <si>
    <t>7.59㎡　</t>
  </si>
  <si>
    <t>小高层顶跃</t>
    <phoneticPr fontId="142" type="noConversion"/>
  </si>
  <si>
    <t>133-158㎡（86-108㎡户型顶跃层）</t>
  </si>
  <si>
    <t>132.62㎡</t>
  </si>
  <si>
    <t>28.41㎡</t>
  </si>
  <si>
    <t>4.08㎡</t>
  </si>
  <si>
    <t>物业管理</t>
  </si>
  <si>
    <t>五室两厅一厨三卫</t>
  </si>
  <si>
    <t>157.70㎡</t>
  </si>
  <si>
    <t>34.02㎡</t>
  </si>
  <si>
    <t>5.97㎡</t>
  </si>
  <si>
    <t>养老设施</t>
    <phoneticPr fontId="142" type="noConversion"/>
  </si>
  <si>
    <t>151-177㎡（101-117㎡户型顶跃层）</t>
  </si>
  <si>
    <t>五室两厅一厨两卫</t>
  </si>
  <si>
    <t>151.06㎡</t>
  </si>
  <si>
    <t>32.41㎡</t>
  </si>
  <si>
    <t>4.06㎡</t>
  </si>
  <si>
    <t>公共厕所</t>
    <phoneticPr fontId="142" type="noConversion"/>
  </si>
  <si>
    <t>177.43㎡</t>
  </si>
  <si>
    <t>35.69㎡</t>
  </si>
  <si>
    <t>6.38㎡</t>
  </si>
  <si>
    <t>电梯维护办公室</t>
    <phoneticPr fontId="142" type="noConversion"/>
  </si>
  <si>
    <t>169-192㎡（118-137㎡户型顶跃层）</t>
  </si>
  <si>
    <t>168.95㎡</t>
  </si>
  <si>
    <t>30.25㎡</t>
  </si>
  <si>
    <t>5.88㎡</t>
  </si>
  <si>
    <t>人防警报室</t>
    <phoneticPr fontId="142" type="noConversion"/>
  </si>
  <si>
    <t>六室两厅一厨三卫</t>
  </si>
  <si>
    <t>192.52㎡</t>
  </si>
  <si>
    <t>34.61㎡</t>
  </si>
  <si>
    <t>9.64㎡</t>
  </si>
  <si>
    <t>水箱间</t>
    <phoneticPr fontId="142" type="noConversion"/>
  </si>
  <si>
    <t>小高层底跃（含二层非跃层户型）</t>
    <phoneticPr fontId="142" type="noConversion"/>
  </si>
  <si>
    <t>95-133㎡（86-108㎡户型底跃层）</t>
  </si>
  <si>
    <t>95.29㎡</t>
  </si>
  <si>
    <t>19.53㎡</t>
  </si>
  <si>
    <t>7.22㎡</t>
  </si>
  <si>
    <t>警务室</t>
    <phoneticPr fontId="142" type="noConversion"/>
  </si>
  <si>
    <t>四室两厅一厨三卫</t>
  </si>
  <si>
    <t>133.14㎡</t>
  </si>
  <si>
    <t>28.05㎡</t>
  </si>
  <si>
    <t>7.02㎡</t>
  </si>
  <si>
    <t>技术防范办公室</t>
    <phoneticPr fontId="142" type="noConversion"/>
  </si>
  <si>
    <t>112-151㎡（101-118㎡户型底跃层）</t>
  </si>
  <si>
    <t>三室两厅一厨一卫</t>
  </si>
  <si>
    <t>112.18㎡</t>
  </si>
  <si>
    <t>22.30㎡</t>
  </si>
  <si>
    <t xml:space="preserve"> 不计容建筑面积</t>
  </si>
  <si>
    <t>150.60㎡</t>
  </si>
  <si>
    <t>30.21㎡</t>
  </si>
  <si>
    <t>5.40㎡</t>
  </si>
  <si>
    <t>住宅地下</t>
    <phoneticPr fontId="142" type="noConversion"/>
  </si>
  <si>
    <t>124-171㎡（118-137㎡户型跃底层）</t>
  </si>
  <si>
    <t>123.90㎡</t>
  </si>
  <si>
    <t>21.37㎡</t>
  </si>
  <si>
    <t>8.18㎡</t>
  </si>
  <si>
    <t>地下车库</t>
    <phoneticPr fontId="142" type="noConversion"/>
  </si>
  <si>
    <t>171.44㎡</t>
  </si>
  <si>
    <t>30.15㎡</t>
  </si>
  <si>
    <t>13.39㎡</t>
  </si>
  <si>
    <t>合院</t>
    <phoneticPr fontId="142" type="noConversion"/>
  </si>
  <si>
    <t>180㎡合院</t>
  </si>
  <si>
    <t>五室两厅一厨四卫</t>
  </si>
  <si>
    <t>180.68㎡　</t>
  </si>
  <si>
    <t>0㎡　</t>
  </si>
  <si>
    <t>308.72㎡</t>
  </si>
  <si>
    <t xml:space="preserve"> 绿地率</t>
  </si>
  <si>
    <t>公租廉租房</t>
  </si>
  <si>
    <t>廉租房（45-47㎡）</t>
  </si>
  <si>
    <t>45.71/47.73㎡</t>
  </si>
  <si>
    <t>11.94/12.53㎡　</t>
  </si>
  <si>
    <t>1.80/1.65㎡</t>
  </si>
  <si>
    <t xml:space="preserve"> 户数</t>
  </si>
  <si>
    <t>公租房（56-58㎡）</t>
  </si>
  <si>
    <t>57.27/58.89㎡</t>
  </si>
  <si>
    <t>15.21/15.59㎡</t>
  </si>
  <si>
    <t>1.32/1.53㎡</t>
  </si>
  <si>
    <t xml:space="preserve"> 赠送面积</t>
  </si>
  <si>
    <t xml:space="preserve"> 实际建设面积（总建筑面积+除总建筑面积外赠送面积）</t>
  </si>
  <si>
    <t xml:space="preserve"> 车位数</t>
  </si>
  <si>
    <t xml:space="preserve"> 地上</t>
  </si>
  <si>
    <t xml:space="preserve"> 地下</t>
  </si>
  <si>
    <t>注1：项目建设用地不包含基地周边的市政道路和代征绿地，但包含基地内的市政路</t>
    <phoneticPr fontId="142" type="noConversion"/>
  </si>
  <si>
    <t>注2：</t>
    <phoneticPr fontId="142" type="noConversion"/>
  </si>
  <si>
    <t>配套用房的面积是按项目整体建筑面积计算获得</t>
    <phoneticPr fontId="142" type="noConversion"/>
  </si>
  <si>
    <t>业态分布与配比</t>
    <phoneticPr fontId="142" type="noConversion"/>
  </si>
  <si>
    <t>洋房住宅</t>
  </si>
  <si>
    <t>合院住宅</t>
  </si>
  <si>
    <t>底商</t>
  </si>
  <si>
    <t>车库</t>
  </si>
  <si>
    <t>楼座地下室</t>
  </si>
  <si>
    <t>用地面积（㎡）</t>
  </si>
  <si>
    <r>
      <t>用地面积占比（</t>
    </r>
    <r>
      <rPr>
        <sz val="11"/>
        <color rgb="FF000000"/>
        <rFont val="Calibri"/>
        <family val="2"/>
      </rPr>
      <t>%</t>
    </r>
    <r>
      <rPr>
        <sz val="11"/>
        <color rgb="FF000000"/>
        <rFont val="Arial"/>
        <family val="2"/>
      </rPr>
      <t>）</t>
    </r>
  </si>
  <si>
    <r>
      <t>建筑面积占比（</t>
    </r>
    <r>
      <rPr>
        <sz val="11"/>
        <color rgb="FF000000"/>
        <rFont val="Calibri"/>
        <family val="2"/>
      </rPr>
      <t>%</t>
    </r>
    <r>
      <rPr>
        <sz val="11"/>
        <color rgb="FF000000"/>
        <rFont val="Arial"/>
        <family val="2"/>
      </rPr>
      <t>）</t>
    </r>
  </si>
  <si>
    <r>
      <rPr>
        <sz val="11"/>
        <color rgb="FF000000"/>
        <rFont val="宋体"/>
        <family val="2"/>
      </rPr>
      <t>货值（万元）</t>
    </r>
    <phoneticPr fontId="142" type="noConversion"/>
  </si>
  <si>
    <t>货值占比（%）</t>
    <phoneticPr fontId="142" type="noConversion"/>
  </si>
  <si>
    <t>公共厕所</t>
    <phoneticPr fontId="142" type="noConversion"/>
  </si>
  <si>
    <t>电梯维护办公室</t>
    <phoneticPr fontId="142" type="noConversion"/>
  </si>
  <si>
    <t>人防楼梯间面积</t>
    <phoneticPr fontId="142" type="noConversion"/>
  </si>
  <si>
    <t>容积率</t>
    <phoneticPr fontId="142" type="noConversion"/>
  </si>
  <si>
    <t>地上</t>
  </si>
  <si>
    <t>地上</t>
    <phoneticPr fontId="142" type="noConversion"/>
  </si>
  <si>
    <t>3.1.1</t>
    <phoneticPr fontId="142" type="noConversion"/>
  </si>
  <si>
    <t>高层</t>
  </si>
  <si>
    <t>高层</t>
    <phoneticPr fontId="142" type="noConversion"/>
  </si>
  <si>
    <t>商业</t>
    <phoneticPr fontId="142" type="noConversion"/>
  </si>
  <si>
    <t>公共配套</t>
    <phoneticPr fontId="142" type="noConversion"/>
  </si>
  <si>
    <t>小计</t>
    <phoneticPr fontId="142" type="noConversion"/>
  </si>
  <si>
    <t>地下</t>
  </si>
  <si>
    <t>地下</t>
    <phoneticPr fontId="142" type="noConversion"/>
  </si>
  <si>
    <t>合计</t>
    <phoneticPr fontId="142" type="noConversion"/>
  </si>
  <si>
    <t>住宅地下</t>
  </si>
  <si>
    <t>住宅地下</t>
    <phoneticPr fontId="142" type="noConversion"/>
  </si>
  <si>
    <t>车库</t>
    <phoneticPr fontId="142" type="noConversion"/>
  </si>
  <si>
    <r>
      <t>3</t>
    </r>
    <r>
      <rPr>
        <sz val="11"/>
        <color theme="1"/>
        <rFont val="宋体"/>
        <family val="3"/>
        <charset val="134"/>
        <scheme val="minor"/>
      </rPr>
      <t>.2.1</t>
    </r>
    <phoneticPr fontId="142" type="noConversion"/>
  </si>
  <si>
    <t>3.2.2</t>
    <phoneticPr fontId="142" type="noConversion"/>
  </si>
  <si>
    <r>
      <t>3</t>
    </r>
    <r>
      <rPr>
        <sz val="11"/>
        <color theme="1"/>
        <rFont val="宋体"/>
        <family val="3"/>
        <charset val="134"/>
        <scheme val="minor"/>
      </rPr>
      <t>.4</t>
    </r>
    <phoneticPr fontId="142" type="noConversion"/>
  </si>
  <si>
    <r>
      <t>3</t>
    </r>
    <r>
      <rPr>
        <sz val="11"/>
        <color theme="1"/>
        <rFont val="宋体"/>
        <family val="3"/>
        <charset val="134"/>
        <scheme val="minor"/>
      </rPr>
      <t>.5</t>
    </r>
    <phoneticPr fontId="142" type="noConversion"/>
  </si>
  <si>
    <r>
      <t>3</t>
    </r>
    <r>
      <rPr>
        <sz val="11"/>
        <color theme="1"/>
        <rFont val="宋体"/>
        <family val="3"/>
        <charset val="134"/>
        <scheme val="minor"/>
      </rPr>
      <t>.6</t>
    </r>
    <phoneticPr fontId="142" type="noConversion"/>
  </si>
  <si>
    <r>
      <t>3</t>
    </r>
    <r>
      <rPr>
        <sz val="11"/>
        <color theme="1"/>
        <rFont val="宋体"/>
        <family val="3"/>
        <charset val="134"/>
        <scheme val="minor"/>
      </rPr>
      <t>.7</t>
    </r>
    <phoneticPr fontId="142" type="noConversion"/>
  </si>
  <si>
    <t>洋房</t>
    <phoneticPr fontId="142" type="noConversion"/>
  </si>
  <si>
    <t>合院</t>
    <phoneticPr fontId="142" type="noConversion"/>
  </si>
  <si>
    <t>人防</t>
    <phoneticPr fontId="142" type="noConversion"/>
  </si>
  <si>
    <t>公租房</t>
    <phoneticPr fontId="142" type="noConversion"/>
  </si>
  <si>
    <t>廉租房</t>
    <phoneticPr fontId="142" type="noConversion"/>
  </si>
  <si>
    <t>容积率</t>
    <phoneticPr fontId="142" type="noConversion"/>
  </si>
  <si>
    <t>土地面积</t>
    <phoneticPr fontId="142" type="noConversion"/>
  </si>
  <si>
    <t>3.1.2</t>
    <phoneticPr fontId="142" type="noConversion"/>
  </si>
  <si>
    <t>评估范围</t>
    <phoneticPr fontId="142" type="noConversion"/>
  </si>
  <si>
    <t>崔锴</t>
  </si>
  <si>
    <t>郑燚</t>
  </si>
  <si>
    <t>抵押</t>
  </si>
  <si>
    <t>房地产抵押价值</t>
  </si>
  <si>
    <t>其他：</t>
  </si>
  <si>
    <t>河北省</t>
    <phoneticPr fontId="8" type="noConversion"/>
  </si>
  <si>
    <t>企业</t>
  </si>
  <si>
    <t>居住项目</t>
  </si>
  <si>
    <t>在建</t>
  </si>
  <si>
    <t>土地</t>
  </si>
  <si>
    <t>通路</t>
  </si>
  <si>
    <t>通下水</t>
  </si>
  <si>
    <t>通上水</t>
  </si>
  <si>
    <t>否</t>
  </si>
  <si>
    <t>是</t>
  </si>
  <si>
    <t>高层</t>
    <phoneticPr fontId="18" type="noConversion"/>
  </si>
  <si>
    <t>洋房</t>
    <phoneticPr fontId="18" type="noConversion"/>
  </si>
  <si>
    <t>合院</t>
    <phoneticPr fontId="18" type="noConversion"/>
  </si>
  <si>
    <t>公租房</t>
    <phoneticPr fontId="18" type="noConversion"/>
  </si>
  <si>
    <t>廉租房</t>
    <phoneticPr fontId="18" type="noConversion"/>
  </si>
  <si>
    <t>商业</t>
    <phoneticPr fontId="18" type="noConversion"/>
  </si>
  <si>
    <t>车库</t>
    <phoneticPr fontId="18" type="noConversion"/>
  </si>
  <si>
    <t>住宅地下</t>
    <phoneticPr fontId="18" type="noConversion"/>
  </si>
  <si>
    <t>仓储</t>
  </si>
  <si>
    <t>工程进度</t>
  </si>
  <si>
    <t>较差</t>
  </si>
  <si>
    <t>较差</t>
    <phoneticPr fontId="43" type="noConversion"/>
  </si>
  <si>
    <t>七通</t>
  </si>
  <si>
    <t>七通</t>
    <phoneticPr fontId="27" type="noConversion"/>
  </si>
  <si>
    <t>一般</t>
  </si>
  <si>
    <t>一般</t>
    <phoneticPr fontId="43" type="noConversion"/>
  </si>
  <si>
    <t>一般</t>
    <phoneticPr fontId="27" type="noConversion"/>
  </si>
  <si>
    <t>住宅</t>
    <phoneticPr fontId="33" type="noConversion"/>
  </si>
  <si>
    <t>有</t>
    <phoneticPr fontId="33" type="noConversion"/>
  </si>
  <si>
    <t>无</t>
    <phoneticPr fontId="33" type="noConversion"/>
  </si>
  <si>
    <t>规则</t>
    <phoneticPr fontId="33" type="noConversion"/>
  </si>
  <si>
    <t>较规则</t>
  </si>
  <si>
    <t>较规则</t>
    <phoneticPr fontId="33" type="noConversion"/>
  </si>
  <si>
    <t>一般</t>
    <phoneticPr fontId="33" type="noConversion"/>
  </si>
  <si>
    <t>较不规则</t>
    <phoneticPr fontId="33" type="noConversion"/>
  </si>
  <si>
    <t>不规则</t>
    <phoneticPr fontId="33" type="noConversion"/>
  </si>
  <si>
    <t>适宜</t>
    <phoneticPr fontId="33" type="noConversion"/>
  </si>
  <si>
    <t>较适宜</t>
  </si>
  <si>
    <t>较适宜</t>
    <phoneticPr fontId="33" type="noConversion"/>
  </si>
  <si>
    <t>较不适宜</t>
    <phoneticPr fontId="33" type="noConversion"/>
  </si>
  <si>
    <t>不适宜</t>
    <phoneticPr fontId="33" type="noConversion"/>
  </si>
  <si>
    <t>固安温泉休闲商务产业园区独流一排村东北</t>
    <phoneticPr fontId="142" type="noConversion"/>
  </si>
  <si>
    <t>地块名称</t>
  </si>
  <si>
    <t>用地性质</t>
  </si>
  <si>
    <t>区县</t>
  </si>
  <si>
    <t>板块</t>
  </si>
  <si>
    <t>出让方式</t>
  </si>
  <si>
    <t>详细规划</t>
  </si>
  <si>
    <t>建设用地面积(㎡)</t>
  </si>
  <si>
    <t>规划建筑面积(㎡)</t>
  </si>
  <si>
    <t>开发进度</t>
  </si>
  <si>
    <t>成交日期</t>
  </si>
  <si>
    <t>受让单位</t>
  </si>
  <si>
    <t>成交价(万元)</t>
  </si>
  <si>
    <t>成交每亩价(万元/亩)</t>
  </si>
  <si>
    <t>成交楼面价(元/㎡)</t>
  </si>
  <si>
    <t>溢价率</t>
  </si>
  <si>
    <t>出让年限</t>
  </si>
  <si>
    <t>土地星级</t>
  </si>
  <si>
    <t>主三路南侧、主七路东侧(温泉园区内)</t>
  </si>
  <si>
    <t>住宅用地</t>
  </si>
  <si>
    <t>固安县</t>
  </si>
  <si>
    <t>马庄镇</t>
  </si>
  <si>
    <t>拍卖</t>
  </si>
  <si>
    <t>大于1并且小于或等于1.5</t>
  </si>
  <si>
    <t>未开工</t>
  </si>
  <si>
    <t>2020-06-18</t>
  </si>
  <si>
    <t>固安县建城房地产开发有限公司</t>
  </si>
  <si>
    <t>70年</t>
  </si>
  <si>
    <t>1星</t>
  </si>
  <si>
    <t>牛驼</t>
  </si>
  <si>
    <t>3星</t>
  </si>
  <si>
    <t>中纬七路南侧、中经四路东侧(温泉园区内)</t>
  </si>
  <si>
    <t>2020-05-20</t>
  </si>
  <si>
    <t>固安裕荣轩房地产开发有限公司</t>
  </si>
  <si>
    <t>中纬六路南侧、中环路西侧(温泉园区内)</t>
  </si>
  <si>
    <t>永定河房地产开发有限公司</t>
  </si>
  <si>
    <t>中纬八路北侧、中经五路西侧(温泉园区内)</t>
  </si>
  <si>
    <t>中纬八路南侧、中经五路东侧(温泉园区内)</t>
  </si>
  <si>
    <t>中纬八路南侧、中经四路东侧(温泉园区内)</t>
  </si>
  <si>
    <t>中纬八路南侧、中经五路西侧(温泉园区内)</t>
  </si>
  <si>
    <t>中纬八路北侧、中经四路东侧(温泉园区内)</t>
  </si>
  <si>
    <t>温泉园区南陈村东南、中纬六路东侧</t>
  </si>
  <si>
    <t>挂牌</t>
  </si>
  <si>
    <t>中低价位、中小套型普通商品住房用地</t>
  </si>
  <si>
    <t>大于或等于1.3并且小于或等于2.2</t>
  </si>
  <si>
    <t>已完工</t>
  </si>
  <si>
    <t>2013-12-06</t>
  </si>
  <si>
    <t>2星</t>
  </si>
  <si>
    <t>马庄镇</t>
    <phoneticPr fontId="142" type="noConversion"/>
  </si>
  <si>
    <t>牛驼</t>
    <phoneticPr fontId="142" type="noConversion"/>
  </si>
  <si>
    <t>70</t>
    <phoneticPr fontId="33" type="noConversion"/>
  </si>
  <si>
    <t>三通</t>
  </si>
  <si>
    <t>较好</t>
  </si>
  <si>
    <t>成本法</t>
  </si>
  <si>
    <t>假设开发法</t>
  </si>
  <si>
    <t>在建</t>
    <phoneticPr fontId="142" type="noConversion"/>
  </si>
  <si>
    <t>土方</t>
    <phoneticPr fontId="142" type="noConversion"/>
  </si>
  <si>
    <t>土地</t>
    <phoneticPr fontId="142" type="noConversion"/>
  </si>
  <si>
    <t>楼号</t>
    <phoneticPr fontId="142" type="noConversion"/>
  </si>
  <si>
    <t>主体结构施工，三层封顶</t>
    <phoneticPr fontId="142" type="noConversion"/>
  </si>
  <si>
    <t>主体结构施工，现已停工，七层封顶</t>
    <phoneticPr fontId="142" type="noConversion"/>
  </si>
  <si>
    <t>主体结构施工，七层封顶</t>
    <phoneticPr fontId="142" type="noConversion"/>
  </si>
  <si>
    <t>主体结构施工，四层封顶，五层正在施工墙体钢筋绑扎</t>
    <phoneticPr fontId="142" type="noConversion"/>
  </si>
  <si>
    <t>基础结构施工，地下一层顶板钢筋绑扎。</t>
    <phoneticPr fontId="142" type="noConversion"/>
  </si>
  <si>
    <t>基础结构施工，地下一层墙筋绑扎</t>
    <phoneticPr fontId="142" type="noConversion"/>
  </si>
  <si>
    <t>基础结构施工，地下一层墙体钢筋绑扎</t>
    <phoneticPr fontId="142" type="noConversion"/>
  </si>
  <si>
    <t>基础结构施工，地下一层顶板完成，现已停工</t>
    <phoneticPr fontId="142" type="noConversion"/>
  </si>
  <si>
    <t>主体结构施工，三层封顶</t>
    <phoneticPr fontId="142" type="noConversion"/>
  </si>
  <si>
    <t>主体结构施工，六层封顶，七层墙体钢筋绑扎</t>
    <phoneticPr fontId="142" type="noConversion"/>
  </si>
  <si>
    <t>主体结构施工，七层顶板封顶</t>
    <phoneticPr fontId="142" type="noConversion"/>
  </si>
  <si>
    <t>地上</t>
    <phoneticPr fontId="142" type="noConversion"/>
  </si>
  <si>
    <t>主体封顶</t>
    <phoneticPr fontId="142" type="noConversion"/>
  </si>
  <si>
    <t>小计</t>
    <phoneticPr fontId="142" type="noConversion"/>
  </si>
  <si>
    <t>建筑面积</t>
    <phoneticPr fontId="142" type="noConversion"/>
  </si>
  <si>
    <t>总价</t>
  </si>
  <si>
    <t>成本比率</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</si>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</sst>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Red]0.00"/>
    <numFmt numFmtId="198" formatCode="0.00000"/>
    <numFmt numFmtId="199" formatCode="0.000000000000_ "/>
    <numFmt numFmtId="200" formatCode="0.0"/>
  </numFmts>
  <fonts count="28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b/>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sz val="11"/>
      <color theme="0"/>
      <name val="宋体"/>
      <family val="2"/>
      <charset val="134"/>
      <scheme val="minor"/>
    </font>
    <font>
      <sz val="11"/>
      <name val="宋体"/>
      <family val="3"/>
      <charset val="134"/>
      <scheme val="minor"/>
    </font>
    <font>
      <sz val="11"/>
      <color rgb="FFFF0000"/>
      <name val="宋体"/>
      <family val="2"/>
      <scheme val="minor"/>
    </font>
    <font>
      <sz val="11"/>
      <color rgb="FFFF0000"/>
      <name val="宋体"/>
      <family val="3"/>
      <charset val="134"/>
      <scheme val="minor"/>
    </font>
    <font>
      <sz val="11"/>
      <name val="宋体"/>
      <family val="2"/>
      <scheme val="minor"/>
    </font>
    <font>
      <sz val="11"/>
      <color rgb="FFFF0000"/>
      <name val="微软雅黑"/>
      <family val="2"/>
      <charset val="134"/>
    </font>
    <font>
      <sz val="11"/>
      <color theme="1"/>
      <name val="宋体"/>
      <family val="3"/>
      <charset val="134"/>
      <scheme val="major"/>
    </font>
    <font>
      <sz val="12"/>
      <color theme="1"/>
      <name val="宋体"/>
      <family val="2"/>
      <scheme val="minor"/>
    </font>
    <font>
      <sz val="11"/>
      <color rgb="FF333333"/>
      <name val="华文细黑"/>
      <family val="3"/>
      <charset val="134"/>
    </font>
    <font>
      <b/>
      <sz val="11"/>
      <name val="微软雅黑"/>
      <family val="2"/>
      <charset val="134"/>
    </font>
    <font>
      <b/>
      <sz val="11"/>
      <color rgb="FF000000"/>
      <name val="微软雅黑"/>
      <family val="2"/>
      <charset val="134"/>
    </font>
    <font>
      <sz val="11"/>
      <name val="微软雅黑"/>
      <family val="2"/>
      <charset val="134"/>
    </font>
    <font>
      <sz val="18"/>
      <name val="Arial"/>
      <family val="2"/>
    </font>
    <font>
      <sz val="11"/>
      <color rgb="FF000000"/>
      <name val="宋体"/>
      <family val="3"/>
      <charset val="134"/>
    </font>
    <font>
      <sz val="11"/>
      <color rgb="FF000000"/>
      <name val="Arial"/>
      <family val="2"/>
    </font>
    <font>
      <sz val="11"/>
      <color rgb="FF000000"/>
      <name val="Calibri"/>
      <family val="2"/>
    </font>
    <font>
      <sz val="11"/>
      <color rgb="FF000000"/>
      <name val="宋体"/>
      <family val="2"/>
    </font>
    <font>
      <b/>
      <sz val="11"/>
      <color rgb="FF333333"/>
      <name val="华文细黑"/>
      <family val="3"/>
      <charset val="134"/>
    </font>
  </fonts>
  <fills count="5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374370555742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96CAFF"/>
        <bgColor indexed="64"/>
      </patternFill>
    </fill>
    <fill>
      <patternFill patternType="solid">
        <fgColor rgb="FFE3D4BD"/>
        <bgColor indexed="64"/>
      </patternFill>
    </fill>
    <fill>
      <patternFill patternType="solid">
        <fgColor theme="0" tint="-0.14996795556505021"/>
        <bgColor indexed="64"/>
      </patternFill>
    </fill>
    <fill>
      <patternFill patternType="solid">
        <fgColor rgb="FFF3E3DA"/>
        <bgColor indexed="64"/>
      </patternFill>
    </fill>
    <fill>
      <patternFill patternType="solid">
        <fgColor rgb="FFFFD5D5"/>
        <bgColor indexed="64"/>
      </patternFill>
    </fill>
    <fill>
      <patternFill patternType="solid">
        <fgColor rgb="FFFCF7EC"/>
        <bgColor indexed="64"/>
      </patternFill>
    </fill>
    <fill>
      <patternFill patternType="solid">
        <fgColor rgb="FFB8DEDC"/>
        <bgColor indexed="64"/>
      </patternFill>
    </fill>
    <fill>
      <patternFill patternType="solid">
        <fgColor rgb="FFFFDBB7"/>
        <bgColor indexed="64"/>
      </patternFill>
    </fill>
    <fill>
      <patternFill patternType="solid">
        <fgColor rgb="FFFBD9F7"/>
        <bgColor indexed="64"/>
      </patternFill>
    </fill>
    <fill>
      <patternFill patternType="solid">
        <fgColor theme="4" tint="0.59996337778862885"/>
        <bgColor indexed="64"/>
      </patternFill>
    </fill>
    <fill>
      <patternFill patternType="solid">
        <fgColor theme="6"/>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medium">
        <color indexed="64"/>
      </left>
      <right style="double">
        <color rgb="FF3F3F3F"/>
      </right>
      <top style="medium">
        <color indexed="64"/>
      </top>
      <bottom/>
      <diagonal/>
    </border>
    <border>
      <left style="double">
        <color rgb="FF3F3F3F"/>
      </left>
      <right style="double">
        <color rgb="FF3F3F3F"/>
      </right>
      <top style="medium">
        <color indexed="64"/>
      </top>
      <bottom/>
      <diagonal/>
    </border>
    <border>
      <left style="double">
        <color rgb="FF3F3F3F"/>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FFFFFF"/>
      </left>
      <right style="medium">
        <color rgb="FFFFFFFF"/>
      </right>
      <top style="medium">
        <color rgb="FFFFFFFF"/>
      </top>
      <bottom style="medium">
        <color rgb="FFFFFFFF"/>
      </bottom>
      <diagonal/>
    </border>
  </borders>
  <cellStyleXfs count="37">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9"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6" fillId="0" borderId="0" applyFont="0" applyFill="0" applyBorder="0" applyAlignment="0" applyProtection="0">
      <alignment vertical="center"/>
    </xf>
    <xf numFmtId="0" fontId="257" fillId="20" borderId="0" applyNumberFormat="0" applyBorder="0" applyAlignment="0" applyProtection="0">
      <alignment vertical="center"/>
    </xf>
    <xf numFmtId="0" fontId="258" fillId="21" borderId="0" applyNumberFormat="0" applyBorder="0" applyAlignment="0" applyProtection="0">
      <alignment vertical="center"/>
    </xf>
    <xf numFmtId="0" fontId="259" fillId="22" borderId="0" applyNumberFormat="0" applyBorder="0" applyAlignment="0" applyProtection="0">
      <alignment vertical="center"/>
    </xf>
    <xf numFmtId="0" fontId="260" fillId="23" borderId="158" applyNumberFormat="0" applyAlignment="0" applyProtection="0">
      <alignment vertical="center"/>
    </xf>
    <xf numFmtId="0" fontId="261" fillId="24" borderId="159" applyNumberForma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63" fillId="27" borderId="0" applyNumberFormat="0" applyBorder="0" applyAlignment="0" applyProtection="0">
      <alignment vertical="center"/>
    </xf>
    <xf numFmtId="0" fontId="2" fillId="28"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63" fillId="35" borderId="0" applyNumberFormat="0" applyBorder="0" applyAlignment="0" applyProtection="0">
      <alignment vertical="center"/>
    </xf>
    <xf numFmtId="0" fontId="100" fillId="0" borderId="0">
      <alignment vertical="center"/>
    </xf>
    <xf numFmtId="9" fontId="169" fillId="0" borderId="0" applyFont="0" applyFill="0" applyBorder="0" applyAlignment="0" applyProtection="0">
      <alignment vertical="center"/>
    </xf>
    <xf numFmtId="0" fontId="57" fillId="0" borderId="0"/>
  </cellStyleXfs>
  <cellXfs count="411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9"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4"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0" xfId="0" applyFont="1">
      <alignment vertical="center"/>
    </xf>
    <xf numFmtId="0" fontId="170" fillId="0" borderId="1" xfId="12" applyFont="1" applyBorder="1" applyAlignment="1" applyProtection="1">
      <alignment horizontal="left" vertical="center" wrapText="1"/>
      <protection locked="0"/>
    </xf>
    <xf numFmtId="0" fontId="174" fillId="6" borderId="1" xfId="0" applyFont="1" applyFill="1" applyBorder="1" applyAlignment="1">
      <alignment horizontal="left" vertical="center" wrapText="1"/>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9" fillId="0" borderId="108"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1" fillId="0" borderId="0" xfId="5" applyFont="1">
      <alignment vertical="center"/>
    </xf>
    <xf numFmtId="0" fontId="100" fillId="0" borderId="0" xfId="0" applyFont="1" applyProtection="1">
      <alignment vertical="center"/>
      <protection locked="0"/>
    </xf>
    <xf numFmtId="0" fontId="210"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1" fillId="0" borderId="0" xfId="0" applyFont="1" applyAlignment="1">
      <alignment vertical="center"/>
    </xf>
    <xf numFmtId="0" fontId="138" fillId="0" borderId="0" xfId="0" applyFont="1" applyAlignment="1">
      <alignment vertical="center" wrapText="1"/>
    </xf>
    <xf numFmtId="0" fontId="212" fillId="0" borderId="0" xfId="0" applyFont="1">
      <alignment vertical="center"/>
    </xf>
    <xf numFmtId="0" fontId="213" fillId="0" borderId="0" xfId="0" applyFont="1">
      <alignment vertical="center"/>
    </xf>
    <xf numFmtId="0" fontId="214" fillId="0" borderId="0" xfId="0" applyFont="1" applyAlignment="1" applyProtection="1">
      <alignment vertical="center" wrapText="1"/>
      <protection locked="0"/>
    </xf>
    <xf numFmtId="0" fontId="138" fillId="0" borderId="0" xfId="0" applyFont="1" applyFill="1" applyAlignment="1">
      <alignment vertical="center" wrapText="1"/>
    </xf>
    <xf numFmtId="0" fontId="211"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5" fillId="5" borderId="0" xfId="0" applyFont="1" applyFill="1" applyProtection="1">
      <alignment vertical="center"/>
      <protection locked="0"/>
    </xf>
    <xf numFmtId="0" fontId="104" fillId="0" borderId="0" xfId="0" applyFont="1" applyProtection="1">
      <alignment vertical="center"/>
      <protection locked="0"/>
    </xf>
    <xf numFmtId="0" fontId="211"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1"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8"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8" fillId="0" borderId="0" xfId="0" applyFont="1" applyBorder="1" applyAlignment="1" applyProtection="1">
      <alignment horizontal="left" vertical="center"/>
    </xf>
    <xf numFmtId="0" fontId="226"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6" fillId="0" borderId="60" xfId="0" applyFont="1" applyBorder="1" applyAlignment="1" applyProtection="1">
      <alignment horizontal="justify" vertical="center" wrapText="1"/>
    </xf>
    <xf numFmtId="0" fontId="226" fillId="0" borderId="0" xfId="0" applyFont="1" applyBorder="1" applyAlignment="1" applyProtection="1">
      <alignment horizontal="right" vertical="center" wrapText="1"/>
    </xf>
    <xf numFmtId="0" fontId="226" fillId="0" borderId="54" xfId="0" applyFont="1" applyBorder="1" applyAlignment="1" applyProtection="1">
      <alignment horizontal="justify" vertical="center" wrapText="1"/>
    </xf>
    <xf numFmtId="0" fontId="227" fillId="0" borderId="0" xfId="0" applyFont="1" applyBorder="1" applyAlignment="1" applyProtection="1">
      <alignment horizontal="center" vertical="center" wrapText="1"/>
      <protection locked="0"/>
    </xf>
    <xf numFmtId="0" fontId="211"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9" fillId="0" borderId="0" xfId="0" applyFont="1" applyBorder="1" applyProtection="1">
      <alignment vertical="center"/>
      <protection locked="0"/>
    </xf>
    <xf numFmtId="0" fontId="230" fillId="0" borderId="0" xfId="0" applyFont="1" applyProtection="1">
      <alignment vertical="center"/>
    </xf>
    <xf numFmtId="0" fontId="209" fillId="0" borderId="0" xfId="0" applyFont="1" applyProtection="1">
      <alignment vertical="center"/>
    </xf>
    <xf numFmtId="0" fontId="217"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7" fillId="0" borderId="0" xfId="0" applyFont="1" applyProtection="1">
      <alignment vertical="center"/>
    </xf>
    <xf numFmtId="0" fontId="217" fillId="2" borderId="1" xfId="0" applyFont="1" applyFill="1" applyBorder="1" applyAlignment="1" applyProtection="1">
      <alignment horizontal="center" vertical="center" wrapText="1"/>
    </xf>
    <xf numFmtId="0" fontId="217" fillId="6" borderId="1" xfId="0" applyFont="1" applyFill="1" applyBorder="1" applyAlignment="1" applyProtection="1">
      <alignment horizontal="center" vertical="center" wrapText="1"/>
    </xf>
    <xf numFmtId="0" fontId="233" fillId="4" borderId="1" xfId="0" applyFont="1" applyFill="1" applyBorder="1" applyAlignment="1" applyProtection="1">
      <alignment horizontal="center" vertical="center"/>
    </xf>
    <xf numFmtId="0" fontId="234" fillId="0" borderId="1" xfId="0" applyFont="1" applyFill="1" applyBorder="1" applyAlignment="1" applyProtection="1">
      <alignment horizontal="center" vertical="center"/>
    </xf>
    <xf numFmtId="0" fontId="232"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5" fillId="0" borderId="0" xfId="0" applyFont="1" applyProtection="1">
      <alignment vertical="center"/>
    </xf>
    <xf numFmtId="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0" fontId="232"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2" fillId="6" borderId="0" xfId="0" applyFont="1" applyFill="1" applyAlignment="1" applyProtection="1">
      <alignment horizontal="center" vertical="center" wrapText="1"/>
    </xf>
    <xf numFmtId="0" fontId="232"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2"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2"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8"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9"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0" fillId="6" borderId="0" xfId="0" applyFont="1" applyFill="1" applyBorder="1" applyAlignment="1" applyProtection="1">
      <alignment vertical="center"/>
    </xf>
    <xf numFmtId="0" fontId="240"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9" fillId="6" borderId="1" xfId="0" applyFont="1" applyFill="1" applyBorder="1">
      <alignment vertical="center"/>
    </xf>
    <xf numFmtId="0" fontId="219"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5"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9"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3" borderId="126" xfId="16" applyFont="1" applyFill="1" applyBorder="1" applyAlignment="1" applyProtection="1">
      <alignment horizontal="left" vertical="center" wrapText="1"/>
    </xf>
    <xf numFmtId="0" fontId="151" fillId="13"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6" borderId="0" xfId="9" applyFont="1" applyFill="1" applyAlignment="1">
      <alignment horizontal="left" vertical="center"/>
    </xf>
    <xf numFmtId="0" fontId="104" fillId="16" borderId="0" xfId="10" applyFont="1" applyFill="1" applyAlignment="1" applyProtection="1">
      <alignment horizontal="left" vertical="center"/>
    </xf>
    <xf numFmtId="0" fontId="24" fillId="16" borderId="0" xfId="10" applyFont="1" applyFill="1" applyAlignment="1" applyProtection="1">
      <alignment horizontal="left" vertical="center"/>
    </xf>
    <xf numFmtId="0" fontId="108" fillId="16" borderId="121" xfId="9" applyFont="1" applyFill="1" applyBorder="1" applyAlignment="1">
      <alignment horizontal="left" vertical="center"/>
    </xf>
    <xf numFmtId="0" fontId="108" fillId="16" borderId="0" xfId="9" applyFont="1" applyFill="1" applyBorder="1" applyAlignment="1">
      <alignment horizontal="left" vertical="center"/>
    </xf>
    <xf numFmtId="0" fontId="152"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4"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pplyProtection="1">
      <alignment horizontal="left" vertical="center" wrapText="1"/>
    </xf>
    <xf numFmtId="186" fontId="152" fillId="14" borderId="0" xfId="9" applyNumberFormat="1" applyFont="1" applyFill="1" applyAlignment="1">
      <alignment horizontal="left" vertical="center"/>
    </xf>
    <xf numFmtId="0" fontId="151" fillId="12" borderId="125" xfId="9" applyFont="1" applyFill="1" applyBorder="1" applyAlignment="1" applyProtection="1">
      <alignment horizontal="left" vertical="center" wrapText="1"/>
    </xf>
    <xf numFmtId="0" fontId="151" fillId="14" borderId="126" xfId="9" applyFont="1" applyFill="1" applyBorder="1" applyAlignment="1" applyProtection="1">
      <alignment horizontal="left" vertical="center" wrapText="1"/>
    </xf>
    <xf numFmtId="0" fontId="152"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2"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3"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4" borderId="0" xfId="9" applyFont="1" applyFill="1" applyAlignment="1">
      <alignment horizontal="left" vertical="center"/>
    </xf>
    <xf numFmtId="0" fontId="151" fillId="13" borderId="130" xfId="9" applyFont="1" applyFill="1" applyBorder="1" applyAlignment="1" applyProtection="1">
      <alignment horizontal="left" vertical="center" wrapText="1"/>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86" fontId="108" fillId="12" borderId="123" xfId="9" applyNumberFormat="1" applyFont="1" applyFill="1" applyBorder="1" applyAlignment="1" applyProtection="1">
      <alignment horizontal="left" vertical="center" wrapText="1"/>
    </xf>
    <xf numFmtId="186" fontId="108" fillId="12" borderId="129" xfId="9" applyNumberFormat="1" applyFont="1" applyFill="1" applyBorder="1" applyAlignment="1" applyProtection="1">
      <alignment horizontal="left" vertical="center" wrapText="1"/>
    </xf>
    <xf numFmtId="0" fontId="151" fillId="12" borderId="126" xfId="9" applyFont="1" applyFill="1" applyBorder="1" applyAlignment="1" applyProtection="1">
      <alignment horizontal="left" vertical="center" wrapText="1"/>
    </xf>
    <xf numFmtId="0" fontId="151" fillId="12" borderId="130" xfId="9" applyFont="1" applyFill="1" applyBorder="1" applyAlignment="1" applyProtection="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2" borderId="132" xfId="9" applyFont="1" applyFill="1" applyBorder="1" applyAlignment="1" applyProtection="1">
      <alignment horizontal="left" vertical="center" wrapText="1"/>
    </xf>
    <xf numFmtId="0" fontId="151" fillId="12"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3" borderId="123" xfId="9" applyFont="1" applyFill="1" applyBorder="1" applyAlignment="1" applyProtection="1">
      <alignment horizontal="left" vertical="center" wrapText="1"/>
    </xf>
    <xf numFmtId="0" fontId="151" fillId="13"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pplyProtection="1">
      <alignment horizontal="left" vertical="center" wrapText="1"/>
    </xf>
    <xf numFmtId="0" fontId="105" fillId="13"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2" xfId="9" applyFont="1" applyFill="1" applyBorder="1" applyAlignment="1" applyProtection="1">
      <alignment horizontal="left" vertical="center" wrapText="1"/>
    </xf>
    <xf numFmtId="0" fontId="105" fillId="12"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3" borderId="137" xfId="9" applyFont="1" applyFill="1" applyBorder="1" applyAlignment="1" applyProtection="1">
      <alignment horizontal="left" vertical="center" wrapText="1"/>
    </xf>
    <xf numFmtId="0" fontId="151" fillId="13"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2" borderId="140" xfId="9" applyFont="1" applyFill="1" applyBorder="1" applyAlignment="1" applyProtection="1">
      <alignment horizontal="left" vertical="center" wrapText="1"/>
    </xf>
    <xf numFmtId="0" fontId="151" fillId="12" borderId="141" xfId="9" applyFont="1" applyFill="1" applyBorder="1" applyAlignment="1" applyProtection="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1" fillId="13" borderId="132" xfId="9" applyFont="1" applyFill="1" applyBorder="1" applyAlignment="1" applyProtection="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3" borderId="147" xfId="9" applyFont="1" applyFill="1" applyBorder="1" applyAlignment="1">
      <alignment horizontal="left" vertical="center" wrapText="1"/>
    </xf>
    <xf numFmtId="0" fontId="151" fillId="13" borderId="123"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3" borderId="148" xfId="9" applyFont="1" applyFill="1" applyBorder="1" applyAlignment="1">
      <alignment horizontal="left" vertical="center" wrapText="1"/>
    </xf>
    <xf numFmtId="0" fontId="151" fillId="13" borderId="126" xfId="9" applyFont="1" applyFill="1" applyBorder="1" applyAlignment="1">
      <alignment horizontal="left" vertical="center" wrapText="1"/>
    </xf>
    <xf numFmtId="0" fontId="151" fillId="12" borderId="149" xfId="9" applyFont="1" applyFill="1" applyBorder="1" applyAlignment="1">
      <alignment horizontal="left" vertical="center" wrapText="1"/>
    </xf>
    <xf numFmtId="0" fontId="151" fillId="12"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92"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92"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9" borderId="0" xfId="0" applyFont="1" applyFill="1" applyAlignment="1" applyProtection="1">
      <alignment horizontal="left" vertical="center"/>
    </xf>
    <xf numFmtId="10" fontId="51" fillId="19" borderId="0" xfId="0" applyNumberFormat="1" applyFont="1" applyFill="1" applyAlignment="1" applyProtection="1">
      <alignment horizontal="left" vertical="center"/>
    </xf>
    <xf numFmtId="0" fontId="51" fillId="19" borderId="0" xfId="0" applyFont="1" applyFill="1" applyAlignment="1" applyProtection="1">
      <alignment horizontal="left" vertical="center"/>
    </xf>
    <xf numFmtId="0" fontId="81" fillId="19" borderId="0" xfId="0" applyFont="1" applyFill="1" applyProtection="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pplyProtection="1">
      <alignment horizontal="center" vertical="center" wrapText="1"/>
    </xf>
    <xf numFmtId="0" fontId="51" fillId="19" borderId="1" xfId="0" applyFont="1" applyFill="1" applyBorder="1" applyAlignment="1" applyProtection="1">
      <alignment horizontal="center" vertical="center"/>
    </xf>
    <xf numFmtId="10" fontId="58" fillId="19" borderId="5" xfId="1" applyNumberFormat="1" applyFont="1" applyFill="1" applyBorder="1" applyAlignment="1" applyProtection="1">
      <alignment horizontal="center"/>
    </xf>
    <xf numFmtId="10" fontId="58" fillId="19" borderId="5" xfId="1" applyNumberFormat="1" applyFont="1" applyFill="1" applyBorder="1" applyAlignment="1" applyProtection="1">
      <alignment horizontal="center" vertical="center"/>
    </xf>
    <xf numFmtId="9" fontId="58" fillId="19" borderId="5" xfId="1" applyNumberFormat="1" applyFont="1" applyFill="1" applyBorder="1" applyAlignment="1" applyProtection="1">
      <alignment horizontal="center" vertical="center"/>
    </xf>
    <xf numFmtId="0" fontId="58" fillId="19" borderId="68" xfId="0" applyNumberFormat="1"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9"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52"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3"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3"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84" fontId="126" fillId="0" borderId="1" xfId="0" applyNumberFormat="1" applyFont="1" applyFill="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30"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7"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7"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7"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7"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7"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7"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7"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20" fillId="7" borderId="101" xfId="0" applyFont="1" applyFill="1" applyBorder="1" applyAlignment="1" applyProtection="1">
      <alignment vertical="center" wrapText="1"/>
      <protection locked="0"/>
    </xf>
    <xf numFmtId="0" fontId="220" fillId="7" borderId="101" xfId="0" applyNumberFormat="1" applyFont="1" applyFill="1" applyBorder="1" applyAlignment="1" applyProtection="1">
      <alignment vertical="center" wrapText="1"/>
      <protection locked="0"/>
    </xf>
    <xf numFmtId="0" fontId="220" fillId="7" borderId="102" xfId="0" applyFont="1" applyFill="1" applyBorder="1" applyAlignment="1" applyProtection="1">
      <alignment vertical="center" wrapText="1"/>
      <protection locked="0"/>
    </xf>
    <xf numFmtId="0" fontId="240" fillId="7" borderId="0" xfId="0" applyNumberFormat="1" applyFont="1" applyFill="1" applyAlignment="1" applyProtection="1">
      <alignment vertical="center"/>
      <protection locked="0"/>
    </xf>
    <xf numFmtId="0" fontId="240" fillId="7" borderId="0" xfId="0" applyFont="1" applyFill="1" applyAlignment="1" applyProtection="1">
      <alignment vertical="center"/>
      <protection locked="0"/>
    </xf>
    <xf numFmtId="0" fontId="240"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9"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9"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9"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9"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20" fillId="7" borderId="0" xfId="0" applyFont="1" applyFill="1" applyBorder="1" applyAlignment="1" applyProtection="1">
      <alignment vertical="center" wrapText="1"/>
      <protection locked="0"/>
    </xf>
    <xf numFmtId="0" fontId="220" fillId="7" borderId="0" xfId="0" applyNumberFormat="1" applyFont="1" applyFill="1" applyBorder="1" applyAlignment="1" applyProtection="1">
      <alignment vertical="center" wrapText="1"/>
      <protection locked="0"/>
    </xf>
    <xf numFmtId="0" fontId="220" fillId="7" borderId="35" xfId="0" applyNumberFormat="1" applyFont="1" applyFill="1" applyBorder="1" applyAlignment="1" applyProtection="1">
      <alignment vertical="center" wrapText="1"/>
      <protection locked="0"/>
    </xf>
    <xf numFmtId="0" fontId="240" fillId="7" borderId="0" xfId="0" applyFont="1" applyFill="1" applyAlignment="1" applyProtection="1">
      <alignment vertical="center" wrapText="1"/>
      <protection locked="0"/>
    </xf>
    <xf numFmtId="0" fontId="240"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70" fillId="6" borderId="1" xfId="12" applyFont="1" applyFill="1" applyBorder="1" applyAlignment="1" applyProtection="1">
      <alignment horizontal="left" vertical="center" wrapText="1"/>
    </xf>
    <xf numFmtId="0" fontId="169" fillId="0" borderId="0" xfId="12" applyAlignment="1" applyProtection="1">
      <alignment horizontal="left"/>
      <protection locked="0"/>
    </xf>
    <xf numFmtId="14" fontId="170" fillId="6" borderId="1" xfId="12" applyNumberFormat="1" applyFont="1" applyFill="1" applyBorder="1" applyAlignment="1" applyProtection="1">
      <alignment horizontal="left" vertical="center" wrapText="1"/>
    </xf>
    <xf numFmtId="0" fontId="169" fillId="6" borderId="1" xfId="12" applyFill="1" applyBorder="1" applyAlignment="1" applyProtection="1">
      <alignment horizontal="left" vertical="center"/>
    </xf>
    <xf numFmtId="0" fontId="170"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70" fillId="0" borderId="13" xfId="12" applyFont="1" applyFill="1" applyBorder="1" applyAlignment="1" applyProtection="1">
      <alignment horizontal="left" vertical="center" wrapText="1"/>
      <protection locked="0"/>
    </xf>
    <xf numFmtId="0" fontId="169" fillId="0" borderId="1" xfId="12" applyBorder="1" applyAlignment="1" applyProtection="1">
      <alignment horizontal="left"/>
      <protection locked="0"/>
    </xf>
    <xf numFmtId="0" fontId="170"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9" borderId="33" xfId="0" applyFont="1" applyFill="1" applyBorder="1" applyAlignment="1" applyProtection="1">
      <alignment horizontal="left" vertical="center"/>
    </xf>
    <xf numFmtId="0" fontId="51" fillId="19" borderId="32" xfId="0" applyFont="1" applyFill="1" applyBorder="1" applyAlignment="1" applyProtection="1">
      <alignment horizontal="left" vertical="center" wrapText="1"/>
    </xf>
    <xf numFmtId="10" fontId="51" fillId="19"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9"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9"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NumberFormat="1" applyFont="1" applyFill="1" applyBorder="1" applyAlignment="1" applyProtection="1">
      <alignment vertical="center" wrapText="1"/>
    </xf>
    <xf numFmtId="0" fontId="51" fillId="17"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9"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9" fillId="0" borderId="21" xfId="0" applyNumberFormat="1" applyFont="1" applyFill="1" applyBorder="1" applyAlignment="1" applyProtection="1">
      <alignment vertical="center" shrinkToFit="1"/>
      <protection locked="0"/>
    </xf>
    <xf numFmtId="0" fontId="179" fillId="0" borderId="24" xfId="0" applyFont="1" applyFill="1" applyBorder="1" applyAlignment="1" applyProtection="1">
      <alignment vertical="center" wrapText="1"/>
      <protection locked="0"/>
    </xf>
    <xf numFmtId="0" fontId="179"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9" fillId="0" borderId="79" xfId="0" applyFont="1" applyFill="1" applyBorder="1" applyAlignment="1" applyProtection="1">
      <alignment vertical="center" wrapText="1"/>
      <protection locked="0"/>
    </xf>
    <xf numFmtId="0" fontId="179"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3" borderId="0" xfId="0" applyFont="1" applyFill="1" applyProtection="1">
      <alignment vertical="center"/>
      <protection locked="0"/>
    </xf>
    <xf numFmtId="0" fontId="48" fillId="13" borderId="0" xfId="0" applyFont="1" applyFill="1" applyBorder="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pplyProtection="1">
      <alignment vertical="center" wrapText="1"/>
    </xf>
    <xf numFmtId="0" fontId="51" fillId="13" borderId="60" xfId="0" applyFont="1" applyFill="1" applyBorder="1" applyAlignment="1" applyProtection="1">
      <alignment horizontal="center" vertical="center" wrapText="1"/>
    </xf>
    <xf numFmtId="0" fontId="51" fillId="13" borderId="7" xfId="0" applyFont="1" applyFill="1" applyBorder="1" applyAlignment="1" applyProtection="1">
      <alignment vertical="center" wrapText="1"/>
    </xf>
    <xf numFmtId="0" fontId="51" fillId="13" borderId="1" xfId="0" applyNumberFormat="1" applyFont="1" applyFill="1" applyBorder="1" applyAlignment="1" applyProtection="1">
      <alignment horizontal="center" vertical="center" wrapText="1"/>
      <protection locked="0"/>
    </xf>
    <xf numFmtId="0" fontId="51" fillId="13" borderId="78"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xf>
    <xf numFmtId="0" fontId="51" fillId="13" borderId="0" xfId="0" applyFont="1" applyFill="1" applyAlignment="1" applyProtection="1">
      <alignment vertical="center"/>
      <protection locked="0"/>
    </xf>
    <xf numFmtId="0" fontId="51" fillId="13" borderId="0" xfId="0" applyFont="1" applyFill="1" applyAlignment="1" applyProtection="1">
      <alignment horizontal="center" vertical="center"/>
      <protection locked="0"/>
    </xf>
    <xf numFmtId="0" fontId="48" fillId="13" borderId="0" xfId="0" applyFont="1" applyFill="1" applyAlignment="1" applyProtection="1">
      <alignment vertical="center"/>
      <protection locked="0"/>
    </xf>
    <xf numFmtId="0" fontId="48" fillId="13" borderId="0" xfId="0" applyFont="1" applyFill="1" applyBorder="1" applyAlignment="1" applyProtection="1">
      <alignment vertical="center"/>
      <protection locked="0"/>
    </xf>
    <xf numFmtId="179" fontId="51" fillId="13" borderId="0" xfId="0" applyNumberFormat="1" applyFont="1" applyFill="1" applyAlignment="1" applyProtection="1">
      <alignment vertical="center"/>
      <protection locked="0"/>
    </xf>
    <xf numFmtId="179" fontId="48" fillId="13" borderId="0" xfId="0" applyNumberFormat="1" applyFont="1" applyFill="1" applyAlignment="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20" fillId="13" borderId="0" xfId="0" applyFont="1" applyFill="1" applyAlignment="1" applyProtection="1">
      <alignment vertical="center"/>
      <protection locked="0"/>
    </xf>
    <xf numFmtId="0" fontId="51" fillId="13" borderId="0" xfId="0" applyFont="1" applyFill="1" applyAlignment="1" applyProtection="1">
      <alignment vertical="center"/>
    </xf>
    <xf numFmtId="181" fontId="104" fillId="13" borderId="0" xfId="0" applyNumberFormat="1" applyFont="1" applyFill="1" applyAlignment="1" applyProtection="1">
      <alignment horizontal="center" vertical="center"/>
    </xf>
    <xf numFmtId="179" fontId="106" fillId="13" borderId="0" xfId="0" applyNumberFormat="1" applyFont="1" applyFill="1" applyAlignment="1" applyProtection="1">
      <alignment vertical="center"/>
      <protection locked="0"/>
    </xf>
    <xf numFmtId="0" fontId="48" fillId="13" borderId="0" xfId="0" applyFont="1" applyFill="1" applyAlignment="1" applyProtection="1">
      <alignment vertical="center"/>
    </xf>
    <xf numFmtId="0" fontId="170" fillId="13" borderId="0" xfId="12" applyFont="1" applyFill="1" applyBorder="1" applyAlignment="1" applyProtection="1">
      <alignment horizontal="left" vertical="center" wrapText="1"/>
      <protection locked="0"/>
    </xf>
    <xf numFmtId="0" fontId="169" fillId="13" borderId="0" xfId="12" applyFill="1" applyBorder="1" applyAlignment="1" applyProtection="1">
      <alignment horizontal="left"/>
      <protection locked="0"/>
    </xf>
    <xf numFmtId="0" fontId="169" fillId="13" borderId="0" xfId="12" applyFill="1" applyAlignment="1" applyProtection="1">
      <alignment horizontal="left"/>
      <protection locked="0"/>
    </xf>
    <xf numFmtId="0" fontId="192"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3" borderId="0" xfId="0" applyFont="1" applyFill="1">
      <alignment vertical="center"/>
    </xf>
    <xf numFmtId="0" fontId="219" fillId="13" borderId="0" xfId="0" applyFont="1" applyFill="1" applyBorder="1">
      <alignment vertical="center"/>
    </xf>
    <xf numFmtId="0" fontId="104" fillId="13" borderId="0" xfId="0" applyFont="1" applyFill="1" applyBorder="1">
      <alignment vertical="center"/>
    </xf>
    <xf numFmtId="0" fontId="104" fillId="13" borderId="47" xfId="0" applyFont="1" applyFill="1" applyBorder="1">
      <alignment vertical="center"/>
    </xf>
    <xf numFmtId="0" fontId="104" fillId="13" borderId="56" xfId="0" applyFont="1" applyFill="1" applyBorder="1" applyProtection="1">
      <alignment vertical="center"/>
    </xf>
    <xf numFmtId="0" fontId="61" fillId="13" borderId="18" xfId="1" applyFont="1" applyFill="1" applyBorder="1" applyAlignment="1" applyProtection="1">
      <alignment vertical="center"/>
    </xf>
    <xf numFmtId="181" fontId="61" fillId="13" borderId="0" xfId="0" applyNumberFormat="1" applyFont="1" applyFill="1" applyBorder="1" applyAlignment="1" applyProtection="1">
      <alignment vertical="center"/>
      <protection locked="0"/>
    </xf>
    <xf numFmtId="0" fontId="61"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horizontal="center" vertical="center"/>
      <protection locked="0"/>
    </xf>
    <xf numFmtId="181" fontId="71" fillId="13" borderId="0" xfId="0" applyNumberFormat="1" applyFont="1" applyFill="1" applyBorder="1" applyAlignment="1" applyProtection="1">
      <alignment horizontal="center" vertical="center" wrapText="1"/>
      <protection locked="0"/>
    </xf>
    <xf numFmtId="0" fontId="7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horizontal="center" vertical="center" wrapText="1"/>
      <protection locked="0"/>
    </xf>
    <xf numFmtId="181" fontId="72"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protection locked="0"/>
    </xf>
    <xf numFmtId="181" fontId="55" fillId="13" borderId="0" xfId="0" applyNumberFormat="1" applyFont="1" applyFill="1" applyBorder="1" applyAlignment="1" applyProtection="1">
      <alignment vertical="center" wrapText="1"/>
      <protection locked="0"/>
    </xf>
    <xf numFmtId="0" fontId="55" fillId="13" borderId="0" xfId="0" applyFont="1" applyFill="1" applyAlignment="1" applyProtection="1">
      <alignment horizontal="center" vertical="center"/>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Border="1" applyAlignment="1" applyProtection="1">
      <alignment vertical="center"/>
      <protection locked="0"/>
    </xf>
    <xf numFmtId="0" fontId="66" fillId="13" borderId="0" xfId="0" applyFont="1" applyFill="1" applyBorder="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Alignment="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Border="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NumberFormat="1" applyFont="1" applyFill="1" applyBorder="1" applyAlignment="1" applyProtection="1">
      <alignment horizontal="center" vertical="center" wrapText="1"/>
      <protection locked="0"/>
    </xf>
    <xf numFmtId="0" fontId="72"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Alignment="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Border="1" applyAlignment="1" applyProtection="1">
      <alignment horizontal="center" vertical="center" wrapText="1"/>
      <protection locked="0"/>
    </xf>
    <xf numFmtId="0" fontId="55" fillId="13"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49" fontId="48" fillId="13" borderId="0" xfId="0" applyNumberFormat="1" applyFont="1" applyFill="1" applyBorder="1" applyAlignment="1" applyProtection="1">
      <alignment horizontal="center" vertical="center"/>
      <protection locked="0"/>
    </xf>
    <xf numFmtId="0" fontId="104" fillId="13" borderId="0" xfId="0" applyFont="1" applyFill="1" applyBorder="1" applyAlignment="1" applyProtection="1">
      <alignment vertical="center"/>
      <protection locked="0"/>
    </xf>
    <xf numFmtId="0" fontId="48" fillId="13" borderId="0" xfId="0"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3" borderId="0" xfId="0" applyFont="1" applyFill="1" applyProtection="1">
      <alignment vertical="center"/>
      <protection locked="0"/>
    </xf>
    <xf numFmtId="0" fontId="132" fillId="13"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3" borderId="0" xfId="0" applyFont="1" applyFill="1" applyAlignment="1" applyProtection="1">
      <alignment vertical="center"/>
    </xf>
    <xf numFmtId="0" fontId="106" fillId="13" borderId="0" xfId="0" applyFont="1" applyFill="1" applyAlignment="1" applyProtection="1">
      <alignment vertical="center"/>
    </xf>
    <xf numFmtId="0" fontId="255" fillId="13" borderId="0" xfId="0" applyFont="1" applyFill="1" applyAlignment="1" applyProtection="1">
      <alignment horizontal="left" vertical="center"/>
    </xf>
    <xf numFmtId="0" fontId="106" fillId="13" borderId="0" xfId="0" applyFont="1" applyFill="1" applyAlignment="1" applyProtection="1">
      <alignment horizontal="left" vertical="center"/>
    </xf>
    <xf numFmtId="0" fontId="120" fillId="13" borderId="0" xfId="0" applyFont="1" applyFill="1" applyAlignment="1" applyProtection="1">
      <alignment vertical="center"/>
    </xf>
    <xf numFmtId="0" fontId="254" fillId="13" borderId="0" xfId="0" applyFont="1" applyFill="1" applyAlignment="1" applyProtection="1">
      <alignment vertical="center"/>
    </xf>
    <xf numFmtId="0" fontId="131" fillId="13" borderId="0" xfId="0" applyFont="1" applyFill="1" applyAlignment="1" applyProtection="1">
      <alignment horizontal="left" vertical="center"/>
    </xf>
    <xf numFmtId="0" fontId="49" fillId="13"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2"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00" fillId="0" borderId="0" xfId="0" applyFont="1">
      <alignment vertical="center"/>
    </xf>
    <xf numFmtId="0" fontId="100" fillId="5" borderId="0" xfId="0" applyFont="1" applyFill="1">
      <alignment vertical="center"/>
    </xf>
    <xf numFmtId="0" fontId="0" fillId="5" borderId="0" xfId="0" applyFill="1">
      <alignment vertical="center"/>
    </xf>
    <xf numFmtId="14" fontId="0" fillId="0" borderId="0" xfId="0" applyNumberFormat="1">
      <alignment vertical="center"/>
    </xf>
    <xf numFmtId="0" fontId="169" fillId="0" borderId="0" xfId="12"/>
    <xf numFmtId="176" fontId="100" fillId="0" borderId="1" xfId="12" applyNumberFormat="1" applyFont="1" applyFill="1" applyBorder="1" applyAlignment="1"/>
    <xf numFmtId="176" fontId="100" fillId="0" borderId="1" xfId="12" applyNumberFormat="1" applyFont="1" applyFill="1" applyBorder="1" applyAlignment="1">
      <alignment horizontal="center" vertical="center" wrapText="1"/>
    </xf>
    <xf numFmtId="176" fontId="100" fillId="0" borderId="1" xfId="12" applyNumberFormat="1" applyFont="1" applyFill="1" applyBorder="1" applyAlignment="1">
      <alignment horizontal="center" vertical="center"/>
    </xf>
    <xf numFmtId="0" fontId="100" fillId="0" borderId="3" xfId="12" applyFont="1" applyFill="1" applyBorder="1" applyAlignment="1">
      <alignment horizontal="center" vertical="center"/>
    </xf>
    <xf numFmtId="0" fontId="100" fillId="0" borderId="0" xfId="12" applyFont="1" applyFill="1" applyBorder="1" applyAlignment="1">
      <alignment horizontal="center" vertical="center"/>
    </xf>
    <xf numFmtId="0" fontId="259" fillId="22" borderId="1" xfId="20" applyBorder="1" applyAlignment="1">
      <alignment horizontal="center" vertical="center"/>
    </xf>
    <xf numFmtId="0" fontId="2" fillId="25" borderId="1" xfId="23" applyBorder="1" applyAlignment="1">
      <alignment horizontal="center" vertical="center" wrapText="1"/>
    </xf>
    <xf numFmtId="0" fontId="258" fillId="21" borderId="1" xfId="19" applyBorder="1" applyAlignment="1">
      <alignment vertical="center" wrapText="1"/>
    </xf>
    <xf numFmtId="0" fontId="2" fillId="30" borderId="1" xfId="28" applyBorder="1" applyAlignment="1">
      <alignment vertical="center" wrapText="1"/>
    </xf>
    <xf numFmtId="0" fontId="169" fillId="0" borderId="1" xfId="12" applyBorder="1" applyAlignment="1">
      <alignment vertical="center" wrapText="1"/>
    </xf>
    <xf numFmtId="0" fontId="169" fillId="36" borderId="1" xfId="12" applyFill="1" applyBorder="1" applyAlignment="1">
      <alignment horizontal="center" vertical="center"/>
    </xf>
    <xf numFmtId="0" fontId="257" fillId="20" borderId="1" xfId="18" applyBorder="1" applyAlignment="1">
      <alignment horizontal="center" vertical="center"/>
    </xf>
    <xf numFmtId="179" fontId="257" fillId="20" borderId="3" xfId="18" applyNumberFormat="1" applyBorder="1" applyAlignment="1">
      <alignment horizontal="center" vertical="center"/>
    </xf>
    <xf numFmtId="0" fontId="259" fillId="22" borderId="1" xfId="20" applyBorder="1" applyAlignment="1"/>
    <xf numFmtId="0" fontId="169" fillId="0" borderId="1" xfId="12" applyBorder="1"/>
    <xf numFmtId="176" fontId="169" fillId="8" borderId="1" xfId="12" applyNumberFormat="1" applyFill="1" applyBorder="1" applyAlignment="1">
      <alignment horizontal="center" vertical="center"/>
    </xf>
    <xf numFmtId="176" fontId="100" fillId="5" borderId="1" xfId="12" applyNumberFormat="1" applyFont="1" applyFill="1" applyBorder="1" applyAlignment="1"/>
    <xf numFmtId="2" fontId="257" fillId="20" borderId="1" xfId="18" applyNumberFormat="1" applyBorder="1" applyAlignment="1">
      <alignment horizontal="center" vertical="center"/>
    </xf>
    <xf numFmtId="176" fontId="257" fillId="20" borderId="1" xfId="18" applyNumberFormat="1" applyBorder="1" applyAlignment="1">
      <alignment horizontal="center" vertical="center"/>
    </xf>
    <xf numFmtId="179" fontId="2" fillId="34" borderId="3" xfId="32" applyNumberFormat="1" applyBorder="1" applyAlignment="1">
      <alignment horizontal="center" vertical="center"/>
    </xf>
    <xf numFmtId="176" fontId="169" fillId="0" borderId="0" xfId="12" applyNumberFormat="1"/>
    <xf numFmtId="176" fontId="169" fillId="36" borderId="1" xfId="12" applyNumberFormat="1" applyFill="1" applyBorder="1" applyAlignment="1">
      <alignment horizontal="center" vertical="center"/>
    </xf>
    <xf numFmtId="179" fontId="257" fillId="20" borderId="1" xfId="18" applyNumberFormat="1" applyBorder="1" applyAlignment="1">
      <alignment horizontal="center" vertical="center"/>
    </xf>
    <xf numFmtId="186" fontId="257" fillId="20" borderId="1" xfId="18" applyNumberFormat="1" applyBorder="1" applyAlignment="1">
      <alignment horizontal="center" vertical="center"/>
    </xf>
    <xf numFmtId="0" fontId="2" fillId="34" borderId="3" xfId="32" applyBorder="1" applyAlignment="1">
      <alignment horizontal="center" vertical="center"/>
    </xf>
    <xf numFmtId="0" fontId="257" fillId="20" borderId="0" xfId="18" applyAlignment="1"/>
    <xf numFmtId="0" fontId="100" fillId="0" borderId="1" xfId="34" applyBorder="1">
      <alignment vertical="center"/>
    </xf>
    <xf numFmtId="0" fontId="2" fillId="30" borderId="1" xfId="28" applyBorder="1" applyAlignment="1"/>
    <xf numFmtId="176" fontId="169" fillId="5" borderId="1" xfId="12" applyNumberFormat="1" applyFill="1" applyBorder="1" applyAlignment="1">
      <alignment horizontal="center" vertical="center"/>
    </xf>
    <xf numFmtId="0" fontId="257" fillId="20" borderId="3" xfId="18" applyBorder="1" applyAlignment="1">
      <alignment horizontal="center" vertical="center"/>
    </xf>
    <xf numFmtId="0" fontId="257" fillId="20" borderId="1" xfId="18" applyBorder="1" applyAlignment="1">
      <alignment horizontal="center"/>
    </xf>
    <xf numFmtId="0" fontId="257" fillId="20" borderId="1" xfId="18" applyBorder="1" applyAlignment="1"/>
    <xf numFmtId="0" fontId="257" fillId="20" borderId="3" xfId="18" applyBorder="1" applyAlignment="1"/>
    <xf numFmtId="0" fontId="264" fillId="36" borderId="1" xfId="12" applyFont="1" applyFill="1" applyBorder="1" applyAlignment="1">
      <alignment horizontal="center" vertical="center"/>
    </xf>
    <xf numFmtId="176" fontId="264" fillId="36" borderId="1" xfId="12" applyNumberFormat="1" applyFont="1" applyFill="1" applyBorder="1" applyAlignment="1">
      <alignment horizontal="center" vertical="center"/>
    </xf>
    <xf numFmtId="0" fontId="100" fillId="0" borderId="1" xfId="34" applyBorder="1" applyAlignment="1">
      <alignment vertical="top" wrapText="1"/>
    </xf>
    <xf numFmtId="176" fontId="257" fillId="20" borderId="1" xfId="18" applyNumberFormat="1" applyBorder="1" applyAlignment="1">
      <alignment horizontal="center" vertical="center" wrapText="1"/>
    </xf>
    <xf numFmtId="0" fontId="257" fillId="20" borderId="1" xfId="18" applyBorder="1" applyAlignment="1">
      <alignment horizontal="center" vertical="center" wrapText="1"/>
    </xf>
    <xf numFmtId="179" fontId="265" fillId="0" borderId="0" xfId="12" applyNumberFormat="1" applyFont="1"/>
    <xf numFmtId="0" fontId="258" fillId="21" borderId="1" xfId="19" applyBorder="1" applyAlignment="1"/>
    <xf numFmtId="176" fontId="100" fillId="0" borderId="1" xfId="12" applyNumberFormat="1" applyFont="1" applyFill="1" applyBorder="1" applyAlignment="1">
      <alignment horizontal="center" vertical="top" wrapText="1"/>
    </xf>
    <xf numFmtId="197" fontId="266" fillId="20" borderId="24" xfId="18" applyNumberFormat="1" applyFont="1" applyBorder="1" applyAlignment="1">
      <alignment horizontal="center" vertical="center"/>
    </xf>
    <xf numFmtId="176" fontId="264" fillId="5" borderId="1" xfId="12" applyNumberFormat="1" applyFont="1" applyFill="1" applyBorder="1" applyAlignment="1">
      <alignment horizontal="center" vertical="center"/>
    </xf>
    <xf numFmtId="197" fontId="257" fillId="37" borderId="24" xfId="18" applyNumberFormat="1" applyFill="1" applyBorder="1" applyAlignment="1">
      <alignment horizontal="center" vertical="center"/>
    </xf>
    <xf numFmtId="186" fontId="264" fillId="5" borderId="1" xfId="12" applyNumberFormat="1" applyFont="1" applyFill="1" applyBorder="1" applyAlignment="1">
      <alignment horizontal="center" vertical="center"/>
    </xf>
    <xf numFmtId="197" fontId="257" fillId="20" borderId="3" xfId="18" applyNumberFormat="1" applyBorder="1" applyAlignment="1">
      <alignment horizontal="center" vertical="center"/>
    </xf>
    <xf numFmtId="186" fontId="169" fillId="36" borderId="1" xfId="12" applyNumberFormat="1" applyFill="1" applyBorder="1" applyAlignment="1">
      <alignment horizontal="center" vertical="center"/>
    </xf>
    <xf numFmtId="0" fontId="2" fillId="25" borderId="1" xfId="23" applyBorder="1" applyAlignment="1"/>
    <xf numFmtId="186" fontId="264" fillId="36" borderId="1" xfId="12" applyNumberFormat="1" applyFont="1" applyFill="1" applyBorder="1" applyAlignment="1">
      <alignment horizontal="center" vertical="center"/>
    </xf>
    <xf numFmtId="1" fontId="169" fillId="0" borderId="0" xfId="12" applyNumberFormat="1"/>
    <xf numFmtId="186" fontId="264" fillId="8" borderId="1" xfId="12" applyNumberFormat="1" applyFont="1" applyFill="1" applyBorder="1" applyAlignment="1">
      <alignment horizontal="center" vertical="center"/>
    </xf>
    <xf numFmtId="186" fontId="169" fillId="0" borderId="0" xfId="12" applyNumberFormat="1"/>
    <xf numFmtId="0" fontId="169" fillId="36" borderId="0" xfId="12" applyFill="1" applyBorder="1" applyAlignment="1">
      <alignment horizontal="center" vertical="center"/>
    </xf>
    <xf numFmtId="0" fontId="264" fillId="36" borderId="0" xfId="12" applyFont="1" applyFill="1" applyBorder="1" applyAlignment="1">
      <alignment horizontal="center" vertical="center"/>
    </xf>
    <xf numFmtId="186" fontId="266" fillId="36" borderId="0" xfId="12" applyNumberFormat="1" applyFont="1" applyFill="1" applyBorder="1" applyAlignment="1">
      <alignment horizontal="center" vertical="center"/>
    </xf>
    <xf numFmtId="176" fontId="266" fillId="20" borderId="1" xfId="18" applyNumberFormat="1" applyFont="1" applyBorder="1" applyAlignment="1">
      <alignment horizontal="center" vertical="center"/>
    </xf>
    <xf numFmtId="0" fontId="259" fillId="7" borderId="1" xfId="20" applyFill="1" applyBorder="1" applyAlignment="1">
      <alignment horizontal="center"/>
    </xf>
    <xf numFmtId="179" fontId="266" fillId="20" borderId="1" xfId="18" applyNumberFormat="1" applyFont="1" applyBorder="1" applyAlignment="1">
      <alignment horizontal="center" vertical="center"/>
    </xf>
    <xf numFmtId="0" fontId="266" fillId="20" borderId="1" xfId="18" applyFont="1" applyBorder="1" applyAlignment="1">
      <alignment horizontal="center" vertical="center" wrapText="1"/>
    </xf>
    <xf numFmtId="186" fontId="266" fillId="20" borderId="1" xfId="18" applyNumberFormat="1" applyFont="1" applyBorder="1" applyAlignment="1">
      <alignment horizontal="center" vertical="center"/>
    </xf>
    <xf numFmtId="0" fontId="266" fillId="20" borderId="1" xfId="18" applyFont="1" applyBorder="1" applyAlignment="1">
      <alignment horizontal="center" vertical="center"/>
    </xf>
    <xf numFmtId="176" fontId="266" fillId="0" borderId="1" xfId="12" applyNumberFormat="1" applyFont="1" applyFill="1" applyBorder="1" applyAlignment="1">
      <alignment horizontal="center" vertical="center"/>
    </xf>
    <xf numFmtId="0" fontId="259" fillId="22" borderId="1" xfId="20" applyBorder="1" applyAlignment="1">
      <alignment horizontal="center"/>
    </xf>
    <xf numFmtId="179" fontId="259" fillId="22" borderId="1" xfId="20" applyNumberFormat="1" applyBorder="1" applyAlignment="1">
      <alignment horizontal="center" vertical="center"/>
    </xf>
    <xf numFmtId="179" fontId="259" fillId="22" borderId="1" xfId="20" applyNumberFormat="1" applyBorder="1" applyAlignment="1"/>
    <xf numFmtId="186" fontId="259" fillId="22" borderId="1" xfId="20" applyNumberFormat="1" applyBorder="1" applyAlignment="1"/>
    <xf numFmtId="0" fontId="259" fillId="22" borderId="3" xfId="20" applyBorder="1" applyAlignment="1"/>
    <xf numFmtId="10" fontId="259" fillId="22" borderId="1" xfId="35" applyNumberFormat="1" applyFont="1" applyFill="1" applyBorder="1" applyAlignment="1"/>
    <xf numFmtId="0" fontId="169" fillId="0" borderId="1" xfId="12" applyFill="1" applyBorder="1"/>
    <xf numFmtId="0" fontId="100" fillId="0" borderId="5" xfId="12" applyFont="1" applyFill="1" applyBorder="1"/>
    <xf numFmtId="0" fontId="100" fillId="0" borderId="1" xfId="12" applyFont="1" applyFill="1" applyBorder="1"/>
    <xf numFmtId="0" fontId="169" fillId="0" borderId="5" xfId="12" applyFill="1" applyBorder="1"/>
    <xf numFmtId="176" fontId="257" fillId="20" borderId="1" xfId="18" applyNumberFormat="1" applyBorder="1" applyAlignment="1">
      <alignment horizontal="center"/>
    </xf>
    <xf numFmtId="176" fontId="257" fillId="8" borderId="1" xfId="18" applyNumberFormat="1" applyFill="1" applyBorder="1" applyAlignment="1">
      <alignment horizontal="center" vertical="center"/>
    </xf>
    <xf numFmtId="0" fontId="169" fillId="0" borderId="1" xfId="12" applyFont="1" applyFill="1" applyBorder="1"/>
    <xf numFmtId="0" fontId="169" fillId="0" borderId="0" xfId="12" applyFill="1"/>
    <xf numFmtId="0" fontId="100" fillId="0" borderId="1" xfId="12" applyFont="1" applyFill="1" applyBorder="1" applyAlignment="1"/>
    <xf numFmtId="0" fontId="100" fillId="0" borderId="0" xfId="12" applyFont="1" applyFill="1"/>
    <xf numFmtId="0" fontId="100" fillId="0" borderId="0" xfId="12" applyFont="1" applyFill="1" applyBorder="1"/>
    <xf numFmtId="2" fontId="257" fillId="20" borderId="1" xfId="18" applyNumberFormat="1" applyBorder="1" applyAlignment="1">
      <alignment horizontal="center" vertical="center" wrapText="1"/>
    </xf>
    <xf numFmtId="176" fontId="100" fillId="0" borderId="40" xfId="12" applyNumberFormat="1" applyFont="1" applyFill="1" applyBorder="1" applyAlignment="1"/>
    <xf numFmtId="176" fontId="100" fillId="0" borderId="17" xfId="12" applyNumberFormat="1" applyFont="1" applyFill="1" applyBorder="1" applyAlignment="1">
      <alignment horizontal="center" vertical="center" wrapText="1"/>
    </xf>
    <xf numFmtId="176" fontId="100" fillId="0" borderId="28" xfId="12" applyNumberFormat="1" applyFont="1" applyFill="1" applyBorder="1" applyAlignment="1">
      <alignment horizontal="center" vertical="center" wrapText="1"/>
    </xf>
    <xf numFmtId="176" fontId="100" fillId="0" borderId="9" xfId="12" applyNumberFormat="1" applyFont="1" applyFill="1" applyBorder="1" applyAlignment="1">
      <alignment horizontal="center" vertical="center" wrapText="1"/>
    </xf>
    <xf numFmtId="176" fontId="100" fillId="0" borderId="17" xfId="12" applyNumberFormat="1" applyFont="1" applyFill="1" applyBorder="1" applyAlignment="1">
      <alignment horizontal="center" vertical="center"/>
    </xf>
    <xf numFmtId="176" fontId="100" fillId="0" borderId="62" xfId="12" applyNumberFormat="1" applyFont="1" applyFill="1" applyBorder="1" applyAlignment="1">
      <alignment horizontal="center" vertical="center"/>
    </xf>
    <xf numFmtId="0" fontId="100" fillId="0" borderId="1" xfId="12" applyFont="1" applyFill="1" applyBorder="1" applyAlignment="1">
      <alignment horizontal="center" vertical="center"/>
    </xf>
    <xf numFmtId="179" fontId="266" fillId="7" borderId="1" xfId="19" applyNumberFormat="1" applyFont="1" applyFill="1" applyBorder="1" applyAlignment="1">
      <alignment horizontal="center" vertical="center"/>
    </xf>
    <xf numFmtId="0" fontId="266" fillId="7" borderId="1" xfId="19" applyFont="1" applyFill="1" applyBorder="1" applyAlignment="1">
      <alignment horizontal="center" vertical="center"/>
    </xf>
    <xf numFmtId="186" fontId="266" fillId="7" borderId="1" xfId="19" applyNumberFormat="1" applyFont="1" applyFill="1" applyBorder="1" applyAlignment="1">
      <alignment horizontal="center" vertical="center"/>
    </xf>
    <xf numFmtId="176" fontId="266" fillId="7" borderId="24" xfId="19" applyNumberFormat="1" applyFont="1" applyFill="1" applyBorder="1" applyAlignment="1">
      <alignment horizontal="center" vertical="center"/>
    </xf>
    <xf numFmtId="0" fontId="266" fillId="34" borderId="1" xfId="32" applyFont="1" applyBorder="1" applyAlignment="1">
      <alignment horizontal="center" vertical="center"/>
    </xf>
    <xf numFmtId="0" fontId="266" fillId="38" borderId="0" xfId="19" applyFont="1" applyFill="1" applyAlignment="1"/>
    <xf numFmtId="0" fontId="266" fillId="22" borderId="1" xfId="20" applyFont="1" applyBorder="1" applyAlignment="1"/>
    <xf numFmtId="0" fontId="266" fillId="25" borderId="1" xfId="23" applyFont="1" applyBorder="1" applyAlignment="1"/>
    <xf numFmtId="0" fontId="266" fillId="21" borderId="1" xfId="19" applyFont="1" applyBorder="1" applyAlignment="1"/>
    <xf numFmtId="0" fontId="266" fillId="0" borderId="1" xfId="34" applyFont="1" applyBorder="1">
      <alignment vertical="center"/>
    </xf>
    <xf numFmtId="176" fontId="267" fillId="8" borderId="1" xfId="12" applyNumberFormat="1" applyFont="1" applyFill="1" applyBorder="1" applyAlignment="1">
      <alignment horizontal="center" vertical="center"/>
    </xf>
    <xf numFmtId="176" fontId="258" fillId="21" borderId="1" xfId="19" applyNumberFormat="1" applyBorder="1" applyAlignment="1">
      <alignment horizontal="center" vertical="center"/>
    </xf>
    <xf numFmtId="179" fontId="264" fillId="7" borderId="1" xfId="19" applyNumberFormat="1" applyFont="1" applyFill="1" applyBorder="1" applyAlignment="1">
      <alignment horizontal="center" vertical="center"/>
    </xf>
    <xf numFmtId="176" fontId="264" fillId="7" borderId="1" xfId="19" applyNumberFormat="1" applyFont="1" applyFill="1" applyBorder="1" applyAlignment="1">
      <alignment horizontal="center" vertical="center"/>
    </xf>
    <xf numFmtId="186" fontId="264" fillId="7" borderId="1" xfId="19" applyNumberFormat="1" applyFont="1" applyFill="1" applyBorder="1" applyAlignment="1">
      <alignment horizontal="center" vertical="center"/>
    </xf>
    <xf numFmtId="176" fontId="100" fillId="7" borderId="24" xfId="12" applyNumberFormat="1" applyFont="1" applyFill="1" applyBorder="1" applyAlignment="1">
      <alignment horizontal="center" vertical="center"/>
    </xf>
    <xf numFmtId="0" fontId="258" fillId="21" borderId="1" xfId="19" applyBorder="1" applyAlignment="1">
      <alignment horizontal="center" vertical="center"/>
    </xf>
    <xf numFmtId="0" fontId="169" fillId="7" borderId="0" xfId="12" applyFill="1"/>
    <xf numFmtId="0" fontId="169" fillId="36" borderId="5" xfId="12" applyFill="1" applyBorder="1" applyAlignment="1">
      <alignment horizontal="center" vertical="center"/>
    </xf>
    <xf numFmtId="0" fontId="169" fillId="36" borderId="54" xfId="12" applyFill="1" applyBorder="1" applyAlignment="1">
      <alignment horizontal="center" vertical="center"/>
    </xf>
    <xf numFmtId="0" fontId="169" fillId="36" borderId="3" xfId="12" applyFill="1" applyBorder="1" applyAlignment="1">
      <alignment horizontal="center" vertical="center"/>
    </xf>
    <xf numFmtId="0" fontId="264" fillId="7" borderId="1" xfId="19" applyFont="1" applyFill="1" applyBorder="1" applyAlignment="1">
      <alignment horizontal="center" vertical="center"/>
    </xf>
    <xf numFmtId="176" fontId="2" fillId="34" borderId="1" xfId="32" applyNumberFormat="1" applyBorder="1" applyAlignment="1">
      <alignment horizontal="center" vertical="center"/>
    </xf>
    <xf numFmtId="0" fontId="258" fillId="38" borderId="0" xfId="19" applyFill="1" applyAlignment="1"/>
    <xf numFmtId="0" fontId="264" fillId="7" borderId="1" xfId="19" applyFont="1" applyFill="1" applyBorder="1" applyAlignment="1"/>
    <xf numFmtId="0" fontId="258" fillId="7" borderId="1" xfId="19" applyFill="1" applyBorder="1" applyAlignment="1"/>
    <xf numFmtId="176" fontId="100" fillId="7" borderId="24" xfId="12" applyNumberFormat="1" applyFont="1" applyFill="1" applyBorder="1" applyAlignment="1">
      <alignment horizontal="center" vertical="center" wrapText="1"/>
    </xf>
    <xf numFmtId="0" fontId="264" fillId="7" borderId="13" xfId="19" applyFont="1" applyFill="1" applyBorder="1" applyAlignment="1">
      <alignment horizontal="center" vertical="center"/>
    </xf>
    <xf numFmtId="176" fontId="258" fillId="7" borderId="24" xfId="19" applyNumberFormat="1" applyFill="1" applyBorder="1" applyAlignment="1">
      <alignment horizontal="center" vertical="center"/>
    </xf>
    <xf numFmtId="0" fontId="258" fillId="7" borderId="0" xfId="19" applyFill="1" applyAlignment="1"/>
    <xf numFmtId="179" fontId="264" fillId="7" borderId="15" xfId="19" applyNumberFormat="1" applyFont="1" applyFill="1" applyBorder="1" applyAlignment="1">
      <alignment horizontal="center" vertical="center"/>
    </xf>
    <xf numFmtId="0" fontId="100" fillId="36" borderId="1" xfId="12" applyFont="1" applyFill="1" applyBorder="1" applyAlignment="1">
      <alignment horizontal="center" vertical="center"/>
    </xf>
    <xf numFmtId="0" fontId="264" fillId="7" borderId="1" xfId="19" applyFont="1" applyFill="1" applyBorder="1" applyAlignment="1">
      <alignment horizontal="center" vertical="center" wrapText="1"/>
    </xf>
    <xf numFmtId="186" fontId="264" fillId="7" borderId="13" xfId="19" applyNumberFormat="1" applyFont="1" applyFill="1" applyBorder="1" applyAlignment="1">
      <alignment horizontal="center" vertical="center"/>
    </xf>
    <xf numFmtId="176" fontId="258" fillId="7" borderId="61" xfId="19" applyNumberFormat="1" applyFill="1" applyBorder="1" applyAlignment="1">
      <alignment horizontal="center" vertical="center"/>
    </xf>
    <xf numFmtId="0" fontId="258" fillId="21" borderId="13" xfId="19" applyBorder="1" applyAlignment="1">
      <alignment horizontal="center" vertical="center"/>
    </xf>
    <xf numFmtId="179" fontId="100" fillId="22" borderId="1" xfId="20" applyNumberFormat="1" applyFont="1" applyBorder="1" applyAlignment="1"/>
    <xf numFmtId="0" fontId="100" fillId="22" borderId="1" xfId="20" applyFont="1" applyBorder="1" applyAlignment="1"/>
    <xf numFmtId="186" fontId="100" fillId="22" borderId="1" xfId="20" applyNumberFormat="1" applyFont="1" applyBorder="1" applyAlignment="1"/>
    <xf numFmtId="0" fontId="100" fillId="0" borderId="0" xfId="12" applyFont="1"/>
    <xf numFmtId="10" fontId="100" fillId="22" borderId="1" xfId="35" applyNumberFormat="1" applyFont="1" applyFill="1" applyBorder="1" applyAlignment="1"/>
    <xf numFmtId="177" fontId="169" fillId="0" borderId="0" xfId="12" applyNumberFormat="1" applyFill="1"/>
    <xf numFmtId="176" fontId="258" fillId="8" borderId="1" xfId="19" applyNumberFormat="1" applyFill="1" applyBorder="1" applyAlignment="1">
      <alignment horizontal="center" vertical="center"/>
    </xf>
    <xf numFmtId="176" fontId="258" fillId="7" borderId="1" xfId="19" applyNumberFormat="1" applyFill="1" applyBorder="1" applyAlignment="1">
      <alignment horizontal="center" vertical="center"/>
    </xf>
    <xf numFmtId="186" fontId="258" fillId="7" borderId="1" xfId="19" applyNumberFormat="1" applyFill="1" applyBorder="1" applyAlignment="1">
      <alignment horizontal="center" vertical="center"/>
    </xf>
    <xf numFmtId="176" fontId="258" fillId="21" borderId="1" xfId="19" applyNumberFormat="1" applyBorder="1" applyAlignment="1">
      <alignment horizontal="center"/>
    </xf>
    <xf numFmtId="179" fontId="258" fillId="21" borderId="1" xfId="19" applyNumberFormat="1" applyBorder="1" applyAlignment="1">
      <alignment horizontal="center" vertical="center"/>
    </xf>
    <xf numFmtId="179" fontId="258" fillId="21" borderId="15" xfId="19" applyNumberFormat="1" applyBorder="1" applyAlignment="1">
      <alignment horizontal="center" vertical="center"/>
    </xf>
    <xf numFmtId="186" fontId="259" fillId="22" borderId="1" xfId="20" applyNumberFormat="1" applyBorder="1" applyAlignment="1">
      <alignment horizontal="center" vertical="center"/>
    </xf>
    <xf numFmtId="0" fontId="259" fillId="22" borderId="13" xfId="20" applyBorder="1" applyAlignment="1">
      <alignment horizontal="center" vertical="center"/>
    </xf>
    <xf numFmtId="176" fontId="100" fillId="0" borderId="24" xfId="12" applyNumberFormat="1" applyFont="1" applyFill="1" applyBorder="1" applyAlignment="1">
      <alignment horizontal="center" vertical="center"/>
    </xf>
    <xf numFmtId="176" fontId="259" fillId="22" borderId="1" xfId="20" applyNumberFormat="1" applyBorder="1" applyAlignment="1">
      <alignment horizontal="center" vertical="center"/>
    </xf>
    <xf numFmtId="0" fontId="259" fillId="22" borderId="13" xfId="20" applyBorder="1" applyAlignment="1">
      <alignment horizontal="center" vertical="center" wrapText="1"/>
    </xf>
    <xf numFmtId="0" fontId="259" fillId="22" borderId="1" xfId="20" applyBorder="1" applyAlignment="1">
      <alignment horizontal="center" vertical="center" wrapText="1"/>
    </xf>
    <xf numFmtId="0" fontId="2" fillId="25" borderId="1" xfId="23" applyBorder="1">
      <alignment vertical="center"/>
    </xf>
    <xf numFmtId="0" fontId="2" fillId="0" borderId="1" xfId="28" applyFill="1" applyBorder="1">
      <alignment vertical="center"/>
    </xf>
    <xf numFmtId="0" fontId="2" fillId="30" borderId="1" xfId="28" applyBorder="1">
      <alignment vertical="center"/>
    </xf>
    <xf numFmtId="0" fontId="266" fillId="39" borderId="1" xfId="12" applyFont="1" applyFill="1" applyBorder="1" applyAlignment="1">
      <alignment horizontal="center" vertical="center"/>
    </xf>
    <xf numFmtId="0" fontId="264" fillId="0" borderId="1" xfId="12" applyFont="1" applyFill="1" applyBorder="1" applyAlignment="1">
      <alignment horizontal="center" vertical="center"/>
    </xf>
    <xf numFmtId="186" fontId="258" fillId="21" borderId="1" xfId="19" applyNumberFormat="1" applyBorder="1" applyAlignment="1">
      <alignment horizontal="center" vertical="center"/>
    </xf>
    <xf numFmtId="176" fontId="258" fillId="21" borderId="24" xfId="19" applyNumberFormat="1" applyBorder="1" applyAlignment="1">
      <alignment horizontal="center" vertical="center"/>
    </xf>
    <xf numFmtId="197" fontId="266" fillId="39" borderId="24" xfId="12" applyNumberFormat="1" applyFont="1" applyFill="1" applyBorder="1" applyAlignment="1">
      <alignment vertical="center"/>
    </xf>
    <xf numFmtId="0" fontId="258" fillId="21" borderId="0" xfId="19" applyAlignment="1"/>
    <xf numFmtId="0" fontId="258" fillId="21" borderId="1" xfId="19" applyBorder="1">
      <alignment vertical="center"/>
    </xf>
    <xf numFmtId="0" fontId="266" fillId="39" borderId="13" xfId="12" applyFont="1" applyFill="1" applyBorder="1" applyAlignment="1">
      <alignment horizontal="center" vertical="center"/>
    </xf>
    <xf numFmtId="176" fontId="257" fillId="20" borderId="24" xfId="18" applyNumberFormat="1" applyBorder="1" applyAlignment="1">
      <alignment horizontal="center" vertical="center"/>
    </xf>
    <xf numFmtId="0" fontId="257" fillId="20" borderId="1" xfId="18" applyBorder="1">
      <alignment vertical="center"/>
    </xf>
    <xf numFmtId="186" fontId="266" fillId="36" borderId="1" xfId="12" applyNumberFormat="1" applyFont="1" applyFill="1" applyBorder="1" applyAlignment="1">
      <alignment horizontal="center" vertical="center"/>
    </xf>
    <xf numFmtId="0" fontId="259" fillId="22" borderId="1" xfId="20" applyBorder="1">
      <alignment vertical="center"/>
    </xf>
    <xf numFmtId="2" fontId="259" fillId="22" borderId="1" xfId="20" applyNumberFormat="1" applyBorder="1" applyAlignment="1">
      <alignment horizontal="center" vertical="center" wrapText="1"/>
    </xf>
    <xf numFmtId="176" fontId="258" fillId="21" borderId="1" xfId="19" applyNumberFormat="1" applyBorder="1" applyAlignment="1"/>
    <xf numFmtId="186" fontId="258" fillId="21" borderId="1" xfId="19" applyNumberFormat="1" applyBorder="1" applyAlignment="1"/>
    <xf numFmtId="0" fontId="259" fillId="22" borderId="5" xfId="20" applyBorder="1" applyAlignment="1"/>
    <xf numFmtId="10" fontId="259" fillId="22" borderId="1" xfId="20" applyNumberFormat="1" applyBorder="1">
      <alignment vertical="center"/>
    </xf>
    <xf numFmtId="10" fontId="100" fillId="0" borderId="1" xfId="35" applyNumberFormat="1" applyFont="1" applyBorder="1">
      <alignment vertical="center"/>
    </xf>
    <xf numFmtId="176" fontId="259" fillId="22" borderId="13" xfId="20" applyNumberFormat="1" applyBorder="1" applyAlignment="1">
      <alignment horizontal="center" vertical="center"/>
    </xf>
    <xf numFmtId="186" fontId="259" fillId="22" borderId="13" xfId="20" applyNumberFormat="1" applyBorder="1" applyAlignment="1">
      <alignment horizontal="center" vertical="center"/>
    </xf>
    <xf numFmtId="176" fontId="100" fillId="0" borderId="32" xfId="12" applyNumberFormat="1" applyFont="1" applyFill="1" applyBorder="1" applyAlignment="1">
      <alignment horizontal="center"/>
    </xf>
    <xf numFmtId="176" fontId="100" fillId="0" borderId="32" xfId="12" applyNumberFormat="1" applyFont="1" applyFill="1" applyBorder="1" applyAlignment="1">
      <alignment horizontal="center" vertical="center"/>
    </xf>
    <xf numFmtId="186" fontId="100" fillId="0" borderId="32" xfId="12" applyNumberFormat="1" applyFont="1" applyFill="1" applyBorder="1" applyAlignment="1">
      <alignment horizontal="center" vertical="center"/>
    </xf>
    <xf numFmtId="179" fontId="2" fillId="28" borderId="1" xfId="26" applyNumberFormat="1" applyBorder="1" applyAlignment="1">
      <alignment horizontal="center" vertical="center"/>
    </xf>
    <xf numFmtId="0" fontId="2" fillId="28" borderId="1" xfId="26" applyBorder="1" applyAlignment="1">
      <alignment horizontal="center" vertical="center"/>
    </xf>
    <xf numFmtId="186" fontId="2" fillId="28" borderId="1" xfId="26" applyNumberFormat="1" applyBorder="1" applyAlignment="1">
      <alignment horizontal="center" vertical="center"/>
    </xf>
    <xf numFmtId="0" fontId="2" fillId="28" borderId="1" xfId="26" applyFont="1" applyBorder="1" applyAlignment="1">
      <alignment horizontal="center" vertical="center"/>
    </xf>
    <xf numFmtId="176" fontId="2" fillId="28" borderId="1" xfId="26" applyNumberFormat="1" applyBorder="1" applyAlignment="1">
      <alignment horizontal="center" vertical="center"/>
    </xf>
    <xf numFmtId="0" fontId="2" fillId="28" borderId="13" xfId="26" applyFont="1" applyBorder="1" applyAlignment="1">
      <alignment horizontal="center" vertical="center"/>
    </xf>
    <xf numFmtId="0" fontId="2" fillId="28" borderId="13" xfId="26" applyBorder="1" applyAlignment="1">
      <alignment horizontal="center" vertical="center"/>
    </xf>
    <xf numFmtId="0" fontId="2" fillId="28" borderId="13" xfId="26" applyBorder="1" applyAlignment="1">
      <alignment horizontal="center" vertical="center" wrapText="1"/>
    </xf>
    <xf numFmtId="0" fontId="2" fillId="28" borderId="1" xfId="26" applyBorder="1" applyAlignment="1">
      <alignment horizontal="center" vertical="center" wrapText="1"/>
    </xf>
    <xf numFmtId="176" fontId="2" fillId="28" borderId="24" xfId="26" applyNumberFormat="1" applyBorder="1" applyAlignment="1">
      <alignment horizontal="center" vertical="center"/>
    </xf>
    <xf numFmtId="0" fontId="262" fillId="0" borderId="1" xfId="12" applyFont="1" applyFill="1" applyBorder="1" applyAlignment="1">
      <alignment horizontal="center" vertical="center"/>
    </xf>
    <xf numFmtId="0" fontId="262" fillId="28" borderId="13" xfId="26" applyFont="1" applyBorder="1" applyAlignment="1">
      <alignment horizontal="center" vertical="center"/>
    </xf>
    <xf numFmtId="197" fontId="266" fillId="0" borderId="24" xfId="12" applyNumberFormat="1" applyFont="1" applyBorder="1" applyAlignment="1">
      <alignment vertical="center"/>
    </xf>
    <xf numFmtId="179" fontId="2" fillId="28" borderId="13" xfId="26" applyNumberFormat="1" applyBorder="1" applyAlignment="1">
      <alignment horizontal="center" vertical="center"/>
    </xf>
    <xf numFmtId="186" fontId="2" fillId="28" borderId="13" xfId="26" applyNumberFormat="1" applyBorder="1" applyAlignment="1">
      <alignment horizontal="center" vertical="center"/>
    </xf>
    <xf numFmtId="176" fontId="100" fillId="0" borderId="61" xfId="12" applyNumberFormat="1" applyFont="1" applyFill="1" applyBorder="1" applyAlignment="1">
      <alignment horizontal="center" vertical="center"/>
    </xf>
    <xf numFmtId="179" fontId="169" fillId="0" borderId="0" xfId="12" applyNumberFormat="1"/>
    <xf numFmtId="179" fontId="2" fillId="28" borderId="15" xfId="26" applyNumberFormat="1" applyBorder="1" applyAlignment="1">
      <alignment horizontal="center" vertical="center"/>
    </xf>
    <xf numFmtId="176" fontId="2" fillId="28" borderId="15" xfId="26" applyNumberFormat="1" applyBorder="1" applyAlignment="1">
      <alignment horizontal="center" vertical="center"/>
    </xf>
    <xf numFmtId="179" fontId="2" fillId="28" borderId="58" xfId="26" applyNumberFormat="1" applyBorder="1" applyAlignment="1">
      <alignment horizontal="center" vertical="center"/>
    </xf>
    <xf numFmtId="10" fontId="259" fillId="22" borderId="1" xfId="35" applyNumberFormat="1" applyFont="1" applyFill="1" applyBorder="1">
      <alignment vertical="center"/>
    </xf>
    <xf numFmtId="176" fontId="2" fillId="29" borderId="1" xfId="27" applyNumberFormat="1" applyBorder="1" applyAlignment="1"/>
    <xf numFmtId="186" fontId="2" fillId="29" borderId="1" xfId="27" applyNumberFormat="1" applyBorder="1" applyAlignment="1"/>
    <xf numFmtId="0" fontId="2" fillId="29" borderId="1" xfId="27" applyBorder="1" applyAlignment="1"/>
    <xf numFmtId="0" fontId="100" fillId="0" borderId="0" xfId="34">
      <alignment vertical="center"/>
    </xf>
    <xf numFmtId="176" fontId="2" fillId="28" borderId="13" xfId="26" applyNumberFormat="1" applyBorder="1" applyAlignment="1">
      <alignment horizontal="center" vertical="center"/>
    </xf>
    <xf numFmtId="176" fontId="2" fillId="28" borderId="1" xfId="26" applyNumberFormat="1" applyFont="1" applyBorder="1" applyAlignment="1">
      <alignment horizontal="center" vertical="center"/>
    </xf>
    <xf numFmtId="0" fontId="258" fillId="21" borderId="1" xfId="19" applyBorder="1" applyAlignment="1">
      <alignment horizontal="center" vertical="center" wrapText="1"/>
    </xf>
    <xf numFmtId="0" fontId="2" fillId="32" borderId="1" xfId="30" applyBorder="1" applyAlignment="1">
      <alignment vertical="center" wrapText="1"/>
    </xf>
    <xf numFmtId="179" fontId="2" fillId="34" borderId="1" xfId="32" applyNumberFormat="1" applyBorder="1" applyAlignment="1">
      <alignment horizontal="center" vertical="center"/>
    </xf>
    <xf numFmtId="179" fontId="2" fillId="34" borderId="13" xfId="32" applyNumberFormat="1" applyBorder="1" applyAlignment="1">
      <alignment horizontal="center" vertical="center"/>
    </xf>
    <xf numFmtId="186" fontId="2" fillId="34" borderId="1" xfId="32" applyNumberFormat="1" applyBorder="1" applyAlignment="1">
      <alignment horizontal="center" vertical="center"/>
    </xf>
    <xf numFmtId="0" fontId="2" fillId="34" borderId="13" xfId="32" applyFont="1" applyBorder="1" applyAlignment="1">
      <alignment horizontal="center" vertical="center"/>
    </xf>
    <xf numFmtId="0" fontId="2" fillId="34" borderId="13" xfId="32" applyBorder="1" applyAlignment="1">
      <alignment horizontal="center" vertical="center"/>
    </xf>
    <xf numFmtId="0" fontId="258" fillId="0" borderId="1" xfId="19" applyFill="1" applyBorder="1" applyAlignment="1"/>
    <xf numFmtId="0" fontId="2" fillId="0" borderId="1" xfId="30" applyFill="1" applyBorder="1" applyAlignment="1"/>
    <xf numFmtId="0" fontId="100" fillId="0" borderId="1" xfId="34" applyFill="1" applyBorder="1">
      <alignment vertical="center"/>
    </xf>
    <xf numFmtId="0" fontId="2" fillId="34" borderId="1" xfId="32" applyBorder="1" applyAlignment="1">
      <alignment horizontal="center" vertical="center" wrapText="1"/>
    </xf>
    <xf numFmtId="179" fontId="2" fillId="34" borderId="15" xfId="32" applyNumberFormat="1" applyBorder="1" applyAlignment="1">
      <alignment horizontal="center" vertical="center"/>
    </xf>
    <xf numFmtId="0" fontId="2" fillId="32" borderId="1" xfId="30" applyBorder="1" applyAlignment="1"/>
    <xf numFmtId="0" fontId="2" fillId="0" borderId="1" xfId="28" applyFill="1" applyBorder="1" applyAlignment="1"/>
    <xf numFmtId="176" fontId="169" fillId="0" borderId="0" xfId="12" applyNumberFormat="1" applyFill="1"/>
    <xf numFmtId="0" fontId="2" fillId="34" borderId="1" xfId="32" applyBorder="1" applyAlignment="1">
      <alignment horizontal="center" vertical="center"/>
    </xf>
    <xf numFmtId="0" fontId="2" fillId="34" borderId="13" xfId="32" applyBorder="1" applyAlignment="1">
      <alignment horizontal="center" vertical="center" wrapText="1"/>
    </xf>
    <xf numFmtId="186" fontId="2" fillId="34" borderId="13" xfId="32" applyNumberFormat="1" applyBorder="1" applyAlignment="1">
      <alignment horizontal="center" vertical="center"/>
    </xf>
    <xf numFmtId="176" fontId="2" fillId="34" borderId="13" xfId="32" applyNumberFormat="1" applyBorder="1" applyAlignment="1">
      <alignment horizontal="center" vertical="center"/>
    </xf>
    <xf numFmtId="176" fontId="100" fillId="35" borderId="1" xfId="33" applyNumberFormat="1" applyFont="1" applyBorder="1" applyAlignment="1"/>
    <xf numFmtId="186" fontId="100" fillId="35" borderId="1" xfId="33" applyNumberFormat="1" applyFont="1" applyBorder="1" applyAlignment="1"/>
    <xf numFmtId="0" fontId="259" fillId="0" borderId="1" xfId="20" applyFill="1" applyBorder="1" applyAlignment="1"/>
    <xf numFmtId="179" fontId="2" fillId="34" borderId="0" xfId="32" applyNumberFormat="1" applyBorder="1" applyAlignment="1">
      <alignment horizontal="center" vertical="center"/>
    </xf>
    <xf numFmtId="176" fontId="2" fillId="33" borderId="13" xfId="31" applyNumberFormat="1" applyBorder="1" applyAlignment="1">
      <alignment horizontal="center" vertical="center"/>
    </xf>
    <xf numFmtId="186" fontId="2" fillId="33" borderId="13" xfId="31" applyNumberFormat="1" applyBorder="1" applyAlignment="1">
      <alignment horizontal="center" vertical="center"/>
    </xf>
    <xf numFmtId="176" fontId="2" fillId="33" borderId="1" xfId="31" applyNumberFormat="1" applyBorder="1" applyAlignment="1">
      <alignment horizontal="center" vertical="center"/>
    </xf>
    <xf numFmtId="176" fontId="2" fillId="33" borderId="58" xfId="31" applyNumberFormat="1" applyBorder="1" applyAlignment="1">
      <alignment horizontal="center" vertical="center"/>
    </xf>
    <xf numFmtId="0" fontId="2" fillId="25" borderId="3" xfId="23" applyBorder="1" applyAlignment="1">
      <alignment horizontal="center" vertical="center" wrapText="1"/>
    </xf>
    <xf numFmtId="0" fontId="2" fillId="33" borderId="3" xfId="31" applyBorder="1" applyAlignment="1">
      <alignment vertical="center" wrapText="1"/>
    </xf>
    <xf numFmtId="0" fontId="2" fillId="33" borderId="1" xfId="31" applyBorder="1" applyAlignment="1">
      <alignment vertical="center" wrapText="1"/>
    </xf>
    <xf numFmtId="179" fontId="2" fillId="30" borderId="1" xfId="28" applyNumberFormat="1" applyBorder="1" applyAlignment="1">
      <alignment horizontal="center" vertical="center"/>
    </xf>
    <xf numFmtId="176" fontId="2" fillId="30" borderId="1" xfId="28" applyNumberFormat="1" applyBorder="1" applyAlignment="1">
      <alignment horizontal="center" vertical="center"/>
    </xf>
    <xf numFmtId="186" fontId="2" fillId="30" borderId="1" xfId="28" applyNumberFormat="1" applyBorder="1" applyAlignment="1">
      <alignment horizontal="center" vertical="center"/>
    </xf>
    <xf numFmtId="0" fontId="2" fillId="30" borderId="13" xfId="28" applyFont="1" applyBorder="1" applyAlignment="1">
      <alignment horizontal="center" vertical="center"/>
    </xf>
    <xf numFmtId="0" fontId="2" fillId="30" borderId="13" xfId="28" applyBorder="1" applyAlignment="1">
      <alignment horizontal="center" vertical="center"/>
    </xf>
    <xf numFmtId="0" fontId="2" fillId="0" borderId="3" xfId="23" applyFill="1" applyBorder="1" applyAlignment="1"/>
    <xf numFmtId="0" fontId="2" fillId="0" borderId="1" xfId="23" applyFill="1" applyBorder="1" applyAlignment="1"/>
    <xf numFmtId="0" fontId="2" fillId="0" borderId="1" xfId="31" applyFill="1" applyBorder="1" applyAlignment="1"/>
    <xf numFmtId="0" fontId="2" fillId="30" borderId="1" xfId="28" applyBorder="1" applyAlignment="1">
      <alignment horizontal="center" vertical="center" wrapText="1"/>
    </xf>
    <xf numFmtId="0" fontId="2" fillId="0" borderId="3" xfId="23" applyFill="1" applyBorder="1">
      <alignment vertical="center"/>
    </xf>
    <xf numFmtId="0" fontId="2" fillId="0" borderId="1" xfId="23" applyFill="1" applyBorder="1">
      <alignment vertical="center"/>
    </xf>
    <xf numFmtId="0" fontId="258" fillId="0" borderId="1" xfId="19" applyFill="1" applyBorder="1">
      <alignment vertical="center"/>
    </xf>
    <xf numFmtId="179" fontId="2" fillId="30" borderId="15" xfId="28" applyNumberFormat="1" applyBorder="1" applyAlignment="1">
      <alignment horizontal="center" vertical="center"/>
    </xf>
    <xf numFmtId="179" fontId="2" fillId="30" borderId="13" xfId="28" applyNumberFormat="1" applyBorder="1" applyAlignment="1">
      <alignment horizontal="center" vertical="center"/>
    </xf>
    <xf numFmtId="0" fontId="2" fillId="30" borderId="1" xfId="28" applyBorder="1" applyAlignment="1">
      <alignment horizontal="center" vertical="center"/>
    </xf>
    <xf numFmtId="0" fontId="265" fillId="0" borderId="0" xfId="12" applyFont="1"/>
    <xf numFmtId="176" fontId="2" fillId="30" borderId="3" xfId="28" applyNumberFormat="1" applyBorder="1" applyAlignment="1">
      <alignment horizontal="center" vertical="center"/>
    </xf>
    <xf numFmtId="176" fontId="100" fillId="0" borderId="24" xfId="12" applyNumberFormat="1" applyFont="1" applyFill="1" applyBorder="1" applyAlignment="1">
      <alignment horizontal="center" vertical="center" wrapText="1"/>
    </xf>
    <xf numFmtId="0" fontId="2" fillId="30" borderId="1" xfId="28" applyFont="1" applyBorder="1" applyAlignment="1">
      <alignment horizontal="center" vertical="center"/>
    </xf>
    <xf numFmtId="0" fontId="2" fillId="33" borderId="1" xfId="31" applyBorder="1" applyAlignment="1"/>
    <xf numFmtId="176" fontId="2" fillId="30" borderId="13" xfId="28" applyNumberFormat="1" applyBorder="1" applyAlignment="1">
      <alignment horizontal="center" vertical="center"/>
    </xf>
    <xf numFmtId="179" fontId="262" fillId="33" borderId="1" xfId="31" applyNumberFormat="1" applyFont="1" applyBorder="1" applyAlignment="1">
      <alignment horizontal="center" vertical="center"/>
    </xf>
    <xf numFmtId="176" fontId="2" fillId="30" borderId="1" xfId="28" applyNumberFormat="1" applyFont="1" applyBorder="1" applyAlignment="1">
      <alignment horizontal="center" vertical="center"/>
    </xf>
    <xf numFmtId="176" fontId="262" fillId="30" borderId="1" xfId="28" applyNumberFormat="1" applyFont="1" applyBorder="1" applyAlignment="1">
      <alignment horizontal="center" vertical="center"/>
    </xf>
    <xf numFmtId="0" fontId="2" fillId="0" borderId="22" xfId="23" applyFill="1" applyBorder="1" applyAlignment="1"/>
    <xf numFmtId="0" fontId="2" fillId="0" borderId="13" xfId="23" applyFill="1" applyBorder="1" applyAlignment="1"/>
    <xf numFmtId="0" fontId="258" fillId="0" borderId="13" xfId="19" applyFill="1" applyBorder="1" applyAlignment="1"/>
    <xf numFmtId="0" fontId="2" fillId="0" borderId="13" xfId="28" applyFill="1" applyBorder="1" applyAlignment="1"/>
    <xf numFmtId="176" fontId="266" fillId="0" borderId="24" xfId="12" applyNumberFormat="1" applyFont="1" applyFill="1" applyBorder="1" applyAlignment="1">
      <alignment horizontal="center" vertical="center" wrapText="1"/>
    </xf>
    <xf numFmtId="186" fontId="2" fillId="30" borderId="13" xfId="28" applyNumberFormat="1" applyBorder="1" applyAlignment="1">
      <alignment horizontal="center" vertical="center"/>
    </xf>
    <xf numFmtId="176" fontId="2" fillId="31" borderId="1" xfId="29" applyNumberFormat="1" applyBorder="1" applyAlignment="1"/>
    <xf numFmtId="186" fontId="2" fillId="31" borderId="1" xfId="29" applyNumberFormat="1" applyBorder="1" applyAlignment="1"/>
    <xf numFmtId="0" fontId="169" fillId="0" borderId="1" xfId="12" applyBorder="1" applyAlignment="1">
      <alignment horizontal="center" vertical="center"/>
    </xf>
    <xf numFmtId="0" fontId="265" fillId="0" borderId="5" xfId="12" applyFont="1" applyFill="1" applyBorder="1"/>
    <xf numFmtId="176" fontId="169" fillId="0" borderId="1" xfId="12" applyNumberFormat="1" applyBorder="1" applyAlignment="1">
      <alignment horizontal="center" vertical="center"/>
    </xf>
    <xf numFmtId="179" fontId="2" fillId="40" borderId="1" xfId="24" applyNumberFormat="1" applyFill="1" applyBorder="1" applyAlignment="1">
      <alignment horizontal="center" vertical="center"/>
    </xf>
    <xf numFmtId="0" fontId="2" fillId="26" borderId="13" xfId="24" applyBorder="1" applyAlignment="1">
      <alignment horizontal="center" vertical="center"/>
    </xf>
    <xf numFmtId="186" fontId="2" fillId="26" borderId="1" xfId="24" applyNumberFormat="1" applyBorder="1" applyAlignment="1">
      <alignment horizontal="center" vertical="center"/>
    </xf>
    <xf numFmtId="0" fontId="2" fillId="26" borderId="1" xfId="24" applyFont="1" applyBorder="1" applyAlignment="1">
      <alignment horizontal="center" vertical="center"/>
    </xf>
    <xf numFmtId="0" fontId="2" fillId="26" borderId="1" xfId="24" applyBorder="1" applyAlignment="1">
      <alignment horizontal="center" vertical="center"/>
    </xf>
    <xf numFmtId="176" fontId="2" fillId="40" borderId="1" xfId="24" applyNumberFormat="1" applyFill="1" applyBorder="1" applyAlignment="1">
      <alignment horizontal="center" vertical="center"/>
    </xf>
    <xf numFmtId="0" fontId="2" fillId="26" borderId="1" xfId="24" applyBorder="1" applyAlignment="1"/>
    <xf numFmtId="0" fontId="2" fillId="40" borderId="1" xfId="24" applyFill="1" applyBorder="1" applyAlignment="1">
      <alignment horizontal="center" vertical="center" wrapText="1"/>
    </xf>
    <xf numFmtId="176" fontId="2" fillId="26" borderId="3" xfId="24" applyNumberFormat="1" applyBorder="1" applyAlignment="1">
      <alignment horizontal="center" vertical="center"/>
    </xf>
    <xf numFmtId="176" fontId="262" fillId="40" borderId="1" xfId="24" applyNumberFormat="1" applyFont="1" applyFill="1" applyBorder="1" applyAlignment="1">
      <alignment horizontal="center" vertical="center"/>
    </xf>
    <xf numFmtId="176" fontId="2" fillId="26" borderId="1" xfId="24" applyNumberFormat="1" applyBorder="1" applyAlignment="1">
      <alignment horizontal="center" vertical="center"/>
    </xf>
    <xf numFmtId="176" fontId="262" fillId="26" borderId="1" xfId="24" applyNumberFormat="1" applyFont="1" applyBorder="1" applyAlignment="1">
      <alignment horizontal="center" vertical="center"/>
    </xf>
    <xf numFmtId="176" fontId="2" fillId="26" borderId="3" xfId="24" applyNumberFormat="1" applyFont="1" applyBorder="1" applyAlignment="1">
      <alignment horizontal="center" vertical="center"/>
    </xf>
    <xf numFmtId="179" fontId="2" fillId="26" borderId="1" xfId="24" applyNumberFormat="1" applyBorder="1" applyAlignment="1">
      <alignment horizontal="center" vertical="center"/>
    </xf>
    <xf numFmtId="0" fontId="268" fillId="0" borderId="0" xfId="12" applyFont="1"/>
    <xf numFmtId="176" fontId="100" fillId="27" borderId="1" xfId="25" applyNumberFormat="1" applyFont="1" applyBorder="1" applyAlignment="1"/>
    <xf numFmtId="186" fontId="100" fillId="27" borderId="1" xfId="25" applyNumberFormat="1" applyFont="1" applyBorder="1" applyAlignment="1"/>
    <xf numFmtId="176" fontId="2" fillId="25" borderId="13" xfId="23" applyNumberFormat="1" applyBorder="1" applyAlignment="1">
      <alignment horizontal="center" vertical="center"/>
    </xf>
    <xf numFmtId="186" fontId="2" fillId="25" borderId="13" xfId="23" applyNumberFormat="1" applyBorder="1" applyAlignment="1">
      <alignment horizontal="center" vertical="center"/>
    </xf>
    <xf numFmtId="176" fontId="2" fillId="25" borderId="1" xfId="23" applyNumberFormat="1" applyBorder="1" applyAlignment="1">
      <alignment horizontal="center" vertical="center"/>
    </xf>
    <xf numFmtId="176" fontId="2" fillId="25" borderId="32" xfId="23" applyNumberFormat="1" applyBorder="1" applyAlignment="1">
      <alignment horizontal="center"/>
    </xf>
    <xf numFmtId="176" fontId="2" fillId="25" borderId="32" xfId="23" applyNumberFormat="1" applyBorder="1" applyAlignment="1">
      <alignment horizontal="center" vertical="center"/>
    </xf>
    <xf numFmtId="186" fontId="2" fillId="25" borderId="32" xfId="23" applyNumberFormat="1" applyBorder="1" applyAlignment="1">
      <alignment horizontal="center" vertical="center"/>
    </xf>
    <xf numFmtId="2" fontId="169" fillId="0" borderId="5" xfId="12" applyNumberFormat="1" applyFill="1" applyBorder="1"/>
    <xf numFmtId="10" fontId="2" fillId="25" borderId="1" xfId="23" applyNumberFormat="1" applyBorder="1">
      <alignment vertical="center"/>
    </xf>
    <xf numFmtId="10" fontId="258" fillId="21" borderId="1" xfId="19" applyNumberFormat="1" applyBorder="1">
      <alignment vertical="center"/>
    </xf>
    <xf numFmtId="10" fontId="2" fillId="30" borderId="1" xfId="28" applyNumberFormat="1" applyBorder="1">
      <alignment vertical="center"/>
    </xf>
    <xf numFmtId="10" fontId="2" fillId="32" borderId="1" xfId="30" applyNumberFormat="1" applyBorder="1" applyAlignment="1"/>
    <xf numFmtId="10" fontId="2" fillId="33" borderId="1" xfId="31" applyNumberFormat="1" applyBorder="1" applyAlignment="1"/>
    <xf numFmtId="10" fontId="0" fillId="0" borderId="1" xfId="35" applyNumberFormat="1" applyFont="1" applyBorder="1" applyAlignment="1"/>
    <xf numFmtId="0" fontId="264" fillId="36" borderId="3" xfId="12" applyFont="1" applyFill="1" applyBorder="1" applyAlignment="1">
      <alignment horizontal="center" vertical="center"/>
    </xf>
    <xf numFmtId="176" fontId="100" fillId="0" borderId="0" xfId="34" applyNumberFormat="1">
      <alignment vertical="center"/>
    </xf>
    <xf numFmtId="0" fontId="169" fillId="36" borderId="1" xfId="12" applyFill="1" applyBorder="1" applyAlignment="1">
      <alignment horizontal="center" vertical="top" wrapText="1"/>
    </xf>
    <xf numFmtId="0" fontId="264" fillId="0" borderId="1" xfId="12" applyFont="1" applyBorder="1" applyAlignment="1">
      <alignment horizontal="center" vertical="center"/>
    </xf>
    <xf numFmtId="0" fontId="260" fillId="23" borderId="158" xfId="21" applyAlignment="1">
      <alignment horizontal="center"/>
    </xf>
    <xf numFmtId="0" fontId="169" fillId="0" borderId="0" xfId="12" applyFill="1" applyBorder="1" applyAlignment="1">
      <alignment horizontal="center"/>
    </xf>
    <xf numFmtId="178" fontId="264" fillId="0" borderId="1" xfId="12" applyNumberFormat="1" applyFont="1" applyBorder="1" applyAlignment="1">
      <alignment horizontal="center" vertical="center"/>
    </xf>
    <xf numFmtId="0" fontId="264" fillId="0" borderId="1" xfId="12" applyFont="1" applyBorder="1" applyAlignment="1">
      <alignment horizontal="center" vertical="center" wrapText="1"/>
    </xf>
    <xf numFmtId="0" fontId="260" fillId="23" borderId="158" xfId="21" applyAlignment="1"/>
    <xf numFmtId="0" fontId="100" fillId="0" borderId="0" xfId="12" applyFont="1" applyFill="1" applyAlignment="1">
      <alignment vertical="top" wrapText="1"/>
    </xf>
    <xf numFmtId="176" fontId="264" fillId="0" borderId="1" xfId="12" applyNumberFormat="1" applyFont="1" applyBorder="1" applyAlignment="1">
      <alignment horizontal="center" vertical="center"/>
    </xf>
    <xf numFmtId="0" fontId="100" fillId="0" borderId="0" xfId="12" applyFont="1" applyFill="1" applyAlignment="1">
      <alignment horizontal="center" wrapText="1"/>
    </xf>
    <xf numFmtId="0" fontId="258" fillId="21" borderId="0" xfId="19" applyAlignment="1">
      <alignment vertical="top" wrapText="1"/>
    </xf>
    <xf numFmtId="0" fontId="269" fillId="0" borderId="0" xfId="12" applyFont="1" applyAlignment="1">
      <alignment wrapText="1"/>
    </xf>
    <xf numFmtId="0" fontId="169" fillId="0" borderId="5" xfId="12" applyBorder="1" applyAlignment="1">
      <alignment horizontal="center" vertical="center"/>
    </xf>
    <xf numFmtId="0" fontId="169" fillId="0" borderId="1" xfId="12" applyBorder="1" applyAlignment="1">
      <alignment vertical="center"/>
    </xf>
    <xf numFmtId="178" fontId="113" fillId="0" borderId="1" xfId="12" applyNumberFormat="1" applyFont="1" applyBorder="1" applyAlignment="1">
      <alignment horizontal="center" vertical="center" wrapText="1"/>
    </xf>
    <xf numFmtId="176" fontId="169" fillId="0" borderId="1" xfId="12" applyNumberFormat="1" applyFill="1" applyBorder="1"/>
    <xf numFmtId="177" fontId="258" fillId="21" borderId="0" xfId="19" applyNumberFormat="1" applyAlignment="1"/>
    <xf numFmtId="0" fontId="113" fillId="0" borderId="1" xfId="12" applyFont="1" applyBorder="1" applyAlignment="1">
      <alignment horizontal="center" vertical="center" wrapText="1"/>
    </xf>
    <xf numFmtId="0" fontId="113" fillId="0" borderId="1" xfId="12" applyFont="1" applyBorder="1" applyAlignment="1">
      <alignment horizontal="center" vertical="center"/>
    </xf>
    <xf numFmtId="10" fontId="113" fillId="0" borderId="1" xfId="12" applyNumberFormat="1" applyFont="1" applyBorder="1" applyAlignment="1">
      <alignment horizontal="center" vertical="center"/>
    </xf>
    <xf numFmtId="179" fontId="113" fillId="0" borderId="1" xfId="12" applyNumberFormat="1" applyFont="1" applyBorder="1" applyAlignment="1">
      <alignment horizontal="center" vertical="center"/>
    </xf>
    <xf numFmtId="0" fontId="169" fillId="0" borderId="1" xfId="12" applyBorder="1" applyAlignment="1">
      <alignment horizontal="center" vertical="center" wrapText="1"/>
    </xf>
    <xf numFmtId="198" fontId="169" fillId="0" borderId="1" xfId="12" applyNumberFormat="1" applyBorder="1" applyAlignment="1">
      <alignment horizontal="center" vertical="center"/>
    </xf>
    <xf numFmtId="177" fontId="169" fillId="0" borderId="1" xfId="12" applyNumberFormat="1" applyBorder="1" applyAlignment="1">
      <alignment horizontal="center" vertical="center"/>
    </xf>
    <xf numFmtId="0" fontId="169" fillId="0" borderId="15" xfId="12" applyFill="1" applyBorder="1"/>
    <xf numFmtId="0" fontId="100" fillId="0" borderId="0" xfId="12" applyFont="1" applyFill="1" applyBorder="1" applyAlignment="1"/>
    <xf numFmtId="0" fontId="169" fillId="0" borderId="1" xfId="12" applyBorder="1" applyAlignment="1">
      <alignment horizontal="center"/>
    </xf>
    <xf numFmtId="0" fontId="100" fillId="0" borderId="0" xfId="12" applyFont="1" applyFill="1" applyBorder="1" applyAlignment="1">
      <alignment horizontal="center"/>
    </xf>
    <xf numFmtId="179" fontId="169" fillId="0" borderId="1" xfId="12" applyNumberFormat="1" applyBorder="1" applyAlignment="1">
      <alignment horizontal="center" vertical="center"/>
    </xf>
    <xf numFmtId="0" fontId="169" fillId="0" borderId="1" xfId="12" applyBorder="1" applyAlignment="1">
      <alignment horizontal="center" vertical="top" wrapText="1"/>
    </xf>
    <xf numFmtId="0" fontId="100" fillId="0" borderId="0" xfId="12" applyFont="1" applyFill="1" applyAlignment="1">
      <alignment wrapText="1"/>
    </xf>
    <xf numFmtId="178" fontId="169" fillId="0" borderId="1" xfId="12" applyNumberFormat="1" applyBorder="1" applyAlignment="1">
      <alignment horizontal="center" vertical="center"/>
    </xf>
    <xf numFmtId="0" fontId="169" fillId="0" borderId="0" xfId="12" applyFill="1" applyBorder="1"/>
    <xf numFmtId="0" fontId="169" fillId="0" borderId="1" xfId="12" applyBorder="1" applyAlignment="1">
      <alignment horizontal="center" vertical="top"/>
    </xf>
    <xf numFmtId="0" fontId="100" fillId="0" borderId="0" xfId="12" applyFont="1" applyFill="1" applyAlignment="1">
      <alignment horizontal="center" vertical="top" wrapText="1"/>
    </xf>
    <xf numFmtId="0" fontId="100" fillId="0" borderId="1" xfId="12" applyFont="1" applyBorder="1" applyAlignment="1">
      <alignment horizontal="center" vertical="top"/>
    </xf>
    <xf numFmtId="0" fontId="169" fillId="0" borderId="1" xfId="12" applyFill="1" applyBorder="1" applyAlignment="1"/>
    <xf numFmtId="0" fontId="100" fillId="0" borderId="1" xfId="12" applyFont="1" applyFill="1" applyBorder="1" applyAlignment="1">
      <alignment horizontal="center"/>
    </xf>
    <xf numFmtId="0" fontId="258" fillId="21" borderId="0" xfId="19" applyAlignment="1">
      <alignment wrapText="1"/>
    </xf>
    <xf numFmtId="0" fontId="169" fillId="0" borderId="15" xfId="12" applyFill="1" applyBorder="1" applyAlignment="1"/>
    <xf numFmtId="0" fontId="100" fillId="0" borderId="2" xfId="12" applyFont="1" applyFill="1" applyBorder="1" applyAlignment="1"/>
    <xf numFmtId="0" fontId="269" fillId="0" borderId="0" xfId="12" applyFont="1" applyAlignment="1">
      <alignment vertical="top" wrapText="1"/>
    </xf>
    <xf numFmtId="0" fontId="100" fillId="0" borderId="1" xfId="12" applyFont="1" applyBorder="1" applyAlignment="1">
      <alignment horizontal="center"/>
    </xf>
    <xf numFmtId="0" fontId="169" fillId="0" borderId="2" xfId="12" applyFill="1" applyBorder="1" applyAlignment="1"/>
    <xf numFmtId="0" fontId="169" fillId="0" borderId="1" xfId="12" applyFill="1" applyBorder="1" applyAlignment="1">
      <alignment horizontal="center"/>
    </xf>
    <xf numFmtId="179" fontId="169" fillId="0" borderId="1" xfId="12" applyNumberFormat="1" applyBorder="1"/>
    <xf numFmtId="178" fontId="169" fillId="0" borderId="0" xfId="12" applyNumberFormat="1"/>
    <xf numFmtId="0" fontId="169" fillId="0" borderId="0" xfId="12" applyAlignment="1">
      <alignment horizontal="center" vertical="center"/>
    </xf>
    <xf numFmtId="178" fontId="169" fillId="0" borderId="1" xfId="12" applyNumberFormat="1" applyBorder="1" applyAlignment="1">
      <alignment vertical="center"/>
    </xf>
    <xf numFmtId="178" fontId="169" fillId="0" borderId="1" xfId="12" applyNumberFormat="1" applyBorder="1" applyAlignment="1">
      <alignment horizontal="center"/>
    </xf>
    <xf numFmtId="0" fontId="169" fillId="0" borderId="13" xfId="12" applyBorder="1"/>
    <xf numFmtId="0" fontId="169" fillId="0" borderId="3" xfId="12" applyBorder="1" applyAlignment="1">
      <alignment horizontal="center" vertical="center"/>
    </xf>
    <xf numFmtId="0" fontId="169" fillId="0" borderId="1" xfId="12" applyFont="1" applyBorder="1" applyAlignment="1">
      <alignment horizontal="center" vertical="center"/>
    </xf>
    <xf numFmtId="0" fontId="100" fillId="0" borderId="1" xfId="12" applyFont="1" applyBorder="1" applyAlignment="1">
      <alignment horizontal="center" vertical="center"/>
    </xf>
    <xf numFmtId="0" fontId="100" fillId="0" borderId="1" xfId="12" applyFont="1" applyFill="1" applyBorder="1" applyAlignment="1">
      <alignment horizontal="center" vertical="center" wrapText="1"/>
    </xf>
    <xf numFmtId="0" fontId="269" fillId="0" borderId="1" xfId="12" applyFont="1" applyBorder="1" applyAlignment="1">
      <alignment horizontal="center" vertical="center" wrapText="1"/>
    </xf>
    <xf numFmtId="1" fontId="100" fillId="0" borderId="1" xfId="12" applyNumberFormat="1" applyFont="1" applyBorder="1" applyAlignment="1">
      <alignment horizontal="center" vertical="center"/>
    </xf>
    <xf numFmtId="1" fontId="169" fillId="0" borderId="1" xfId="12" applyNumberFormat="1" applyBorder="1" applyAlignment="1">
      <alignment horizontal="center" vertical="center"/>
    </xf>
    <xf numFmtId="0" fontId="169" fillId="0" borderId="0" xfId="12" applyAlignment="1"/>
    <xf numFmtId="176" fontId="169" fillId="0" borderId="1" xfId="12" applyNumberFormat="1" applyBorder="1"/>
    <xf numFmtId="0" fontId="155" fillId="0" borderId="1" xfId="12" applyFont="1" applyBorder="1" applyAlignment="1">
      <alignment horizontal="center" vertical="center"/>
    </xf>
    <xf numFmtId="0" fontId="155" fillId="0" borderId="24" xfId="12" applyFont="1" applyBorder="1" applyAlignment="1">
      <alignment horizontal="center" vertical="center"/>
    </xf>
    <xf numFmtId="10" fontId="155" fillId="0" borderId="1" xfId="12" applyNumberFormat="1" applyFont="1" applyBorder="1" applyAlignment="1">
      <alignment horizontal="center" vertical="center"/>
    </xf>
    <xf numFmtId="2" fontId="155" fillId="0" borderId="24" xfId="12" applyNumberFormat="1" applyFont="1" applyBorder="1" applyAlignment="1">
      <alignment horizontal="center" vertical="center"/>
    </xf>
    <xf numFmtId="10" fontId="155" fillId="0" borderId="1" xfId="35" applyNumberFormat="1" applyFont="1" applyBorder="1" applyAlignment="1">
      <alignment horizontal="center" vertical="center"/>
    </xf>
    <xf numFmtId="177" fontId="155" fillId="0" borderId="1" xfId="12" applyNumberFormat="1" applyFont="1" applyBorder="1" applyAlignment="1">
      <alignment horizontal="center" vertical="center"/>
    </xf>
    <xf numFmtId="2" fontId="155" fillId="0" borderId="1" xfId="12" applyNumberFormat="1" applyFont="1" applyBorder="1" applyAlignment="1">
      <alignment horizontal="center" vertical="center"/>
    </xf>
    <xf numFmtId="199" fontId="169" fillId="0" borderId="0" xfId="12" applyNumberFormat="1"/>
    <xf numFmtId="0" fontId="270" fillId="0" borderId="2" xfId="12" applyFont="1" applyBorder="1" applyAlignment="1">
      <alignment horizontal="center" vertical="center"/>
    </xf>
    <xf numFmtId="0" fontId="155" fillId="0" borderId="13" xfId="12" applyFont="1" applyBorder="1" applyAlignment="1">
      <alignment horizontal="center" vertical="center"/>
    </xf>
    <xf numFmtId="9" fontId="155" fillId="0" borderId="1" xfId="35" applyFont="1" applyBorder="1" applyAlignment="1">
      <alignment horizontal="center" vertical="center"/>
    </xf>
    <xf numFmtId="0" fontId="270" fillId="0" borderId="1" xfId="12" applyFont="1" applyBorder="1" applyAlignment="1">
      <alignment horizontal="center" vertical="center"/>
    </xf>
    <xf numFmtId="9" fontId="155" fillId="0" borderId="1" xfId="35" applyFont="1" applyBorder="1" applyAlignment="1">
      <alignment horizontal="center" vertical="center" wrapText="1"/>
    </xf>
    <xf numFmtId="0" fontId="155" fillId="0" borderId="24" xfId="12" applyFont="1" applyBorder="1" applyAlignment="1">
      <alignment horizontal="center" vertical="center" wrapText="1"/>
    </xf>
    <xf numFmtId="0" fontId="270" fillId="0" borderId="13" xfId="12" applyFont="1" applyBorder="1" applyAlignment="1">
      <alignment horizontal="center" vertical="center"/>
    </xf>
    <xf numFmtId="200" fontId="155" fillId="0" borderId="24" xfId="12" applyNumberFormat="1" applyFont="1" applyBorder="1" applyAlignment="1">
      <alignment horizontal="center" vertical="center"/>
    </xf>
    <xf numFmtId="1" fontId="155" fillId="0" borderId="1" xfId="12" applyNumberFormat="1" applyFont="1" applyBorder="1" applyAlignment="1">
      <alignment horizontal="center" vertical="center"/>
    </xf>
    <xf numFmtId="0" fontId="155" fillId="0" borderId="32" xfId="12" applyFont="1" applyBorder="1" applyAlignment="1">
      <alignment horizontal="center" vertical="center"/>
    </xf>
    <xf numFmtId="0" fontId="155" fillId="0" borderId="49" xfId="12" applyFont="1" applyBorder="1" applyAlignment="1">
      <alignment horizontal="center" vertical="center"/>
    </xf>
    <xf numFmtId="0" fontId="169" fillId="0" borderId="24" xfId="12" applyBorder="1" applyAlignment="1">
      <alignment horizontal="center" vertical="center"/>
    </xf>
    <xf numFmtId="0" fontId="169" fillId="0" borderId="23" xfId="12" applyBorder="1" applyAlignment="1">
      <alignment horizontal="center" vertical="center"/>
    </xf>
    <xf numFmtId="0" fontId="100" fillId="0" borderId="24" xfId="12" applyFont="1" applyBorder="1" applyAlignment="1">
      <alignment horizontal="center" vertical="center"/>
    </xf>
    <xf numFmtId="0" fontId="100" fillId="0" borderId="24" xfId="12" applyFont="1" applyBorder="1" applyAlignment="1">
      <alignment horizontal="center" vertical="center" wrapText="1"/>
    </xf>
    <xf numFmtId="0" fontId="169" fillId="0" borderId="24" xfId="12" applyBorder="1" applyAlignment="1">
      <alignment horizontal="center" vertical="center" wrapText="1"/>
    </xf>
    <xf numFmtId="0" fontId="169" fillId="0" borderId="24" xfId="12" applyBorder="1" applyAlignment="1">
      <alignment horizontal="center"/>
    </xf>
    <xf numFmtId="0" fontId="169" fillId="0" borderId="24" xfId="12" applyBorder="1" applyAlignment="1">
      <alignment horizontal="center" vertical="top"/>
    </xf>
    <xf numFmtId="0" fontId="169" fillId="0" borderId="11" xfId="12" applyBorder="1" applyAlignment="1">
      <alignment horizontal="center" vertical="center"/>
    </xf>
    <xf numFmtId="0" fontId="100" fillId="0" borderId="13" xfId="12" applyFont="1" applyBorder="1" applyAlignment="1">
      <alignment horizontal="center" vertical="center"/>
    </xf>
    <xf numFmtId="0" fontId="169" fillId="0" borderId="61" xfId="12" applyBorder="1" applyAlignment="1">
      <alignment horizontal="center" vertical="center" wrapText="1"/>
    </xf>
    <xf numFmtId="0" fontId="169" fillId="0" borderId="25" xfId="12" applyBorder="1" applyAlignment="1">
      <alignment horizontal="center" vertical="center"/>
    </xf>
    <xf numFmtId="0" fontId="169" fillId="0" borderId="32" xfId="12" applyBorder="1" applyAlignment="1">
      <alignment horizontal="center" vertical="center"/>
    </xf>
    <xf numFmtId="0" fontId="169" fillId="0" borderId="49" xfId="12" applyBorder="1" applyAlignment="1">
      <alignment horizontal="center" vertical="center"/>
    </xf>
    <xf numFmtId="0" fontId="169" fillId="0" borderId="0" xfId="12" applyBorder="1" applyAlignment="1">
      <alignment vertical="center"/>
    </xf>
    <xf numFmtId="0" fontId="169" fillId="0" borderId="0" xfId="12" applyBorder="1" applyAlignment="1">
      <alignment horizontal="center" vertical="center"/>
    </xf>
    <xf numFmtId="179" fontId="169" fillId="0" borderId="0" xfId="12" applyNumberFormat="1" applyBorder="1" applyAlignment="1">
      <alignment horizontal="center" vertical="center"/>
    </xf>
    <xf numFmtId="0" fontId="100" fillId="0" borderId="1" xfId="12" applyFont="1" applyBorder="1" applyAlignment="1">
      <alignment vertical="center"/>
    </xf>
    <xf numFmtId="0" fontId="169" fillId="0" borderId="15" xfId="12" applyFill="1" applyBorder="1" applyAlignment="1">
      <alignment vertical="center"/>
    </xf>
    <xf numFmtId="0" fontId="169" fillId="0" borderId="15" xfId="12" applyFont="1" applyFill="1" applyBorder="1" applyAlignment="1">
      <alignment vertical="center"/>
    </xf>
    <xf numFmtId="176" fontId="169" fillId="0" borderId="1" xfId="12" applyNumberFormat="1" applyBorder="1" applyAlignment="1">
      <alignment vertical="center"/>
    </xf>
    <xf numFmtId="176" fontId="169" fillId="0" borderId="1" xfId="12" applyNumberFormat="1" applyFill="1" applyBorder="1" applyAlignment="1">
      <alignment horizontal="center" vertical="center" wrapText="1"/>
    </xf>
    <xf numFmtId="0" fontId="266" fillId="0" borderId="15" xfId="12" applyFont="1" applyFill="1" applyBorder="1" applyAlignment="1">
      <alignment vertical="center"/>
    </xf>
    <xf numFmtId="0" fontId="169" fillId="7" borderId="1" xfId="12" applyFill="1" applyBorder="1" applyAlignment="1">
      <alignment vertical="center"/>
    </xf>
    <xf numFmtId="176" fontId="169" fillId="7" borderId="1" xfId="12" applyNumberFormat="1" applyFill="1" applyBorder="1" applyAlignment="1">
      <alignment vertical="center"/>
    </xf>
    <xf numFmtId="176" fontId="169" fillId="7" borderId="1" xfId="12" applyNumberFormat="1" applyFill="1" applyBorder="1" applyAlignment="1">
      <alignment horizontal="center" vertical="center" wrapText="1"/>
    </xf>
    <xf numFmtId="0" fontId="266" fillId="0" borderId="0" xfId="12" applyFont="1" applyFill="1"/>
    <xf numFmtId="179" fontId="169" fillId="0" borderId="1" xfId="12" applyNumberFormat="1" applyBorder="1" applyAlignment="1">
      <alignment vertical="center"/>
    </xf>
    <xf numFmtId="0" fontId="169" fillId="0" borderId="0" xfId="12" applyFill="1" applyBorder="1" applyAlignment="1">
      <alignment vertical="center"/>
    </xf>
    <xf numFmtId="179" fontId="113" fillId="0" borderId="1" xfId="12" applyNumberFormat="1" applyFont="1" applyBorder="1" applyAlignment="1">
      <alignment horizontal="center" vertical="center" wrapText="1"/>
    </xf>
    <xf numFmtId="0" fontId="271" fillId="41" borderId="164" xfId="12" applyFont="1" applyFill="1" applyBorder="1" applyAlignment="1">
      <alignment horizontal="center" vertical="center" wrapText="1" readingOrder="1"/>
    </xf>
    <xf numFmtId="0" fontId="271" fillId="43" borderId="164" xfId="12" applyFont="1" applyFill="1" applyBorder="1" applyAlignment="1">
      <alignment horizontal="center" vertical="center" wrapText="1" readingOrder="1"/>
    </xf>
    <xf numFmtId="0" fontId="271" fillId="43" borderId="164" xfId="12" applyFont="1" applyFill="1" applyBorder="1" applyAlignment="1">
      <alignment horizontal="left" vertical="center" wrapText="1" readingOrder="1"/>
    </xf>
    <xf numFmtId="0" fontId="272" fillId="42" borderId="164" xfId="12" applyFont="1" applyFill="1" applyBorder="1" applyAlignment="1">
      <alignment horizontal="left" vertical="center" wrapText="1" readingOrder="1"/>
    </xf>
    <xf numFmtId="0" fontId="272" fillId="42" borderId="164" xfId="12" applyFont="1" applyFill="1" applyBorder="1" applyAlignment="1">
      <alignment horizontal="center" vertical="center" wrapText="1" readingOrder="1"/>
    </xf>
    <xf numFmtId="0" fontId="273" fillId="42" borderId="168" xfId="12" applyFont="1" applyFill="1" applyBorder="1" applyAlignment="1">
      <alignment horizontal="center" vertical="center" wrapText="1" readingOrder="1"/>
    </xf>
    <xf numFmtId="0" fontId="274" fillId="0" borderId="164" xfId="12" applyFont="1" applyBorder="1" applyAlignment="1">
      <alignment horizontal="center" vertical="center" wrapText="1" readingOrder="1"/>
    </xf>
    <xf numFmtId="10" fontId="274" fillId="0" borderId="164" xfId="12" applyNumberFormat="1" applyFont="1" applyBorder="1" applyAlignment="1">
      <alignment horizontal="center" vertical="center" wrapText="1" readingOrder="1"/>
    </xf>
    <xf numFmtId="10" fontId="274" fillId="48" borderId="170" xfId="12" applyNumberFormat="1" applyFont="1" applyFill="1" applyBorder="1" applyAlignment="1">
      <alignment horizontal="center" vertical="center" wrapText="1" readingOrder="1"/>
    </xf>
    <xf numFmtId="0" fontId="274" fillId="48" borderId="170" xfId="12" applyFont="1" applyFill="1" applyBorder="1" applyAlignment="1">
      <alignment horizontal="center" vertical="center" wrapText="1" readingOrder="1"/>
    </xf>
    <xf numFmtId="0" fontId="275" fillId="43" borderId="164" xfId="12" applyFont="1" applyFill="1" applyBorder="1" applyAlignment="1">
      <alignment vertical="center" wrapText="1"/>
    </xf>
    <xf numFmtId="0" fontId="55" fillId="43" borderId="164" xfId="12" applyFont="1" applyFill="1" applyBorder="1" applyAlignment="1">
      <alignment vertical="center" wrapText="1"/>
    </xf>
    <xf numFmtId="10" fontId="274" fillId="42" borderId="164" xfId="12" applyNumberFormat="1" applyFont="1" applyFill="1" applyBorder="1" applyAlignment="1">
      <alignment horizontal="right" vertical="center" wrapText="1" readingOrder="1"/>
    </xf>
    <xf numFmtId="0" fontId="274" fillId="42" borderId="164" xfId="12" applyFont="1" applyFill="1" applyBorder="1" applyAlignment="1">
      <alignment horizontal="right" vertical="center" wrapText="1" readingOrder="1"/>
    </xf>
    <xf numFmtId="0" fontId="274" fillId="42" borderId="164" xfId="12" applyFont="1" applyFill="1" applyBorder="1" applyAlignment="1">
      <alignment horizontal="center" vertical="center" wrapText="1" readingOrder="1"/>
    </xf>
    <xf numFmtId="0" fontId="274" fillId="42" borderId="164" xfId="12" applyFont="1" applyFill="1" applyBorder="1" applyAlignment="1">
      <alignment horizontal="left" vertical="center" wrapText="1" readingOrder="1"/>
    </xf>
    <xf numFmtId="10" fontId="274" fillId="42" borderId="164" xfId="12" applyNumberFormat="1" applyFont="1" applyFill="1" applyBorder="1" applyAlignment="1">
      <alignment horizontal="center" vertical="center" wrapText="1" readingOrder="1"/>
    </xf>
    <xf numFmtId="0" fontId="169" fillId="43" borderId="175" xfId="12" applyFill="1" applyBorder="1"/>
    <xf numFmtId="0" fontId="277" fillId="43" borderId="179" xfId="12" applyFont="1" applyFill="1" applyBorder="1" applyAlignment="1">
      <alignment horizontal="left" vertical="center" wrapText="1" readingOrder="1"/>
    </xf>
    <xf numFmtId="0" fontId="277" fillId="43" borderId="179" xfId="12" applyFont="1" applyFill="1" applyBorder="1" applyAlignment="1">
      <alignment horizontal="center" vertical="center" wrapText="1" readingOrder="1"/>
    </xf>
    <xf numFmtId="0" fontId="278" fillId="43" borderId="179" xfId="12" applyFont="1" applyFill="1" applyBorder="1" applyAlignment="1">
      <alignment horizontal="center" vertical="center" wrapText="1" readingOrder="1"/>
    </xf>
    <xf numFmtId="10" fontId="278" fillId="43" borderId="179" xfId="12" applyNumberFormat="1" applyFont="1" applyFill="1" applyBorder="1" applyAlignment="1">
      <alignment horizontal="center" vertical="center" wrapText="1" readingOrder="1"/>
    </xf>
    <xf numFmtId="0" fontId="169" fillId="43" borderId="179" xfId="12" applyFill="1" applyBorder="1"/>
    <xf numFmtId="0" fontId="279" fillId="43" borderId="179" xfId="12" applyFont="1" applyFill="1" applyBorder="1" applyAlignment="1">
      <alignment horizontal="left" vertical="center" wrapText="1" readingOrder="1"/>
    </xf>
    <xf numFmtId="0" fontId="280" fillId="41" borderId="1" xfId="12" applyFont="1" applyFill="1" applyBorder="1" applyAlignment="1">
      <alignment horizontal="center" vertical="center" wrapText="1" readingOrder="1"/>
    </xf>
    <xf numFmtId="0" fontId="271" fillId="43" borderId="1" xfId="12" applyFont="1" applyFill="1" applyBorder="1" applyAlignment="1">
      <alignment horizontal="center" vertical="center" wrapText="1" readingOrder="1"/>
    </xf>
    <xf numFmtId="0" fontId="271" fillId="43" borderId="1" xfId="12" applyFont="1" applyFill="1" applyBorder="1" applyAlignment="1">
      <alignment horizontal="left" vertical="center" wrapText="1" readingOrder="1"/>
    </xf>
    <xf numFmtId="9" fontId="271" fillId="43" borderId="1" xfId="35" applyNumberFormat="1" applyFont="1" applyFill="1" applyBorder="1" applyAlignment="1">
      <alignment horizontal="left" vertical="center" wrapText="1" readingOrder="1"/>
    </xf>
    <xf numFmtId="2" fontId="271" fillId="43" borderId="1" xfId="12" applyNumberFormat="1" applyFont="1" applyFill="1" applyBorder="1" applyAlignment="1">
      <alignment horizontal="left" vertical="center" wrapText="1" readingOrder="1"/>
    </xf>
    <xf numFmtId="10" fontId="271" fillId="43" borderId="1" xfId="12" applyNumberFormat="1" applyFont="1" applyFill="1" applyBorder="1" applyAlignment="1">
      <alignment horizontal="left" vertical="center" wrapText="1" readingOrder="1"/>
    </xf>
    <xf numFmtId="0" fontId="275" fillId="43" borderId="1" xfId="12" applyFont="1" applyFill="1" applyBorder="1" applyAlignment="1">
      <alignment vertical="center" wrapText="1"/>
    </xf>
    <xf numFmtId="0" fontId="169" fillId="43" borderId="1" xfId="12" applyFill="1" applyBorder="1"/>
    <xf numFmtId="49" fontId="0" fillId="0" borderId="0" xfId="0" applyNumberFormat="1">
      <alignment vertical="center"/>
    </xf>
    <xf numFmtId="49" fontId="100" fillId="0" borderId="0" xfId="0" applyNumberFormat="1" applyFont="1">
      <alignment vertical="center"/>
    </xf>
    <xf numFmtId="0" fontId="266" fillId="0" borderId="0" xfId="0" applyFont="1">
      <alignment vertical="center"/>
    </xf>
    <xf numFmtId="49" fontId="100" fillId="51" borderId="0" xfId="0" applyNumberFormat="1" applyFont="1" applyFill="1">
      <alignment vertical="center"/>
    </xf>
    <xf numFmtId="0" fontId="100" fillId="51" borderId="0" xfId="0" applyFont="1" applyFill="1">
      <alignment vertical="center"/>
    </xf>
    <xf numFmtId="0" fontId="0" fillId="51" borderId="0" xfId="0" applyFill="1">
      <alignment vertical="center"/>
    </xf>
    <xf numFmtId="0" fontId="81" fillId="7" borderId="60" xfId="0" applyFont="1" applyFill="1" applyBorder="1" applyAlignment="1" applyProtection="1">
      <alignment vertical="center" wrapText="1"/>
      <protection locked="0"/>
    </xf>
    <xf numFmtId="0" fontId="100" fillId="0" borderId="0" xfId="0" applyNumberFormat="1" applyFont="1" applyProtection="1">
      <alignment vertical="center"/>
      <protection locked="0"/>
    </xf>
    <xf numFmtId="49" fontId="237" fillId="0" borderId="10" xfId="0" applyNumberFormat="1" applyFont="1" applyFill="1" applyBorder="1" applyAlignment="1" applyProtection="1">
      <alignment vertical="center" wrapText="1"/>
      <protection locked="0"/>
    </xf>
    <xf numFmtId="0" fontId="237" fillId="0" borderId="24" xfId="0" applyFont="1" applyBorder="1" applyAlignment="1" applyProtection="1">
      <alignment vertical="center" wrapText="1"/>
      <protection locked="0"/>
    </xf>
    <xf numFmtId="49" fontId="237" fillId="0" borderId="24" xfId="0" applyNumberFormat="1" applyFont="1" applyFill="1" applyBorder="1" applyAlignment="1" applyProtection="1">
      <alignment vertical="center" wrapText="1"/>
      <protection locked="0"/>
    </xf>
    <xf numFmtId="0" fontId="81" fillId="0" borderId="24" xfId="0" applyNumberFormat="1" applyFont="1" applyFill="1" applyBorder="1" applyAlignment="1" applyProtection="1">
      <alignment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7" fillId="0" borderId="0" xfId="36"/>
    <xf numFmtId="0" fontId="21" fillId="0" borderId="0" xfId="36" applyFont="1"/>
    <xf numFmtId="9" fontId="0" fillId="0" borderId="0" xfId="0" applyNumberFormat="1">
      <alignment vertical="center"/>
    </xf>
    <xf numFmtId="9" fontId="0" fillId="0" borderId="0" xfId="17" applyFont="1">
      <alignment vertical="center"/>
    </xf>
    <xf numFmtId="0" fontId="201"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1"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1"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0"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1" fillId="0" borderId="0" xfId="0" applyFont="1" applyBorder="1" applyAlignment="1" applyProtection="1">
      <alignment horizontal="left" vertical="center"/>
    </xf>
    <xf numFmtId="0" fontId="211"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5" fillId="0" borderId="0" xfId="0" applyNumberFormat="1" applyFont="1" applyAlignment="1" applyProtection="1">
      <alignment horizontal="right" vertical="center"/>
      <protection locked="0"/>
    </xf>
    <xf numFmtId="0" fontId="228"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2"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271" fillId="41" borderId="165" xfId="12" applyFont="1" applyFill="1" applyBorder="1" applyAlignment="1">
      <alignment horizontal="center" vertical="center" wrapText="1" readingOrder="1"/>
    </xf>
    <xf numFmtId="0" fontId="271" fillId="41" borderId="166" xfId="12" applyFont="1" applyFill="1" applyBorder="1" applyAlignment="1">
      <alignment horizontal="center" vertical="center" wrapText="1" readingOrder="1"/>
    </xf>
    <xf numFmtId="0" fontId="271" fillId="41" borderId="167" xfId="12" applyFont="1" applyFill="1" applyBorder="1" applyAlignment="1">
      <alignment horizontal="center" vertical="center" wrapText="1" readingOrder="1"/>
    </xf>
    <xf numFmtId="0" fontId="272" fillId="42" borderId="165" xfId="12" applyFont="1" applyFill="1" applyBorder="1" applyAlignment="1">
      <alignment horizontal="center" vertical="center" wrapText="1" readingOrder="1"/>
    </xf>
    <xf numFmtId="0" fontId="272" fillId="42" borderId="166" xfId="12" applyFont="1" applyFill="1" applyBorder="1" applyAlignment="1">
      <alignment horizontal="center" vertical="center" wrapText="1" readingOrder="1"/>
    </xf>
    <xf numFmtId="0" fontId="272" fillId="42" borderId="167" xfId="12" applyFont="1" applyFill="1" applyBorder="1" applyAlignment="1">
      <alignment horizontal="center" vertical="center" wrapText="1" readingOrder="1"/>
    </xf>
    <xf numFmtId="0" fontId="271" fillId="43" borderId="165" xfId="12" applyFont="1" applyFill="1" applyBorder="1" applyAlignment="1">
      <alignment horizontal="left" vertical="center" wrapText="1" readingOrder="1"/>
    </xf>
    <xf numFmtId="0" fontId="271" fillId="43" borderId="166" xfId="12" applyFont="1" applyFill="1" applyBorder="1" applyAlignment="1">
      <alignment horizontal="left" vertical="center" wrapText="1" readingOrder="1"/>
    </xf>
    <xf numFmtId="0" fontId="271" fillId="43" borderId="167" xfId="12" applyFont="1" applyFill="1" applyBorder="1" applyAlignment="1">
      <alignment horizontal="left" vertical="center" wrapText="1" readingOrder="1"/>
    </xf>
    <xf numFmtId="10" fontId="274" fillId="44" borderId="169" xfId="12" applyNumberFormat="1" applyFont="1" applyFill="1" applyBorder="1" applyAlignment="1">
      <alignment horizontal="center" vertical="center" wrapText="1" readingOrder="1"/>
    </xf>
    <xf numFmtId="10" fontId="274" fillId="44" borderId="170" xfId="12" applyNumberFormat="1" applyFont="1" applyFill="1" applyBorder="1" applyAlignment="1">
      <alignment horizontal="center" vertical="center" wrapText="1" readingOrder="1"/>
    </xf>
    <xf numFmtId="0" fontId="274" fillId="44" borderId="169" xfId="12" applyFont="1" applyFill="1" applyBorder="1" applyAlignment="1">
      <alignment horizontal="center" vertical="center" wrapText="1" readingOrder="1"/>
    </xf>
    <xf numFmtId="0" fontId="274" fillId="44" borderId="170" xfId="12" applyFont="1" applyFill="1" applyBorder="1" applyAlignment="1">
      <alignment horizontal="center" vertical="center" wrapText="1" readingOrder="1"/>
    </xf>
    <xf numFmtId="0" fontId="274" fillId="44" borderId="169" xfId="12" applyFont="1" applyFill="1" applyBorder="1" applyAlignment="1">
      <alignment horizontal="left" vertical="center" wrapText="1" readingOrder="1"/>
    </xf>
    <xf numFmtId="0" fontId="274" fillId="44" borderId="170" xfId="12" applyFont="1" applyFill="1" applyBorder="1" applyAlignment="1">
      <alignment horizontal="left" vertical="center" wrapText="1" readingOrder="1"/>
    </xf>
    <xf numFmtId="0" fontId="271" fillId="43" borderId="169" xfId="12" applyFont="1" applyFill="1" applyBorder="1" applyAlignment="1">
      <alignment horizontal="center" vertical="center" wrapText="1" readingOrder="1"/>
    </xf>
    <xf numFmtId="0" fontId="271" fillId="43" borderId="168" xfId="12" applyFont="1" applyFill="1" applyBorder="1" applyAlignment="1">
      <alignment horizontal="center" vertical="center" wrapText="1" readingOrder="1"/>
    </xf>
    <xf numFmtId="0" fontId="271" fillId="43" borderId="170" xfId="12" applyFont="1" applyFill="1" applyBorder="1" applyAlignment="1">
      <alignment horizontal="center" vertical="center" wrapText="1" readingOrder="1"/>
    </xf>
    <xf numFmtId="10" fontId="274" fillId="45" borderId="169" xfId="12" applyNumberFormat="1" applyFont="1" applyFill="1" applyBorder="1" applyAlignment="1">
      <alignment horizontal="center" vertical="center" wrapText="1" readingOrder="1"/>
    </xf>
    <xf numFmtId="10" fontId="274" fillId="45" borderId="168" xfId="12" applyNumberFormat="1" applyFont="1" applyFill="1" applyBorder="1" applyAlignment="1">
      <alignment horizontal="center" vertical="center" wrapText="1" readingOrder="1"/>
    </xf>
    <xf numFmtId="10" fontId="274" fillId="45" borderId="170" xfId="12" applyNumberFormat="1" applyFont="1" applyFill="1" applyBorder="1" applyAlignment="1">
      <alignment horizontal="center" vertical="center" wrapText="1" readingOrder="1"/>
    </xf>
    <xf numFmtId="0" fontId="274" fillId="45" borderId="169" xfId="12" applyFont="1" applyFill="1" applyBorder="1" applyAlignment="1">
      <alignment horizontal="center" vertical="center" wrapText="1" readingOrder="1"/>
    </xf>
    <xf numFmtId="0" fontId="274" fillId="45" borderId="168" xfId="12" applyFont="1" applyFill="1" applyBorder="1" applyAlignment="1">
      <alignment horizontal="center" vertical="center" wrapText="1" readingOrder="1"/>
    </xf>
    <xf numFmtId="0" fontId="274" fillId="45" borderId="170" xfId="12" applyFont="1" applyFill="1" applyBorder="1" applyAlignment="1">
      <alignment horizontal="center" vertical="center" wrapText="1" readingOrder="1"/>
    </xf>
    <xf numFmtId="0" fontId="271" fillId="43" borderId="171" xfId="12" applyFont="1" applyFill="1" applyBorder="1" applyAlignment="1">
      <alignment horizontal="center" vertical="center" wrapText="1" readingOrder="1"/>
    </xf>
    <xf numFmtId="0" fontId="271" fillId="43" borderId="172" xfId="12" applyFont="1" applyFill="1" applyBorder="1" applyAlignment="1">
      <alignment horizontal="center" vertical="center" wrapText="1" readingOrder="1"/>
    </xf>
    <xf numFmtId="0" fontId="271" fillId="43" borderId="173" xfId="12" applyFont="1" applyFill="1" applyBorder="1" applyAlignment="1">
      <alignment horizontal="center" vertical="center" wrapText="1" readingOrder="1"/>
    </xf>
    <xf numFmtId="0" fontId="271" fillId="43" borderId="174" xfId="12" applyFont="1" applyFill="1" applyBorder="1" applyAlignment="1">
      <alignment horizontal="center" vertical="center" wrapText="1" readingOrder="1"/>
    </xf>
    <xf numFmtId="0" fontId="271" fillId="43" borderId="175" xfId="12" applyFont="1" applyFill="1" applyBorder="1" applyAlignment="1">
      <alignment horizontal="center" vertical="center" wrapText="1" readingOrder="1"/>
    </xf>
    <xf numFmtId="0" fontId="271" fillId="43" borderId="176" xfId="12" applyFont="1" applyFill="1" applyBorder="1" applyAlignment="1">
      <alignment horizontal="center" vertical="center" wrapText="1" readingOrder="1"/>
    </xf>
    <xf numFmtId="10" fontId="274" fillId="46" borderId="169" xfId="12" applyNumberFormat="1" applyFont="1" applyFill="1" applyBorder="1" applyAlignment="1">
      <alignment horizontal="center" vertical="center" wrapText="1" readingOrder="1"/>
    </xf>
    <xf numFmtId="10" fontId="274" fillId="46" borderId="168" xfId="12" applyNumberFormat="1" applyFont="1" applyFill="1" applyBorder="1" applyAlignment="1">
      <alignment horizontal="center" vertical="center" wrapText="1" readingOrder="1"/>
    </xf>
    <xf numFmtId="10" fontId="274" fillId="46" borderId="170" xfId="12" applyNumberFormat="1" applyFont="1" applyFill="1" applyBorder="1" applyAlignment="1">
      <alignment horizontal="center" vertical="center" wrapText="1" readingOrder="1"/>
    </xf>
    <xf numFmtId="0" fontId="274" fillId="46" borderId="169" xfId="12" applyFont="1" applyFill="1" applyBorder="1" applyAlignment="1">
      <alignment horizontal="center" vertical="center" wrapText="1" readingOrder="1"/>
    </xf>
    <xf numFmtId="0" fontId="274" fillId="46" borderId="168" xfId="12" applyFont="1" applyFill="1" applyBorder="1" applyAlignment="1">
      <alignment horizontal="center" vertical="center" wrapText="1" readingOrder="1"/>
    </xf>
    <xf numFmtId="0" fontId="274" fillId="46" borderId="170" xfId="12" applyFont="1" applyFill="1" applyBorder="1" applyAlignment="1">
      <alignment horizontal="center" vertical="center" wrapText="1" readingOrder="1"/>
    </xf>
    <xf numFmtId="10" fontId="274" fillId="0" borderId="169" xfId="12" applyNumberFormat="1" applyFont="1" applyBorder="1" applyAlignment="1">
      <alignment horizontal="center" vertical="center" wrapText="1" readingOrder="1"/>
    </xf>
    <xf numFmtId="10" fontId="274" fillId="0" borderId="170" xfId="12" applyNumberFormat="1" applyFont="1" applyBorder="1" applyAlignment="1">
      <alignment horizontal="center" vertical="center" wrapText="1" readingOrder="1"/>
    </xf>
    <xf numFmtId="0" fontId="274" fillId="0" borderId="169" xfId="12" applyFont="1" applyBorder="1" applyAlignment="1">
      <alignment horizontal="center" vertical="center" wrapText="1" readingOrder="1"/>
    </xf>
    <xf numFmtId="0" fontId="274" fillId="0" borderId="170" xfId="12" applyFont="1" applyBorder="1" applyAlignment="1">
      <alignment horizontal="center" vertical="center" wrapText="1" readingOrder="1"/>
    </xf>
    <xf numFmtId="10" fontId="274" fillId="47" borderId="169" xfId="12" applyNumberFormat="1" applyFont="1" applyFill="1" applyBorder="1" applyAlignment="1">
      <alignment horizontal="center" vertical="center" wrapText="1" readingOrder="1"/>
    </xf>
    <xf numFmtId="10" fontId="274" fillId="47" borderId="168" xfId="12" applyNumberFormat="1" applyFont="1" applyFill="1" applyBorder="1" applyAlignment="1">
      <alignment horizontal="center" vertical="center" wrapText="1" readingOrder="1"/>
    </xf>
    <xf numFmtId="10" fontId="274" fillId="47" borderId="170" xfId="12" applyNumberFormat="1" applyFont="1" applyFill="1" applyBorder="1" applyAlignment="1">
      <alignment horizontal="center" vertical="center" wrapText="1" readingOrder="1"/>
    </xf>
    <xf numFmtId="0" fontId="274" fillId="47" borderId="169" xfId="12" applyFont="1" applyFill="1" applyBorder="1" applyAlignment="1">
      <alignment horizontal="center" vertical="center" wrapText="1" readingOrder="1"/>
    </xf>
    <xf numFmtId="0" fontId="274" fillId="47" borderId="168" xfId="12" applyFont="1" applyFill="1" applyBorder="1" applyAlignment="1">
      <alignment horizontal="center" vertical="center" wrapText="1" readingOrder="1"/>
    </xf>
    <xf numFmtId="0" fontId="274" fillId="47" borderId="170" xfId="12" applyFont="1" applyFill="1" applyBorder="1" applyAlignment="1">
      <alignment horizontal="center" vertical="center" wrapText="1" readingOrder="1"/>
    </xf>
    <xf numFmtId="10" fontId="274" fillId="49" borderId="169" xfId="12" applyNumberFormat="1" applyFont="1" applyFill="1" applyBorder="1" applyAlignment="1">
      <alignment horizontal="center" vertical="center" wrapText="1" readingOrder="1"/>
    </xf>
    <xf numFmtId="10" fontId="274" fillId="49" borderId="170" xfId="12" applyNumberFormat="1" applyFont="1" applyFill="1" applyBorder="1" applyAlignment="1">
      <alignment horizontal="center" vertical="center" wrapText="1" readingOrder="1"/>
    </xf>
    <xf numFmtId="0" fontId="274" fillId="49" borderId="169" xfId="12" applyFont="1" applyFill="1" applyBorder="1" applyAlignment="1">
      <alignment horizontal="center" vertical="center" wrapText="1" readingOrder="1"/>
    </xf>
    <xf numFmtId="0" fontId="274" fillId="49" borderId="170" xfId="12" applyFont="1" applyFill="1" applyBorder="1" applyAlignment="1">
      <alignment horizontal="center" vertical="center" wrapText="1" readingOrder="1"/>
    </xf>
    <xf numFmtId="0" fontId="169" fillId="43" borderId="171" xfId="12" applyFill="1" applyBorder="1" applyAlignment="1"/>
    <xf numFmtId="0" fontId="169" fillId="43" borderId="177" xfId="12" applyFill="1" applyBorder="1" applyAlignment="1"/>
    <xf numFmtId="0" fontId="169" fillId="43" borderId="172" xfId="12" applyFill="1" applyBorder="1" applyAlignment="1"/>
    <xf numFmtId="0" fontId="169" fillId="43" borderId="173" xfId="12" applyFill="1" applyBorder="1" applyAlignment="1"/>
    <xf numFmtId="0" fontId="169" fillId="43" borderId="0" xfId="12" applyFill="1" applyBorder="1" applyAlignment="1"/>
    <xf numFmtId="0" fontId="169" fillId="43" borderId="174" xfId="12" applyFill="1" applyBorder="1" applyAlignment="1"/>
    <xf numFmtId="0" fontId="169" fillId="43" borderId="178" xfId="12" applyFill="1" applyBorder="1" applyAlignment="1"/>
    <xf numFmtId="0" fontId="169" fillId="43" borderId="176" xfId="12" applyFill="1" applyBorder="1" applyAlignment="1"/>
    <xf numFmtId="0" fontId="276" fillId="50" borderId="179" xfId="12" applyFont="1" applyFill="1" applyBorder="1" applyAlignment="1">
      <alignment horizontal="center" vertical="center" wrapText="1" readingOrder="1"/>
    </xf>
    <xf numFmtId="0" fontId="277" fillId="50" borderId="179" xfId="12" applyFont="1" applyFill="1" applyBorder="1" applyAlignment="1">
      <alignment horizontal="center" vertical="center" wrapText="1" readingOrder="1"/>
    </xf>
    <xf numFmtId="0" fontId="280" fillId="41" borderId="1" xfId="12" applyFont="1" applyFill="1" applyBorder="1" applyAlignment="1">
      <alignment horizontal="center" vertical="center" wrapText="1" readingOrder="1"/>
    </xf>
    <xf numFmtId="0" fontId="271" fillId="43" borderId="1" xfId="12" applyFont="1" applyFill="1" applyBorder="1" applyAlignment="1">
      <alignment horizontal="left" vertical="center" wrapText="1" readingOrder="1"/>
    </xf>
    <xf numFmtId="0" fontId="274" fillId="42" borderId="165" xfId="12" applyFont="1" applyFill="1" applyBorder="1" applyAlignment="1">
      <alignment horizontal="center" vertical="center" wrapText="1" readingOrder="1"/>
    </xf>
    <xf numFmtId="0" fontId="274" fillId="42" borderId="167" xfId="12" applyFont="1" applyFill="1" applyBorder="1" applyAlignment="1">
      <alignment horizontal="center" vertical="center" wrapText="1" readingOrder="1"/>
    </xf>
    <xf numFmtId="0" fontId="271" fillId="43" borderId="177" xfId="12" applyFont="1" applyFill="1" applyBorder="1" applyAlignment="1">
      <alignment horizontal="center" vertical="center" wrapText="1" readingOrder="1"/>
    </xf>
    <xf numFmtId="0" fontId="271" fillId="43" borderId="178" xfId="12" applyFont="1" applyFill="1" applyBorder="1" applyAlignment="1">
      <alignment horizontal="center" vertical="center" wrapText="1" readingOrder="1"/>
    </xf>
    <xf numFmtId="0" fontId="271" fillId="43" borderId="1" xfId="12" applyFont="1" applyFill="1" applyBorder="1" applyAlignment="1">
      <alignment horizontal="center" vertical="center" wrapText="1" readingOrder="1"/>
    </xf>
    <xf numFmtId="0" fontId="169" fillId="43" borderId="1" xfId="12" applyFill="1" applyBorder="1" applyAlignment="1"/>
    <xf numFmtId="0" fontId="258" fillId="21" borderId="1" xfId="19" applyBorder="1" applyAlignment="1">
      <alignment horizontal="center" vertical="center" wrapText="1"/>
    </xf>
    <xf numFmtId="0" fontId="258" fillId="21" borderId="58" xfId="19" applyBorder="1" applyAlignment="1">
      <alignment horizontal="center"/>
    </xf>
    <xf numFmtId="0" fontId="258" fillId="21" borderId="0" xfId="19" applyBorder="1" applyAlignment="1">
      <alignment horizontal="center"/>
    </xf>
    <xf numFmtId="0" fontId="264" fillId="0" borderId="5" xfId="12" applyFont="1" applyBorder="1" applyAlignment="1">
      <alignment horizontal="center" vertical="center"/>
    </xf>
    <xf numFmtId="0" fontId="264" fillId="0" borderId="54" xfId="12" applyFont="1" applyBorder="1" applyAlignment="1">
      <alignment horizontal="center" vertical="center"/>
    </xf>
    <xf numFmtId="0" fontId="264" fillId="0" borderId="3" xfId="12" applyFont="1" applyBorder="1" applyAlignment="1">
      <alignment horizontal="center" vertical="center"/>
    </xf>
    <xf numFmtId="0" fontId="264" fillId="0" borderId="1" xfId="12" applyFont="1" applyBorder="1" applyAlignment="1">
      <alignment horizontal="center" vertical="center"/>
    </xf>
    <xf numFmtId="0" fontId="258" fillId="21" borderId="13" xfId="19" applyBorder="1" applyAlignment="1">
      <alignment horizontal="center"/>
    </xf>
    <xf numFmtId="0" fontId="258" fillId="21" borderId="2" xfId="19" applyBorder="1" applyAlignment="1">
      <alignment horizontal="center"/>
    </xf>
    <xf numFmtId="0" fontId="169" fillId="0" borderId="3" xfId="12" applyBorder="1" applyAlignment="1">
      <alignment horizontal="center" vertical="center"/>
    </xf>
    <xf numFmtId="0" fontId="258" fillId="21" borderId="1" xfId="19" applyBorder="1" applyAlignment="1">
      <alignment horizontal="center" vertical="center"/>
    </xf>
    <xf numFmtId="178" fontId="169" fillId="0" borderId="46" xfId="12" applyNumberFormat="1" applyFill="1" applyBorder="1" applyAlignment="1">
      <alignment horizontal="right"/>
    </xf>
    <xf numFmtId="0" fontId="169" fillId="0" borderId="58" xfId="12" applyFill="1" applyBorder="1" applyAlignment="1">
      <alignment horizontal="right"/>
    </xf>
    <xf numFmtId="0" fontId="169" fillId="0" borderId="4" xfId="12" applyFill="1" applyBorder="1" applyAlignment="1">
      <alignment horizontal="right"/>
    </xf>
    <xf numFmtId="0" fontId="169" fillId="0" borderId="5" xfId="12" applyBorder="1" applyAlignment="1">
      <alignment horizontal="center" vertical="center"/>
    </xf>
    <xf numFmtId="0" fontId="258" fillId="21" borderId="13" xfId="19" applyBorder="1" applyAlignment="1">
      <alignment horizontal="center" vertical="center"/>
    </xf>
    <xf numFmtId="0" fontId="258" fillId="21" borderId="2" xfId="19" applyBorder="1" applyAlignment="1">
      <alignment horizontal="center" vertical="center"/>
    </xf>
    <xf numFmtId="0" fontId="169" fillId="0" borderId="46" xfId="12" applyFill="1" applyBorder="1" applyAlignment="1">
      <alignment horizontal="right"/>
    </xf>
    <xf numFmtId="0" fontId="258" fillId="21" borderId="15" xfId="19" applyBorder="1" applyAlignment="1">
      <alignment horizontal="center" vertical="center"/>
    </xf>
    <xf numFmtId="0" fontId="169" fillId="0" borderId="1" xfId="12" applyBorder="1" applyAlignment="1">
      <alignment horizontal="center" vertical="center"/>
    </xf>
    <xf numFmtId="0" fontId="261" fillId="24" borderId="51" xfId="22" applyBorder="1" applyAlignment="1">
      <alignment horizontal="center" vertical="center"/>
    </xf>
    <xf numFmtId="0" fontId="261" fillId="24" borderId="20" xfId="22" applyBorder="1" applyAlignment="1">
      <alignment horizontal="center" vertical="center"/>
    </xf>
    <xf numFmtId="0" fontId="261" fillId="24" borderId="21" xfId="22" applyBorder="1" applyAlignment="1">
      <alignment horizontal="center" vertical="center"/>
    </xf>
    <xf numFmtId="0" fontId="155" fillId="0" borderId="37" xfId="12" applyFont="1" applyBorder="1" applyAlignment="1">
      <alignment horizontal="center" vertical="center"/>
    </xf>
    <xf numFmtId="0" fontId="155" fillId="0" borderId="54" xfId="12" applyFont="1" applyBorder="1" applyAlignment="1">
      <alignment horizontal="center" vertical="center"/>
    </xf>
    <xf numFmtId="0" fontId="155" fillId="0" borderId="3" xfId="12" applyFont="1" applyBorder="1" applyAlignment="1">
      <alignment horizontal="center" vertical="center"/>
    </xf>
    <xf numFmtId="0" fontId="155" fillId="0" borderId="23" xfId="12" applyFont="1" applyBorder="1" applyAlignment="1">
      <alignment horizontal="center" vertical="center" textRotation="255"/>
    </xf>
    <xf numFmtId="0" fontId="270" fillId="0" borderId="1" xfId="12" applyFont="1" applyBorder="1" applyAlignment="1">
      <alignment horizontal="center" vertical="center"/>
    </xf>
    <xf numFmtId="0" fontId="155" fillId="0" borderId="5" xfId="12" applyFont="1" applyBorder="1" applyAlignment="1">
      <alignment horizontal="center" vertical="center"/>
    </xf>
    <xf numFmtId="0" fontId="270" fillId="0" borderId="46" xfId="12" applyFont="1" applyBorder="1" applyAlignment="1">
      <alignment horizontal="center" vertical="center"/>
    </xf>
    <xf numFmtId="0" fontId="270" fillId="0" borderId="22" xfId="12" applyFont="1" applyBorder="1" applyAlignment="1">
      <alignment horizontal="center" vertical="center"/>
    </xf>
    <xf numFmtId="0" fontId="270" fillId="0" borderId="58" xfId="12" applyFont="1" applyBorder="1" applyAlignment="1">
      <alignment horizontal="center" vertical="center"/>
    </xf>
    <xf numFmtId="0" fontId="270" fillId="0" borderId="35" xfId="12" applyFont="1" applyBorder="1" applyAlignment="1">
      <alignment horizontal="center" vertical="center"/>
    </xf>
    <xf numFmtId="0" fontId="270" fillId="0" borderId="4" xfId="12" applyFont="1" applyBorder="1" applyAlignment="1">
      <alignment horizontal="center" vertical="center"/>
    </xf>
    <xf numFmtId="0" fontId="270" fillId="0" borderId="7" xfId="12" applyFont="1" applyBorder="1" applyAlignment="1">
      <alignment horizontal="center" vertical="center"/>
    </xf>
    <xf numFmtId="0" fontId="155" fillId="0" borderId="25" xfId="12" applyFont="1" applyBorder="1" applyAlignment="1">
      <alignment horizontal="center" vertical="center" textRotation="255"/>
    </xf>
    <xf numFmtId="0" fontId="270" fillId="0" borderId="13" xfId="12" applyFont="1" applyBorder="1" applyAlignment="1">
      <alignment horizontal="center" vertical="center"/>
    </xf>
    <xf numFmtId="0" fontId="270" fillId="0" borderId="15" xfId="12" applyFont="1" applyBorder="1" applyAlignment="1">
      <alignment horizontal="center" vertical="center"/>
    </xf>
    <xf numFmtId="0" fontId="270" fillId="0" borderId="2" xfId="12" applyFont="1" applyBorder="1" applyAlignment="1">
      <alignment horizontal="center" vertical="center"/>
    </xf>
    <xf numFmtId="0" fontId="155" fillId="0" borderId="1" xfId="12" applyFont="1" applyBorder="1" applyAlignment="1">
      <alignment horizontal="center" vertical="center"/>
    </xf>
    <xf numFmtId="0" fontId="270" fillId="0" borderId="32" xfId="12" applyFont="1" applyBorder="1" applyAlignment="1">
      <alignment horizontal="center" vertical="center"/>
    </xf>
    <xf numFmtId="0" fontId="169" fillId="0" borderId="16" xfId="12" applyBorder="1" applyAlignment="1">
      <alignment horizontal="center"/>
    </xf>
    <xf numFmtId="0" fontId="169" fillId="0" borderId="18" xfId="12" applyBorder="1" applyAlignment="1">
      <alignment horizontal="center"/>
    </xf>
    <xf numFmtId="0" fontId="169" fillId="0" borderId="42" xfId="12" applyBorder="1" applyAlignment="1">
      <alignment horizontal="center"/>
    </xf>
    <xf numFmtId="0" fontId="261" fillId="24" borderId="161" xfId="22" applyBorder="1" applyAlignment="1">
      <alignment horizontal="center" vertical="center"/>
    </xf>
    <xf numFmtId="0" fontId="261" fillId="24" borderId="162" xfId="22" applyBorder="1" applyAlignment="1">
      <alignment horizontal="center" vertical="center"/>
    </xf>
    <xf numFmtId="0" fontId="261" fillId="24" borderId="163" xfId="22" applyBorder="1" applyAlignment="1">
      <alignment horizontal="center" vertical="center"/>
    </xf>
    <xf numFmtId="0" fontId="169" fillId="0" borderId="23" xfId="12" applyBorder="1" applyAlignment="1">
      <alignment horizontal="center" vertical="center"/>
    </xf>
    <xf numFmtId="0" fontId="169" fillId="0" borderId="11" xfId="12" applyBorder="1" applyAlignment="1">
      <alignment horizontal="center" vertical="center"/>
    </xf>
    <xf numFmtId="0" fontId="169" fillId="0" borderId="14" xfId="12" applyBorder="1" applyAlignment="1">
      <alignment horizontal="center" vertical="center"/>
    </xf>
    <xf numFmtId="0" fontId="169" fillId="0" borderId="41" xfId="12" applyBorder="1" applyAlignment="1">
      <alignment horizontal="center" vertical="center"/>
    </xf>
    <xf numFmtId="0" fontId="169" fillId="0" borderId="13" xfId="12" applyBorder="1" applyAlignment="1">
      <alignment horizontal="center" vertical="center"/>
    </xf>
    <xf numFmtId="0" fontId="169" fillId="0" borderId="15" xfId="12" applyBorder="1" applyAlignment="1">
      <alignment horizontal="center" vertical="center"/>
    </xf>
    <xf numFmtId="0" fontId="169" fillId="0" borderId="2" xfId="12" applyBorder="1" applyAlignment="1">
      <alignment horizontal="center" vertical="center"/>
    </xf>
    <xf numFmtId="0" fontId="169" fillId="0" borderId="61" xfId="12" applyBorder="1" applyAlignment="1">
      <alignment horizontal="center" vertical="center"/>
    </xf>
    <xf numFmtId="0" fontId="169" fillId="0" borderId="53" xfId="12" applyBorder="1" applyAlignment="1">
      <alignment horizontal="center" vertical="center"/>
    </xf>
    <xf numFmtId="0" fontId="169" fillId="0" borderId="8" xfId="12" applyBorder="1" applyAlignment="1">
      <alignment horizontal="center" vertical="center"/>
    </xf>
    <xf numFmtId="0" fontId="261" fillId="24" borderId="159" xfId="22" applyAlignment="1">
      <alignment horizontal="center" vertical="center"/>
    </xf>
    <xf numFmtId="0" fontId="113" fillId="0" borderId="5" xfId="12" applyFont="1" applyBorder="1" applyAlignment="1">
      <alignment horizontal="center" vertical="center"/>
    </xf>
    <xf numFmtId="0" fontId="113" fillId="0" borderId="54" xfId="12" applyFont="1" applyBorder="1" applyAlignment="1">
      <alignment horizontal="center" vertical="center"/>
    </xf>
    <xf numFmtId="0" fontId="113" fillId="0" borderId="3" xfId="12" applyFont="1" applyBorder="1" applyAlignment="1">
      <alignment horizontal="center" vertical="center"/>
    </xf>
    <xf numFmtId="0" fontId="113" fillId="0" borderId="5" xfId="12" applyFont="1" applyBorder="1" applyAlignment="1">
      <alignment horizontal="center" vertical="center" wrapText="1"/>
    </xf>
    <xf numFmtId="0" fontId="113" fillId="0" borderId="3" xfId="12" applyFont="1" applyBorder="1" applyAlignment="1">
      <alignment horizontal="center" vertical="center" wrapText="1"/>
    </xf>
    <xf numFmtId="0" fontId="100" fillId="0" borderId="5" xfId="12" applyFont="1" applyBorder="1" applyAlignment="1">
      <alignment horizontal="center" vertical="center"/>
    </xf>
    <xf numFmtId="0" fontId="261" fillId="24" borderId="159" xfId="22" applyAlignment="1">
      <alignment horizontal="center"/>
    </xf>
    <xf numFmtId="0" fontId="169" fillId="0" borderId="1" xfId="12" applyBorder="1" applyAlignment="1">
      <alignment horizontal="center"/>
    </xf>
    <xf numFmtId="0" fontId="258" fillId="21" borderId="15" xfId="19" applyBorder="1" applyAlignment="1">
      <alignment horizontal="center"/>
    </xf>
    <xf numFmtId="0" fontId="169" fillId="0" borderId="13" xfId="12" applyBorder="1" applyAlignment="1">
      <alignment horizontal="center"/>
    </xf>
    <xf numFmtId="0" fontId="169" fillId="0" borderId="15" xfId="12" applyBorder="1" applyAlignment="1">
      <alignment horizontal="center"/>
    </xf>
    <xf numFmtId="0" fontId="169" fillId="0" borderId="2" xfId="12" applyBorder="1" applyAlignment="1">
      <alignment horizontal="center"/>
    </xf>
    <xf numFmtId="0" fontId="169" fillId="0" borderId="13" xfId="12" applyFill="1" applyBorder="1" applyAlignment="1">
      <alignment horizontal="center"/>
    </xf>
    <xf numFmtId="0" fontId="169" fillId="0" borderId="15" xfId="12" applyFill="1" applyBorder="1" applyAlignment="1">
      <alignment horizontal="center"/>
    </xf>
    <xf numFmtId="0" fontId="169" fillId="0" borderId="2" xfId="12" applyFill="1" applyBorder="1" applyAlignment="1">
      <alignment horizontal="center"/>
    </xf>
    <xf numFmtId="0" fontId="100" fillId="0" borderId="13" xfId="12" applyFont="1" applyFill="1" applyBorder="1" applyAlignment="1">
      <alignment horizontal="center"/>
    </xf>
    <xf numFmtId="0" fontId="100" fillId="0" borderId="15" xfId="12" applyFont="1" applyFill="1" applyBorder="1" applyAlignment="1">
      <alignment horizontal="center"/>
    </xf>
    <xf numFmtId="0" fontId="100" fillId="0" borderId="2" xfId="12" applyFont="1" applyFill="1" applyBorder="1" applyAlignment="1">
      <alignment horizontal="center"/>
    </xf>
    <xf numFmtId="0" fontId="169" fillId="0" borderId="1" xfId="12" applyFill="1" applyBorder="1" applyAlignment="1">
      <alignment horizontal="center"/>
    </xf>
    <xf numFmtId="178" fontId="169" fillId="0" borderId="13" xfId="12" applyNumberFormat="1" applyBorder="1" applyAlignment="1">
      <alignment horizontal="center"/>
    </xf>
    <xf numFmtId="0" fontId="261" fillId="24" borderId="160" xfId="22" applyBorder="1" applyAlignment="1">
      <alignment horizontal="center"/>
    </xf>
    <xf numFmtId="0" fontId="267" fillId="0" borderId="13" xfId="12" applyFont="1" applyBorder="1" applyAlignment="1">
      <alignment horizontal="center" vertical="center"/>
    </xf>
    <xf numFmtId="0" fontId="267" fillId="0" borderId="15" xfId="12" applyFont="1" applyBorder="1" applyAlignment="1">
      <alignment horizontal="center" vertical="center"/>
    </xf>
    <xf numFmtId="0" fontId="267" fillId="0" borderId="35" xfId="12" applyFont="1" applyBorder="1" applyAlignment="1">
      <alignment horizontal="center" vertical="center"/>
    </xf>
    <xf numFmtId="0" fontId="267" fillId="0" borderId="7" xfId="12" applyFont="1" applyBorder="1" applyAlignment="1">
      <alignment horizontal="center" vertical="center"/>
    </xf>
    <xf numFmtId="0" fontId="267" fillId="0" borderId="2" xfId="12" applyFont="1" applyBorder="1" applyAlignment="1">
      <alignment horizontal="center" vertical="center"/>
    </xf>
    <xf numFmtId="179" fontId="169" fillId="0" borderId="1" xfId="12" applyNumberFormat="1" applyBorder="1" applyAlignment="1">
      <alignment horizontal="center" vertical="center"/>
    </xf>
    <xf numFmtId="0" fontId="169" fillId="0" borderId="13" xfId="12" applyBorder="1" applyAlignment="1">
      <alignment horizontal="center" vertical="center" wrapText="1"/>
    </xf>
    <xf numFmtId="0" fontId="169" fillId="0" borderId="15" xfId="12" applyBorder="1" applyAlignment="1">
      <alignment horizontal="center" vertical="center" wrapText="1"/>
    </xf>
    <xf numFmtId="0" fontId="169" fillId="0" borderId="2" xfId="12" applyBorder="1" applyAlignment="1">
      <alignment horizontal="center" vertical="center" wrapText="1"/>
    </xf>
    <xf numFmtId="179" fontId="169" fillId="0" borderId="13" xfId="12" applyNumberFormat="1" applyBorder="1" applyAlignment="1">
      <alignment horizontal="center" vertical="center"/>
    </xf>
    <xf numFmtId="0" fontId="169" fillId="15" borderId="46" xfId="12" applyFill="1" applyBorder="1" applyAlignment="1">
      <alignment horizontal="center" vertical="center"/>
    </xf>
    <xf numFmtId="0" fontId="169" fillId="15" borderId="36" xfId="12" applyFill="1" applyBorder="1" applyAlignment="1">
      <alignment horizontal="center" vertical="center"/>
    </xf>
    <xf numFmtId="0" fontId="169" fillId="15" borderId="22" xfId="12" applyFill="1" applyBorder="1" applyAlignment="1">
      <alignment horizontal="center" vertical="center"/>
    </xf>
    <xf numFmtId="0" fontId="169" fillId="15" borderId="4" xfId="12" applyFill="1" applyBorder="1" applyAlignment="1">
      <alignment horizontal="center" vertical="center"/>
    </xf>
    <xf numFmtId="0" fontId="169" fillId="15" borderId="60" xfId="12" applyFill="1" applyBorder="1" applyAlignment="1">
      <alignment horizontal="center" vertical="center"/>
    </xf>
    <xf numFmtId="0" fontId="169" fillId="15" borderId="7" xfId="12" applyFill="1" applyBorder="1" applyAlignment="1">
      <alignment horizontal="center" vertical="center"/>
    </xf>
    <xf numFmtId="0" fontId="169" fillId="36" borderId="1" xfId="12" applyFill="1" applyBorder="1" applyAlignment="1">
      <alignment horizontal="center" vertical="center"/>
    </xf>
    <xf numFmtId="0" fontId="169" fillId="36" borderId="5" xfId="12" applyFill="1" applyBorder="1" applyAlignment="1">
      <alignment horizontal="center" vertical="center"/>
    </xf>
    <xf numFmtId="0" fontId="169" fillId="36" borderId="54" xfId="12" applyFill="1" applyBorder="1" applyAlignment="1">
      <alignment horizontal="center" vertical="center"/>
    </xf>
    <xf numFmtId="0" fontId="169" fillId="36" borderId="3" xfId="12" applyFill="1" applyBorder="1" applyAlignment="1">
      <alignment horizontal="center" vertical="center"/>
    </xf>
    <xf numFmtId="0" fontId="169" fillId="36" borderId="13" xfId="12" applyFill="1" applyBorder="1" applyAlignment="1">
      <alignment horizontal="center" vertical="center"/>
    </xf>
    <xf numFmtId="0" fontId="169" fillId="36" borderId="15" xfId="12" applyFill="1" applyBorder="1" applyAlignment="1">
      <alignment horizontal="center" vertical="center"/>
    </xf>
    <xf numFmtId="0" fontId="169" fillId="36" borderId="2" xfId="12" applyFill="1" applyBorder="1" applyAlignment="1">
      <alignment horizontal="center" vertical="center"/>
    </xf>
    <xf numFmtId="0" fontId="169" fillId="36" borderId="1" xfId="12" applyFont="1" applyFill="1" applyBorder="1" applyAlignment="1">
      <alignment horizontal="center" vertical="center"/>
    </xf>
    <xf numFmtId="0" fontId="264" fillId="36" borderId="1" xfId="12" applyFont="1" applyFill="1" applyBorder="1" applyAlignment="1">
      <alignment horizontal="center" vertical="center"/>
    </xf>
    <xf numFmtId="0" fontId="169" fillId="36" borderId="5" xfId="12" applyFont="1" applyFill="1" applyBorder="1" applyAlignment="1">
      <alignment horizontal="center" vertical="center"/>
    </xf>
    <xf numFmtId="0" fontId="169" fillId="36" borderId="3" xfId="12" applyFont="1" applyFill="1" applyBorder="1" applyAlignment="1">
      <alignment horizontal="center" vertical="center"/>
    </xf>
    <xf numFmtId="0" fontId="264" fillId="36" borderId="5" xfId="12" applyFont="1" applyFill="1" applyBorder="1" applyAlignment="1">
      <alignment horizontal="center" vertical="center"/>
    </xf>
    <xf numFmtId="0" fontId="264" fillId="36" borderId="54" xfId="12" applyFont="1" applyFill="1" applyBorder="1" applyAlignment="1">
      <alignment horizontal="center" vertical="center"/>
    </xf>
    <xf numFmtId="0" fontId="264" fillId="36" borderId="3" xfId="12" applyFont="1" applyFill="1" applyBorder="1" applyAlignment="1">
      <alignment horizontal="center" vertical="center"/>
    </xf>
    <xf numFmtId="179" fontId="169" fillId="0" borderId="46" xfId="12" applyNumberFormat="1" applyFill="1" applyBorder="1" applyAlignment="1">
      <alignment horizontal="right"/>
    </xf>
    <xf numFmtId="179" fontId="169" fillId="0" borderId="58" xfId="12" applyNumberFormat="1" applyFill="1" applyBorder="1" applyAlignment="1">
      <alignment horizontal="right"/>
    </xf>
    <xf numFmtId="179" fontId="169" fillId="0" borderId="4" xfId="12" applyNumberFormat="1" applyFill="1" applyBorder="1" applyAlignment="1">
      <alignment horizontal="right"/>
    </xf>
    <xf numFmtId="176" fontId="2" fillId="26" borderId="5" xfId="24" applyNumberFormat="1" applyBorder="1" applyAlignment="1">
      <alignment horizontal="center" vertical="center"/>
    </xf>
    <xf numFmtId="176" fontId="2" fillId="26" borderId="3" xfId="24" applyNumberFormat="1" applyBorder="1" applyAlignment="1">
      <alignment horizontal="center" vertical="center"/>
    </xf>
    <xf numFmtId="176" fontId="169" fillId="0" borderId="42" xfId="12" applyNumberFormat="1" applyFont="1" applyFill="1" applyBorder="1" applyAlignment="1">
      <alignment horizontal="center"/>
    </xf>
    <xf numFmtId="176" fontId="100" fillId="0" borderId="47" xfId="12" applyNumberFormat="1" applyFont="1" applyFill="1" applyBorder="1" applyAlignment="1">
      <alignment horizontal="center"/>
    </xf>
    <xf numFmtId="176" fontId="100" fillId="0" borderId="43" xfId="12" applyNumberFormat="1" applyFont="1" applyFill="1" applyBorder="1" applyAlignment="1">
      <alignment horizontal="center"/>
    </xf>
    <xf numFmtId="0" fontId="2" fillId="26" borderId="5" xfId="24" applyFont="1" applyBorder="1" applyAlignment="1">
      <alignment horizontal="center" vertical="center"/>
    </xf>
    <xf numFmtId="0" fontId="2" fillId="26" borderId="54" xfId="24" applyBorder="1" applyAlignment="1">
      <alignment horizontal="center" vertical="center"/>
    </xf>
    <xf numFmtId="0" fontId="2" fillId="26" borderId="3" xfId="24" applyBorder="1" applyAlignment="1">
      <alignment horizontal="center" vertical="center"/>
    </xf>
    <xf numFmtId="176" fontId="100" fillId="0" borderId="29" xfId="12" applyNumberFormat="1" applyFont="1" applyFill="1" applyBorder="1" applyAlignment="1">
      <alignment horizontal="center" vertical="center"/>
    </xf>
    <xf numFmtId="176" fontId="100" fillId="0" borderId="39" xfId="12" applyNumberFormat="1" applyFont="1" applyFill="1" applyBorder="1" applyAlignment="1">
      <alignment horizontal="center" vertical="center"/>
    </xf>
    <xf numFmtId="0" fontId="264" fillId="36" borderId="13" xfId="12" applyFont="1" applyFill="1" applyBorder="1" applyAlignment="1">
      <alignment horizontal="center" vertical="center"/>
    </xf>
    <xf numFmtId="176" fontId="2" fillId="26" borderId="1" xfId="24" applyNumberFormat="1" applyBorder="1" applyAlignment="1">
      <alignment horizontal="center" vertical="center"/>
    </xf>
    <xf numFmtId="176" fontId="2" fillId="33" borderId="5" xfId="31" applyNumberFormat="1" applyBorder="1" applyAlignment="1">
      <alignment horizontal="center" vertical="center"/>
    </xf>
    <xf numFmtId="176" fontId="2" fillId="33" borderId="3" xfId="31" applyNumberFormat="1" applyBorder="1" applyAlignment="1">
      <alignment horizontal="center" vertical="center"/>
    </xf>
    <xf numFmtId="0" fontId="2" fillId="27" borderId="1" xfId="25" applyFont="1" applyBorder="1" applyAlignment="1">
      <alignment horizontal="center"/>
    </xf>
    <xf numFmtId="0" fontId="100" fillId="27" borderId="1" xfId="25" applyFont="1" applyBorder="1" applyAlignment="1">
      <alignment horizontal="center"/>
    </xf>
    <xf numFmtId="176" fontId="2" fillId="26" borderId="5" xfId="24" applyNumberFormat="1" applyFont="1" applyBorder="1" applyAlignment="1">
      <alignment horizontal="center" vertical="center"/>
    </xf>
    <xf numFmtId="176" fontId="2" fillId="25" borderId="5" xfId="23" applyNumberFormat="1" applyBorder="1" applyAlignment="1">
      <alignment horizontal="center" vertical="center"/>
    </xf>
    <xf numFmtId="176" fontId="2" fillId="25" borderId="3" xfId="23" applyNumberFormat="1" applyBorder="1" applyAlignment="1">
      <alignment horizontal="center" vertical="center"/>
    </xf>
    <xf numFmtId="176" fontId="2" fillId="25" borderId="46" xfId="23" applyNumberFormat="1" applyBorder="1" applyAlignment="1">
      <alignment horizontal="center" vertical="center"/>
    </xf>
    <xf numFmtId="176" fontId="2" fillId="25" borderId="58" xfId="23" applyNumberFormat="1" applyBorder="1" applyAlignment="1">
      <alignment horizontal="center" vertical="center"/>
    </xf>
    <xf numFmtId="176" fontId="2" fillId="25" borderId="4" xfId="23" applyNumberFormat="1" applyBorder="1" applyAlignment="1">
      <alignment horizontal="center" vertical="center"/>
    </xf>
    <xf numFmtId="176" fontId="2" fillId="30" borderId="5" xfId="28" applyNumberFormat="1" applyBorder="1" applyAlignment="1">
      <alignment horizontal="center" vertical="center"/>
    </xf>
    <xf numFmtId="176" fontId="2" fillId="30" borderId="3" xfId="28" applyNumberFormat="1" applyBorder="1" applyAlignment="1">
      <alignment horizontal="center" vertical="center"/>
    </xf>
    <xf numFmtId="0" fontId="2" fillId="30" borderId="5" xfId="28" applyFont="1" applyBorder="1" applyAlignment="1">
      <alignment horizontal="center" vertical="center"/>
    </xf>
    <xf numFmtId="0" fontId="2" fillId="30" borderId="54" xfId="28" applyBorder="1" applyAlignment="1">
      <alignment horizontal="center" vertical="center"/>
    </xf>
    <xf numFmtId="0" fontId="2" fillId="30" borderId="3" xfId="28" applyBorder="1" applyAlignment="1">
      <alignment horizontal="center" vertical="center"/>
    </xf>
    <xf numFmtId="0" fontId="264" fillId="36" borderId="15" xfId="12" applyFont="1" applyFill="1" applyBorder="1" applyAlignment="1">
      <alignment horizontal="center" vertical="center"/>
    </xf>
    <xf numFmtId="0" fontId="264" fillId="36" borderId="2" xfId="12" applyFont="1" applyFill="1" applyBorder="1" applyAlignment="1">
      <alignment horizontal="center" vertical="center"/>
    </xf>
    <xf numFmtId="176" fontId="2" fillId="28" borderId="5" xfId="26" applyNumberFormat="1" applyBorder="1" applyAlignment="1">
      <alignment horizontal="center" vertical="center"/>
    </xf>
    <xf numFmtId="176" fontId="2" fillId="28" borderId="3" xfId="26" applyNumberFormat="1" applyBorder="1" applyAlignment="1">
      <alignment horizontal="center" vertical="center"/>
    </xf>
    <xf numFmtId="176" fontId="2" fillId="30" borderId="1" xfId="28" applyNumberFormat="1" applyBorder="1" applyAlignment="1">
      <alignment horizontal="center" vertical="center"/>
    </xf>
    <xf numFmtId="176" fontId="2" fillId="30" borderId="46" xfId="28" applyNumberFormat="1" applyBorder="1" applyAlignment="1">
      <alignment horizontal="center" vertical="center"/>
    </xf>
    <xf numFmtId="176" fontId="2" fillId="30" borderId="58" xfId="28" applyNumberFormat="1" applyBorder="1" applyAlignment="1">
      <alignment horizontal="center" vertical="center"/>
    </xf>
    <xf numFmtId="176" fontId="2" fillId="30" borderId="22" xfId="28" applyNumberFormat="1" applyBorder="1" applyAlignment="1">
      <alignment horizontal="center" vertical="center"/>
    </xf>
    <xf numFmtId="0" fontId="2" fillId="31" borderId="1" xfId="29" applyBorder="1" applyAlignment="1">
      <alignment horizontal="center"/>
    </xf>
    <xf numFmtId="176" fontId="2" fillId="30" borderId="4" xfId="28" applyNumberFormat="1" applyBorder="1" applyAlignment="1">
      <alignment horizontal="center" vertical="center"/>
    </xf>
    <xf numFmtId="176" fontId="2" fillId="34" borderId="5" xfId="32" applyNumberFormat="1" applyBorder="1" applyAlignment="1">
      <alignment horizontal="center" vertical="center"/>
    </xf>
    <xf numFmtId="176" fontId="2" fillId="34" borderId="3" xfId="32" applyNumberFormat="1" applyBorder="1" applyAlignment="1">
      <alignment horizontal="center" vertical="center"/>
    </xf>
    <xf numFmtId="0" fontId="2" fillId="34" borderId="5" xfId="32" applyFont="1" applyBorder="1" applyAlignment="1">
      <alignment horizontal="center" vertical="center"/>
    </xf>
    <xf numFmtId="0" fontId="2" fillId="34" borderId="54" xfId="32" applyBorder="1" applyAlignment="1">
      <alignment horizontal="center" vertical="center"/>
    </xf>
    <xf numFmtId="0" fontId="2" fillId="34" borderId="3" xfId="32" applyBorder="1" applyAlignment="1">
      <alignment horizontal="center" vertical="center"/>
    </xf>
    <xf numFmtId="176" fontId="2" fillId="34" borderId="46" xfId="32" applyNumberFormat="1" applyBorder="1" applyAlignment="1">
      <alignment horizontal="center" vertical="center"/>
    </xf>
    <xf numFmtId="176" fontId="2" fillId="34" borderId="22" xfId="32" applyNumberFormat="1" applyBorder="1" applyAlignment="1">
      <alignment horizontal="center" vertical="center"/>
    </xf>
    <xf numFmtId="0" fontId="2" fillId="35" borderId="1" xfId="33" applyFont="1" applyBorder="1" applyAlignment="1">
      <alignment horizontal="center"/>
    </xf>
    <xf numFmtId="0" fontId="100" fillId="35" borderId="1" xfId="33" applyFont="1" applyBorder="1" applyAlignment="1">
      <alignment horizontal="center"/>
    </xf>
    <xf numFmtId="176" fontId="2" fillId="33" borderId="46" xfId="31" applyNumberFormat="1" applyBorder="1" applyAlignment="1">
      <alignment horizontal="center" vertical="center"/>
    </xf>
    <xf numFmtId="176" fontId="2" fillId="33" borderId="58" xfId="31" applyNumberFormat="1" applyBorder="1" applyAlignment="1">
      <alignment horizontal="center" vertical="center"/>
    </xf>
    <xf numFmtId="176" fontId="2" fillId="33" borderId="4" xfId="31" applyNumberFormat="1" applyBorder="1" applyAlignment="1">
      <alignment horizontal="center" vertical="center"/>
    </xf>
    <xf numFmtId="0" fontId="2" fillId="28" borderId="5" xfId="26" applyFont="1" applyBorder="1" applyAlignment="1">
      <alignment horizontal="center" vertical="center"/>
    </xf>
    <xf numFmtId="0" fontId="2" fillId="28" borderId="54" xfId="26" applyBorder="1" applyAlignment="1">
      <alignment horizontal="center" vertical="center"/>
    </xf>
    <xf numFmtId="0" fontId="2" fillId="28" borderId="3" xfId="26" applyBorder="1" applyAlignment="1">
      <alignment horizontal="center" vertical="center"/>
    </xf>
    <xf numFmtId="0" fontId="2" fillId="29" borderId="1" xfId="27" applyBorder="1" applyAlignment="1">
      <alignment horizontal="center"/>
    </xf>
    <xf numFmtId="176" fontId="2" fillId="28" borderId="46" xfId="26" applyNumberFormat="1" applyBorder="1" applyAlignment="1">
      <alignment horizontal="center" vertical="center"/>
    </xf>
    <xf numFmtId="176" fontId="2" fillId="28" borderId="22" xfId="26" applyNumberFormat="1" applyBorder="1" applyAlignment="1">
      <alignment horizontal="center" vertical="center"/>
    </xf>
    <xf numFmtId="176" fontId="2" fillId="28" borderId="58" xfId="26" applyNumberFormat="1" applyBorder="1" applyAlignment="1">
      <alignment horizontal="center" vertical="center"/>
    </xf>
    <xf numFmtId="176" fontId="2" fillId="28" borderId="4" xfId="26" applyNumberFormat="1" applyBorder="1" applyAlignment="1">
      <alignment horizontal="center" vertical="center"/>
    </xf>
    <xf numFmtId="176" fontId="259" fillId="22" borderId="5" xfId="20" applyNumberFormat="1" applyBorder="1" applyAlignment="1">
      <alignment horizontal="center" vertical="center"/>
    </xf>
    <xf numFmtId="176" fontId="259" fillId="22" borderId="3" xfId="20" applyNumberFormat="1" applyBorder="1" applyAlignment="1">
      <alignment horizontal="center" vertical="center"/>
    </xf>
    <xf numFmtId="0" fontId="259" fillId="22" borderId="5" xfId="20" applyBorder="1" applyAlignment="1">
      <alignment horizontal="center" vertical="center"/>
    </xf>
    <xf numFmtId="0" fontId="259" fillId="22" borderId="54" xfId="20" applyBorder="1" applyAlignment="1">
      <alignment horizontal="center" vertical="center"/>
    </xf>
    <xf numFmtId="0" fontId="259" fillId="22" borderId="3" xfId="20" applyBorder="1" applyAlignment="1">
      <alignment horizontal="center" vertical="center"/>
    </xf>
    <xf numFmtId="176" fontId="258" fillId="21" borderId="5" xfId="19" applyNumberFormat="1" applyBorder="1" applyAlignment="1">
      <alignment horizontal="center" vertical="center"/>
    </xf>
    <xf numFmtId="176" fontId="258" fillId="21" borderId="3" xfId="19" applyNumberFormat="1" applyBorder="1" applyAlignment="1">
      <alignment horizontal="center" vertical="center"/>
    </xf>
    <xf numFmtId="176" fontId="257" fillId="20" borderId="5" xfId="18" applyNumberFormat="1" applyBorder="1" applyAlignment="1">
      <alignment horizontal="center" vertical="center"/>
    </xf>
    <xf numFmtId="176" fontId="257" fillId="20" borderId="3" xfId="18" applyNumberFormat="1" applyBorder="1" applyAlignment="1">
      <alignment horizontal="center" vertical="center"/>
    </xf>
    <xf numFmtId="0" fontId="258" fillId="21" borderId="1" xfId="19" applyBorder="1" applyAlignment="1">
      <alignment horizontal="center"/>
    </xf>
    <xf numFmtId="176" fontId="259" fillId="22" borderId="46" xfId="20" applyNumberFormat="1" applyBorder="1" applyAlignment="1">
      <alignment horizontal="center" vertical="center"/>
    </xf>
    <xf numFmtId="176" fontId="259" fillId="22" borderId="58" xfId="20" applyNumberFormat="1" applyBorder="1" applyAlignment="1">
      <alignment horizontal="center" vertical="center"/>
    </xf>
    <xf numFmtId="176" fontId="259" fillId="22" borderId="4" xfId="20" applyNumberFormat="1" applyBorder="1" applyAlignment="1">
      <alignment horizontal="center" vertical="center"/>
    </xf>
    <xf numFmtId="176" fontId="258" fillId="21" borderId="46" xfId="19" applyNumberFormat="1" applyBorder="1" applyAlignment="1">
      <alignment horizontal="center" vertical="center"/>
    </xf>
    <xf numFmtId="176" fontId="258" fillId="21" borderId="58" xfId="19" applyNumberFormat="1" applyBorder="1" applyAlignment="1">
      <alignment horizontal="center" vertical="center"/>
    </xf>
    <xf numFmtId="0" fontId="258" fillId="21" borderId="5" xfId="19" applyBorder="1" applyAlignment="1">
      <alignment horizontal="center" vertical="center"/>
    </xf>
    <xf numFmtId="0" fontId="258" fillId="21" borderId="54" xfId="19" applyBorder="1" applyAlignment="1">
      <alignment horizontal="center" vertical="center"/>
    </xf>
    <xf numFmtId="0" fontId="258" fillId="21" borderId="3" xfId="19" applyBorder="1" applyAlignment="1">
      <alignment horizontal="center" vertical="center"/>
    </xf>
    <xf numFmtId="176" fontId="262" fillId="21" borderId="5" xfId="19" applyNumberFormat="1" applyFont="1" applyBorder="1" applyAlignment="1">
      <alignment horizontal="center" vertical="center"/>
    </xf>
    <xf numFmtId="176" fontId="266" fillId="21" borderId="3" xfId="19" applyNumberFormat="1" applyFont="1" applyBorder="1" applyAlignment="1">
      <alignment horizontal="center" vertical="center"/>
    </xf>
    <xf numFmtId="176" fontId="258" fillId="21" borderId="13" xfId="19" applyNumberFormat="1" applyBorder="1" applyAlignment="1">
      <alignment horizontal="center" vertical="center"/>
    </xf>
    <xf numFmtId="176" fontId="258" fillId="21" borderId="15" xfId="19" applyNumberFormat="1" applyBorder="1" applyAlignment="1">
      <alignment horizontal="center" vertical="center"/>
    </xf>
    <xf numFmtId="176" fontId="258" fillId="21" borderId="2" xfId="19" applyNumberFormat="1" applyBorder="1" applyAlignment="1">
      <alignment horizontal="center" vertical="center"/>
    </xf>
    <xf numFmtId="176" fontId="258" fillId="21" borderId="22" xfId="19" applyNumberFormat="1" applyBorder="1" applyAlignment="1">
      <alignment horizontal="center" vertical="center"/>
    </xf>
    <xf numFmtId="0" fontId="2" fillId="22" borderId="5" xfId="20" applyFont="1" applyBorder="1" applyAlignment="1">
      <alignment horizontal="center"/>
    </xf>
    <xf numFmtId="0" fontId="100" fillId="22" borderId="3" xfId="20" applyFont="1" applyBorder="1" applyAlignment="1">
      <alignment horizontal="center"/>
    </xf>
    <xf numFmtId="176" fontId="258" fillId="21" borderId="5" xfId="19" applyNumberFormat="1" applyBorder="1" applyAlignment="1">
      <alignment horizontal="center"/>
    </xf>
    <xf numFmtId="176" fontId="258" fillId="21" borderId="3" xfId="19" applyNumberFormat="1" applyBorder="1" applyAlignment="1">
      <alignment horizontal="center"/>
    </xf>
    <xf numFmtId="0" fontId="257" fillId="20" borderId="5" xfId="18" applyBorder="1" applyAlignment="1">
      <alignment horizontal="center" vertical="center"/>
    </xf>
    <xf numFmtId="0" fontId="257" fillId="20" borderId="54" xfId="18" applyBorder="1" applyAlignment="1">
      <alignment horizontal="center" vertical="center"/>
    </xf>
    <xf numFmtId="0" fontId="257" fillId="20" borderId="3" xfId="18" applyBorder="1" applyAlignment="1">
      <alignment horizontal="center" vertical="center"/>
    </xf>
    <xf numFmtId="176" fontId="100" fillId="0" borderId="1" xfId="12" applyNumberFormat="1" applyFont="1" applyFill="1" applyBorder="1" applyAlignment="1">
      <alignment horizontal="center" vertical="center"/>
    </xf>
    <xf numFmtId="176" fontId="257" fillId="20" borderId="1" xfId="18" applyNumberFormat="1" applyBorder="1" applyAlignment="1">
      <alignment horizontal="center" vertical="center"/>
    </xf>
    <xf numFmtId="0" fontId="257" fillId="20" borderId="1" xfId="18" applyBorder="1" applyAlignment="1">
      <alignment horizontal="center" vertical="center"/>
    </xf>
    <xf numFmtId="176" fontId="262" fillId="20" borderId="1" xfId="18" applyNumberFormat="1" applyFont="1" applyBorder="1" applyAlignment="1">
      <alignment horizontal="center" vertical="center"/>
    </xf>
    <xf numFmtId="176" fontId="257" fillId="20" borderId="5" xfId="18" applyNumberFormat="1" applyBorder="1" applyAlignment="1">
      <alignment horizontal="center"/>
    </xf>
    <xf numFmtId="176" fontId="257" fillId="20" borderId="3" xfId="18" applyNumberFormat="1" applyBorder="1" applyAlignment="1">
      <alignment horizontal="center"/>
    </xf>
    <xf numFmtId="176" fontId="257" fillId="20" borderId="13" xfId="18" applyNumberFormat="1" applyBorder="1" applyAlignment="1">
      <alignment horizontal="center" vertical="center"/>
    </xf>
    <xf numFmtId="176" fontId="257" fillId="20" borderId="15" xfId="18" applyNumberFormat="1" applyBorder="1" applyAlignment="1">
      <alignment horizontal="center" vertical="center"/>
    </xf>
    <xf numFmtId="176" fontId="257" fillId="20" borderId="2" xfId="18" applyNumberFormat="1" applyBorder="1" applyAlignment="1">
      <alignment horizontal="center"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7" borderId="13" xfId="0" applyFont="1" applyFill="1" applyBorder="1" applyAlignment="1" applyProtection="1">
      <alignment horizontal="center" vertical="center" wrapText="1"/>
    </xf>
    <xf numFmtId="0" fontId="51" fillId="17"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9" fillId="0" borderId="4" xfId="0" applyNumberFormat="1" applyFont="1" applyFill="1" applyBorder="1" applyAlignment="1" applyProtection="1">
      <alignment horizontal="left" vertical="center"/>
      <protection locked="0"/>
    </xf>
    <xf numFmtId="49" fontId="179" fillId="0" borderId="54" xfId="0" applyNumberFormat="1" applyFont="1" applyFill="1" applyBorder="1" applyAlignment="1" applyProtection="1">
      <alignment horizontal="left" vertical="center"/>
      <protection locked="0"/>
    </xf>
    <xf numFmtId="49" fontId="179" fillId="0" borderId="3" xfId="0" applyNumberFormat="1" applyFont="1" applyFill="1" applyBorder="1" applyAlignment="1" applyProtection="1">
      <alignment horizontal="left" vertical="center"/>
      <protection locked="0"/>
    </xf>
    <xf numFmtId="0" fontId="179" fillId="0" borderId="5" xfId="0" applyNumberFormat="1" applyFont="1" applyBorder="1" applyAlignment="1" applyProtection="1">
      <alignment horizontal="left" vertical="center"/>
      <protection locked="0"/>
    </xf>
    <xf numFmtId="0" fontId="179" fillId="0" borderId="54" xfId="0" applyNumberFormat="1" applyFont="1" applyBorder="1" applyAlignment="1" applyProtection="1">
      <alignment horizontal="left" vertical="center"/>
      <protection locked="0"/>
    </xf>
    <xf numFmtId="0" fontId="179" fillId="0" borderId="3" xfId="0" applyNumberFormat="1" applyFont="1" applyBorder="1" applyAlignment="1" applyProtection="1">
      <alignment horizontal="left" vertical="center"/>
      <protection locked="0"/>
    </xf>
    <xf numFmtId="49" fontId="179" fillId="7" borderId="5" xfId="0" applyNumberFormat="1" applyFont="1" applyFill="1" applyBorder="1" applyAlignment="1" applyProtection="1">
      <alignment horizontal="left" vertical="center"/>
      <protection locked="0"/>
    </xf>
    <xf numFmtId="49" fontId="179" fillId="7" borderId="54" xfId="0" applyNumberFormat="1" applyFont="1" applyFill="1" applyBorder="1" applyAlignment="1" applyProtection="1">
      <alignment horizontal="left" vertical="center"/>
      <protection locked="0"/>
    </xf>
    <xf numFmtId="49" fontId="179" fillId="7" borderId="3" xfId="0" applyNumberFormat="1" applyFont="1" applyFill="1" applyBorder="1" applyAlignment="1" applyProtection="1">
      <alignment horizontal="left" vertical="center"/>
      <protection locked="0"/>
    </xf>
    <xf numFmtId="49" fontId="179" fillId="7" borderId="85" xfId="0" applyNumberFormat="1" applyFont="1" applyFill="1" applyBorder="1" applyAlignment="1" applyProtection="1">
      <alignment horizontal="left" vertical="center"/>
      <protection locked="0"/>
    </xf>
    <xf numFmtId="49" fontId="179" fillId="7" borderId="88" xfId="0" applyNumberFormat="1" applyFont="1" applyFill="1" applyBorder="1" applyAlignment="1" applyProtection="1">
      <alignment horizontal="left" vertical="center"/>
      <protection locked="0"/>
    </xf>
    <xf numFmtId="49" fontId="179"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4"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9"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19" fillId="6" borderId="5" xfId="0" applyFont="1" applyFill="1" applyBorder="1" applyAlignment="1">
      <alignment horizontal="center" vertical="center"/>
    </xf>
    <xf numFmtId="0" fontId="219" fillId="6" borderId="3"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4" fillId="19"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4" fillId="0" borderId="0" xfId="9" applyFont="1" applyAlignment="1">
      <alignment horizontal="left" vertical="center"/>
    </xf>
    <xf numFmtId="0" fontId="108" fillId="0" borderId="0" xfId="9" applyFont="1" applyAlignment="1">
      <alignment horizontal="left" vertical="center"/>
    </xf>
    <xf numFmtId="0" fontId="151" fillId="12" borderId="131"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0" fontId="151" fillId="12"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2" borderId="122" xfId="9" applyFont="1" applyFill="1" applyBorder="1" applyAlignment="1" applyProtection="1">
      <alignment horizontal="left" vertical="center" wrapText="1"/>
    </xf>
    <xf numFmtId="0" fontId="105" fillId="12" borderId="131" xfId="9" applyFont="1" applyFill="1" applyBorder="1" applyAlignment="1" applyProtection="1">
      <alignment horizontal="left" vertical="center" wrapText="1"/>
    </xf>
    <xf numFmtId="0" fontId="105" fillId="12" borderId="125" xfId="9" applyFont="1" applyFill="1" applyBorder="1" applyAlignment="1" applyProtection="1">
      <alignment horizontal="left" vertical="center" wrapText="1"/>
    </xf>
    <xf numFmtId="0" fontId="105" fillId="12" borderId="127" xfId="9" applyFont="1" applyFill="1" applyBorder="1" applyAlignment="1" applyProtection="1">
      <alignment horizontal="left" vertical="center" wrapText="1"/>
    </xf>
    <xf numFmtId="0" fontId="151" fillId="12"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1" fillId="7" borderId="0" xfId="0" applyNumberFormat="1" applyFont="1" applyFill="1" applyAlignment="1" applyProtection="1">
      <alignment vertical="center"/>
      <protection locked="0"/>
    </xf>
  </cellXfs>
  <cellStyles count="37">
    <cellStyle name="20% - 强调文字颜色 1" xfId="23" builtinId="30"/>
    <cellStyle name="20% - 强调文字颜色 2" xfId="26" builtinId="34"/>
    <cellStyle name="20% - 强调文字颜色 3" xfId="28" builtinId="38"/>
    <cellStyle name="20% - 强调文字颜色 4" xfId="30" builtinId="42"/>
    <cellStyle name="20% - 强调文字颜色 6" xfId="31" builtinId="50"/>
    <cellStyle name="40% - 强调文字颜色 1" xfId="24" builtinId="31"/>
    <cellStyle name="40% - 强调文字颜色 2" xfId="27" builtinId="35"/>
    <cellStyle name="40% - 强调文字颜色 3" xfId="29" builtinId="39"/>
    <cellStyle name="40% - 强调文字颜色 6" xfId="32" builtinId="51"/>
    <cellStyle name="60% - 强调文字颜色 1" xfId="25" builtinId="32"/>
    <cellStyle name="60% - 强调文字颜色 6" xfId="33" builtinId="52"/>
    <cellStyle name="百分比" xfId="17" builtinId="5"/>
    <cellStyle name="百分比 2" xfId="14"/>
    <cellStyle name="百分比 3" xfId="35"/>
    <cellStyle name="差" xfId="19" builtinId="27"/>
    <cellStyle name="常规" xfId="0" builtinId="0"/>
    <cellStyle name="常规 10" xfId="36"/>
    <cellStyle name="常规 14" xfId="34"/>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18" builtinId="26"/>
    <cellStyle name="计算" xfId="21" builtinId="22"/>
    <cellStyle name="检查单元格" xfId="22" builtinId="23"/>
    <cellStyle name="适中" xfId="20" builtinId="2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7</xdr:col>
      <xdr:colOff>551630</xdr:colOff>
      <xdr:row>58</xdr:row>
      <xdr:rowOff>151543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6050"/>
          <a:ext cx="6561905" cy="6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103820</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47620" cy="6971429"/>
        </a:xfrm>
        <a:prstGeom prst="rect">
          <a:avLst/>
        </a:prstGeom>
      </xdr:spPr>
    </xdr:pic>
    <xdr:clientData/>
  </xdr:twoCellAnchor>
  <xdr:twoCellAnchor editAs="oneCell">
    <xdr:from>
      <xdr:col>0</xdr:col>
      <xdr:colOff>0</xdr:colOff>
      <xdr:row>41</xdr:row>
      <xdr:rowOff>0</xdr:rowOff>
    </xdr:from>
    <xdr:to>
      <xdr:col>8</xdr:col>
      <xdr:colOff>465981</xdr:colOff>
      <xdr:row>70</xdr:row>
      <xdr:rowOff>37474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5952381" cy="5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354;&#28207;&#28201;&#27849;&#26032;&#26032;&#23567;&#38215;&#65288;9&#23447;&#22320;&#65289;/2019.08.12-&#20462;&#25913;&#20154;&#38450;-&#26680;&#23545;&#25152;&#26377;&#21333;&#20307;-&#26680;&#23545;&#22320;&#19979;&#36710;&#20301;&#25968;-&#25913;3%234%235%2394%2396%23110%23&#27004;&#21450;&#20154;&#38450;&#65289;%20-&#20840;&#37096;&#26368;&#26368;&#26368;&#32456;(2)(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期指标"/>
      <sheetName val="3.1.2期指标"/>
      <sheetName val="3.2.1期指标"/>
      <sheetName val="3.2.2期指标"/>
      <sheetName val="3.3（三期）指标"/>
      <sheetName val="3.4（四期）指标"/>
      <sheetName val="3.5（五期）指标"/>
      <sheetName val="3.6（六期）指标"/>
      <sheetName val="3.7（七期）指标"/>
      <sheetName val="规划区综合指标"/>
      <sheetName val="整体综合指标（报规含已建区和小学）"/>
      <sheetName val="新规"/>
      <sheetName val="已建区指标"/>
      <sheetName val="启动会指标"/>
    </sheetNames>
    <sheetDataSet>
      <sheetData sheetId="0">
        <row r="7">
          <cell r="G7">
            <v>32723.06</v>
          </cell>
        </row>
        <row r="8">
          <cell r="G8">
            <v>65235.21</v>
          </cell>
        </row>
        <row r="11">
          <cell r="G11">
            <v>50376.19</v>
          </cell>
        </row>
        <row r="13">
          <cell r="G13">
            <v>6138.5300000000007</v>
          </cell>
        </row>
        <row r="15">
          <cell r="G15">
            <v>4491.6400000000003</v>
          </cell>
        </row>
        <row r="16">
          <cell r="G16">
            <v>3252.33</v>
          </cell>
        </row>
        <row r="17">
          <cell r="G17">
            <v>976.52</v>
          </cell>
        </row>
        <row r="18">
          <cell r="G18">
            <v>976.52</v>
          </cell>
        </row>
        <row r="19">
          <cell r="G19">
            <v>0</v>
          </cell>
        </row>
        <row r="21">
          <cell r="G21">
            <v>480</v>
          </cell>
        </row>
        <row r="27">
          <cell r="G27">
            <v>79</v>
          </cell>
        </row>
        <row r="28">
          <cell r="G28">
            <v>0</v>
          </cell>
        </row>
        <row r="36">
          <cell r="Z36">
            <v>30</v>
          </cell>
          <cell r="AA36">
            <v>10</v>
          </cell>
          <cell r="AB36">
            <v>12</v>
          </cell>
          <cell r="AC36">
            <v>12</v>
          </cell>
          <cell r="AD36">
            <v>0</v>
          </cell>
          <cell r="AE36">
            <v>24</v>
          </cell>
          <cell r="AF36">
            <v>12</v>
          </cell>
          <cell r="AG36">
            <v>6</v>
          </cell>
          <cell r="AH36">
            <v>13</v>
          </cell>
          <cell r="AI36">
            <v>226</v>
          </cell>
          <cell r="AJ36">
            <v>97</v>
          </cell>
          <cell r="AK36">
            <v>38</v>
          </cell>
        </row>
        <row r="37">
          <cell r="Q37">
            <v>9168.4100000000017</v>
          </cell>
          <cell r="W37">
            <v>6063.76</v>
          </cell>
        </row>
        <row r="41">
          <cell r="E41">
            <v>6138.5300000000007</v>
          </cell>
        </row>
        <row r="49">
          <cell r="E49">
            <v>913.11</v>
          </cell>
        </row>
        <row r="51">
          <cell r="E51">
            <v>1058.49</v>
          </cell>
        </row>
        <row r="61">
          <cell r="E61">
            <v>1120.43</v>
          </cell>
        </row>
        <row r="65">
          <cell r="E65">
            <v>64.08</v>
          </cell>
        </row>
        <row r="67">
          <cell r="E67">
            <v>20.88</v>
          </cell>
        </row>
        <row r="70">
          <cell r="E70">
            <v>30.04</v>
          </cell>
        </row>
        <row r="71">
          <cell r="E71">
            <v>20.89</v>
          </cell>
        </row>
        <row r="73">
          <cell r="E73">
            <v>24.41</v>
          </cell>
        </row>
      </sheetData>
      <sheetData sheetId="1">
        <row r="7">
          <cell r="G7">
            <v>26064.600000000002</v>
          </cell>
        </row>
        <row r="8">
          <cell r="G8">
            <v>78591.989999999991</v>
          </cell>
        </row>
        <row r="9">
          <cell r="G9">
            <v>59867.24</v>
          </cell>
        </row>
        <row r="10">
          <cell r="G10">
            <v>58728.95</v>
          </cell>
        </row>
        <row r="11">
          <cell r="G11">
            <v>58728.95</v>
          </cell>
        </row>
        <row r="15">
          <cell r="G15">
            <v>754.12</v>
          </cell>
        </row>
        <row r="16">
          <cell r="G16">
            <v>384.17</v>
          </cell>
        </row>
        <row r="17">
          <cell r="G17">
            <v>18724.75</v>
          </cell>
        </row>
        <row r="18">
          <cell r="G18">
            <v>1753.8400000000001</v>
          </cell>
        </row>
        <row r="19">
          <cell r="G19">
            <v>16970.91</v>
          </cell>
        </row>
        <row r="21">
          <cell r="G21">
            <v>566</v>
          </cell>
        </row>
        <row r="27">
          <cell r="G27">
            <v>119</v>
          </cell>
        </row>
        <row r="28">
          <cell r="G28">
            <v>525</v>
          </cell>
        </row>
        <row r="36">
          <cell r="Z36">
            <v>30</v>
          </cell>
          <cell r="AA36">
            <v>10</v>
          </cell>
          <cell r="AB36">
            <v>10</v>
          </cell>
          <cell r="AC36">
            <v>10</v>
          </cell>
          <cell r="AD36">
            <v>3</v>
          </cell>
          <cell r="AE36">
            <v>47</v>
          </cell>
          <cell r="AF36">
            <v>10</v>
          </cell>
          <cell r="AG36">
            <v>6</v>
          </cell>
          <cell r="AH36">
            <v>24</v>
          </cell>
          <cell r="AI36">
            <v>260</v>
          </cell>
          <cell r="AJ36">
            <v>116</v>
          </cell>
          <cell r="AK36">
            <v>40</v>
          </cell>
          <cell r="AL36">
            <v>0</v>
          </cell>
          <cell r="AM36">
            <v>0</v>
          </cell>
          <cell r="AN36">
            <v>0</v>
          </cell>
          <cell r="AO36">
            <v>0</v>
          </cell>
        </row>
        <row r="37">
          <cell r="Q37">
            <v>4529.5</v>
          </cell>
          <cell r="W37">
            <v>5343.86</v>
          </cell>
        </row>
        <row r="58">
          <cell r="E58">
            <v>384.17</v>
          </cell>
        </row>
        <row r="62">
          <cell r="E62">
            <v>0</v>
          </cell>
        </row>
      </sheetData>
      <sheetData sheetId="2">
        <row r="7">
          <cell r="G7">
            <v>18206.759999999998</v>
          </cell>
        </row>
        <row r="9">
          <cell r="G9">
            <v>51586.109999999993</v>
          </cell>
        </row>
        <row r="12">
          <cell r="G12">
            <v>47961.35</v>
          </cell>
        </row>
        <row r="16">
          <cell r="G16">
            <v>1802.6</v>
          </cell>
        </row>
        <row r="17">
          <cell r="G17">
            <v>627.92000000000007</v>
          </cell>
        </row>
        <row r="19">
          <cell r="G19">
            <v>1194.24</v>
          </cell>
        </row>
        <row r="20">
          <cell r="G20">
            <v>1194.24</v>
          </cell>
        </row>
        <row r="21">
          <cell r="G21">
            <v>0</v>
          </cell>
        </row>
        <row r="23">
          <cell r="G23">
            <v>544</v>
          </cell>
        </row>
        <row r="26">
          <cell r="Q26">
            <v>5111.2500000000009</v>
          </cell>
          <cell r="W26">
            <v>4471.1000000000004</v>
          </cell>
          <cell r="Z26">
            <v>96</v>
          </cell>
          <cell r="AA26">
            <v>32</v>
          </cell>
          <cell r="AB26">
            <v>32</v>
          </cell>
          <cell r="AC26">
            <v>32</v>
          </cell>
          <cell r="AD26">
            <v>9</v>
          </cell>
          <cell r="AE26">
            <v>141</v>
          </cell>
          <cell r="AF26">
            <v>30</v>
          </cell>
          <cell r="AG26">
            <v>18</v>
          </cell>
          <cell r="AH26">
            <v>9</v>
          </cell>
          <cell r="AI26">
            <v>93</v>
          </cell>
          <cell r="AJ26">
            <v>38</v>
          </cell>
          <cell r="AK26">
            <v>14</v>
          </cell>
        </row>
        <row r="29">
          <cell r="G29">
            <v>78</v>
          </cell>
        </row>
        <row r="30">
          <cell r="G30">
            <v>0</v>
          </cell>
        </row>
        <row r="46">
          <cell r="E46">
            <v>384.17</v>
          </cell>
        </row>
        <row r="58">
          <cell r="E58">
            <v>243.75</v>
          </cell>
        </row>
      </sheetData>
      <sheetData sheetId="3">
        <row r="7">
          <cell r="G7">
            <v>23966.150000000005</v>
          </cell>
        </row>
        <row r="9">
          <cell r="G9">
            <v>70993.66</v>
          </cell>
        </row>
        <row r="10">
          <cell r="G10">
            <v>48611.579999999994</v>
          </cell>
        </row>
        <row r="11">
          <cell r="G11">
            <v>48611.579999999994</v>
          </cell>
        </row>
        <row r="12">
          <cell r="G12">
            <v>48611.579999999994</v>
          </cell>
        </row>
        <row r="16">
          <cell r="G16">
            <v>0</v>
          </cell>
        </row>
        <row r="17">
          <cell r="G17">
            <v>0</v>
          </cell>
        </row>
        <row r="19">
          <cell r="G19">
            <v>22382.080000000002</v>
          </cell>
        </row>
        <row r="20">
          <cell r="G20">
            <v>1559.1100000000001</v>
          </cell>
        </row>
        <row r="21">
          <cell r="G21">
            <v>20822.97</v>
          </cell>
        </row>
        <row r="23">
          <cell r="G23">
            <v>440</v>
          </cell>
        </row>
        <row r="26">
          <cell r="Q26">
            <v>4529.5</v>
          </cell>
          <cell r="W26">
            <v>4343.74</v>
          </cell>
          <cell r="Z26">
            <v>0</v>
          </cell>
          <cell r="AA26">
            <v>0</v>
          </cell>
          <cell r="AB26">
            <v>0</v>
          </cell>
          <cell r="AC26">
            <v>0</v>
          </cell>
          <cell r="AD26">
            <v>0</v>
          </cell>
          <cell r="AE26">
            <v>0</v>
          </cell>
          <cell r="AF26">
            <v>0</v>
          </cell>
          <cell r="AG26">
            <v>0</v>
          </cell>
          <cell r="AH26">
            <v>24</v>
          </cell>
          <cell r="AI26">
            <v>260</v>
          </cell>
          <cell r="AJ26">
            <v>116</v>
          </cell>
          <cell r="AK26">
            <v>40</v>
          </cell>
        </row>
        <row r="29">
          <cell r="G29">
            <v>73</v>
          </cell>
        </row>
        <row r="30">
          <cell r="G30">
            <v>738</v>
          </cell>
        </row>
      </sheetData>
      <sheetData sheetId="4">
        <row r="7">
          <cell r="G7">
            <v>48829.36</v>
          </cell>
        </row>
        <row r="8">
          <cell r="G8">
            <v>90933.229999999981</v>
          </cell>
        </row>
        <row r="9">
          <cell r="G9">
            <v>57628.499999999985</v>
          </cell>
        </row>
        <row r="10">
          <cell r="G10">
            <v>56822.119999999988</v>
          </cell>
        </row>
        <row r="11">
          <cell r="G11">
            <v>25514.77</v>
          </cell>
        </row>
        <row r="12">
          <cell r="G12">
            <v>28565.589999999989</v>
          </cell>
        </row>
        <row r="13">
          <cell r="G13">
            <v>2741.76</v>
          </cell>
        </row>
        <row r="16">
          <cell r="G16">
            <v>806.38</v>
          </cell>
        </row>
        <row r="17">
          <cell r="G17">
            <v>33304.730000000003</v>
          </cell>
        </row>
        <row r="18">
          <cell r="G18">
            <v>5994.9199999999992</v>
          </cell>
        </row>
        <row r="19">
          <cell r="G19">
            <v>27309.81</v>
          </cell>
        </row>
        <row r="21">
          <cell r="G21">
            <v>452</v>
          </cell>
        </row>
        <row r="27">
          <cell r="G27">
            <v>49</v>
          </cell>
        </row>
        <row r="28">
          <cell r="G28">
            <v>796</v>
          </cell>
        </row>
        <row r="44">
          <cell r="Q44">
            <v>15475.899999999994</v>
          </cell>
          <cell r="W44">
            <v>14400.439999999999</v>
          </cell>
          <cell r="Z44">
            <v>36</v>
          </cell>
          <cell r="AA44">
            <v>12</v>
          </cell>
          <cell r="AB44">
            <v>12</v>
          </cell>
          <cell r="AC44">
            <v>12</v>
          </cell>
          <cell r="AD44">
            <v>3</v>
          </cell>
          <cell r="AE44">
            <v>47</v>
          </cell>
          <cell r="AF44">
            <v>10</v>
          </cell>
          <cell r="AG44">
            <v>6</v>
          </cell>
          <cell r="AH44">
            <v>8</v>
          </cell>
          <cell r="AI44">
            <v>82</v>
          </cell>
          <cell r="AJ44">
            <v>50</v>
          </cell>
          <cell r="AK44">
            <v>16</v>
          </cell>
          <cell r="AL44">
            <v>0</v>
          </cell>
          <cell r="AM44">
            <v>0</v>
          </cell>
          <cell r="AN44">
            <v>0</v>
          </cell>
          <cell r="AO44">
            <v>0</v>
          </cell>
          <cell r="AR44">
            <v>158</v>
          </cell>
        </row>
        <row r="72">
          <cell r="E72">
            <v>806.38</v>
          </cell>
        </row>
      </sheetData>
      <sheetData sheetId="5">
        <row r="7">
          <cell r="G7">
            <v>30191.62</v>
          </cell>
        </row>
        <row r="8">
          <cell r="G8">
            <v>101558.93</v>
          </cell>
        </row>
        <row r="9">
          <cell r="G9">
            <v>73955.859999999986</v>
          </cell>
        </row>
        <row r="10">
          <cell r="G10">
            <v>72959.749999999985</v>
          </cell>
        </row>
        <row r="11">
          <cell r="G11">
            <v>70217.989999999991</v>
          </cell>
        </row>
        <row r="12">
          <cell r="G12">
            <v>2741.76</v>
          </cell>
        </row>
        <row r="16">
          <cell r="G16">
            <v>806.38</v>
          </cell>
          <cell r="Z16">
            <v>72</v>
          </cell>
          <cell r="AA16">
            <v>24</v>
          </cell>
          <cell r="AB16">
            <v>24</v>
          </cell>
          <cell r="AC16">
            <v>24</v>
          </cell>
          <cell r="AD16">
            <v>6</v>
          </cell>
          <cell r="AE16">
            <v>94</v>
          </cell>
          <cell r="AF16">
            <v>20</v>
          </cell>
          <cell r="AG16">
            <v>12</v>
          </cell>
          <cell r="AH16">
            <v>22</v>
          </cell>
          <cell r="AI16">
            <v>268</v>
          </cell>
          <cell r="AJ16">
            <v>130</v>
          </cell>
          <cell r="AK16">
            <v>44</v>
          </cell>
          <cell r="AL16">
            <v>0</v>
          </cell>
          <cell r="AM16">
            <v>0</v>
          </cell>
          <cell r="AN16">
            <v>0</v>
          </cell>
          <cell r="AO16">
            <v>0</v>
          </cell>
        </row>
        <row r="17">
          <cell r="G17">
            <v>27603.07</v>
          </cell>
        </row>
        <row r="18">
          <cell r="G18">
            <v>5778.2300000000005</v>
          </cell>
          <cell r="Q18">
            <v>7556.61</v>
          </cell>
          <cell r="W18">
            <v>6305.5099999999993</v>
          </cell>
        </row>
        <row r="19">
          <cell r="G19">
            <v>21824.84</v>
          </cell>
        </row>
        <row r="21">
          <cell r="G21">
            <v>740</v>
          </cell>
        </row>
        <row r="27">
          <cell r="G27">
            <v>149</v>
          </cell>
        </row>
        <row r="28">
          <cell r="G28">
            <v>648</v>
          </cell>
        </row>
        <row r="57">
          <cell r="E57">
            <v>806.38</v>
          </cell>
        </row>
      </sheetData>
      <sheetData sheetId="6">
        <row r="7">
          <cell r="G7">
            <v>47590.04</v>
          </cell>
        </row>
        <row r="8">
          <cell r="G8">
            <v>146190.57</v>
          </cell>
        </row>
        <row r="9">
          <cell r="G9">
            <v>99494.9</v>
          </cell>
        </row>
        <row r="10">
          <cell r="G10">
            <v>99165.189999999988</v>
          </cell>
        </row>
        <row r="11">
          <cell r="G11">
            <v>99165.189999999988</v>
          </cell>
        </row>
        <row r="15">
          <cell r="G15">
            <v>0</v>
          </cell>
        </row>
        <row r="16">
          <cell r="G16">
            <v>0</v>
          </cell>
        </row>
        <row r="17">
          <cell r="G17">
            <v>46695.670000000006</v>
          </cell>
        </row>
        <row r="18">
          <cell r="G18">
            <v>7874.0100000000011</v>
          </cell>
          <cell r="Q18">
            <v>9528.27</v>
          </cell>
          <cell r="W18">
            <v>8804.35</v>
          </cell>
          <cell r="Z18">
            <v>108</v>
          </cell>
          <cell r="AA18">
            <v>36</v>
          </cell>
          <cell r="AB18">
            <v>36</v>
          </cell>
          <cell r="AC18">
            <v>36</v>
          </cell>
          <cell r="AD18">
            <v>21</v>
          </cell>
          <cell r="AE18">
            <v>135</v>
          </cell>
          <cell r="AF18">
            <v>24</v>
          </cell>
          <cell r="AG18">
            <v>18</v>
          </cell>
          <cell r="AH18">
            <v>17</v>
          </cell>
          <cell r="AI18">
            <v>203</v>
          </cell>
          <cell r="AJ18">
            <v>120</v>
          </cell>
          <cell r="AK18">
            <v>34</v>
          </cell>
          <cell r="AL18">
            <v>9</v>
          </cell>
          <cell r="AM18">
            <v>111</v>
          </cell>
          <cell r="AN18">
            <v>60</v>
          </cell>
          <cell r="AO18">
            <v>18</v>
          </cell>
        </row>
        <row r="19">
          <cell r="G19">
            <v>38821.660000000003</v>
          </cell>
        </row>
        <row r="21">
          <cell r="G21">
            <v>986</v>
          </cell>
        </row>
        <row r="27">
          <cell r="G27">
            <v>132</v>
          </cell>
        </row>
        <row r="28">
          <cell r="G28">
            <v>1192</v>
          </cell>
        </row>
        <row r="34">
          <cell r="N34">
            <v>38821.660000000003</v>
          </cell>
        </row>
      </sheetData>
      <sheetData sheetId="7">
        <row r="7">
          <cell r="G7">
            <v>43315.55</v>
          </cell>
        </row>
        <row r="8">
          <cell r="G8">
            <v>132471.75</v>
          </cell>
        </row>
        <row r="9">
          <cell r="G9">
            <v>105554.61</v>
          </cell>
        </row>
        <row r="10">
          <cell r="G10">
            <v>99063.57</v>
          </cell>
        </row>
        <row r="11">
          <cell r="G11">
            <v>82603.929999999993</v>
          </cell>
        </row>
        <row r="12">
          <cell r="G12">
            <v>8063.96</v>
          </cell>
        </row>
        <row r="13">
          <cell r="G13">
            <v>8395.68</v>
          </cell>
        </row>
        <row r="15">
          <cell r="G15">
            <v>4712.29</v>
          </cell>
        </row>
        <row r="16">
          <cell r="G16">
            <v>1544.25</v>
          </cell>
        </row>
        <row r="17">
          <cell r="G17">
            <v>26917.140000000003</v>
          </cell>
        </row>
        <row r="18">
          <cell r="G18">
            <v>5895.06</v>
          </cell>
        </row>
        <row r="19">
          <cell r="G19">
            <v>21022.080000000002</v>
          </cell>
        </row>
        <row r="21">
          <cell r="G21">
            <v>1110</v>
          </cell>
        </row>
        <row r="28">
          <cell r="G28">
            <v>185</v>
          </cell>
        </row>
        <row r="29">
          <cell r="G29">
            <v>603</v>
          </cell>
          <cell r="Q29">
            <v>11476.880000000001</v>
          </cell>
          <cell r="W29">
            <v>9322.4600000000009</v>
          </cell>
          <cell r="Z29">
            <v>72</v>
          </cell>
          <cell r="AA29">
            <v>24</v>
          </cell>
          <cell r="AB29">
            <v>24</v>
          </cell>
          <cell r="AC29">
            <v>24</v>
          </cell>
          <cell r="AD29">
            <v>14</v>
          </cell>
          <cell r="AE29">
            <v>90</v>
          </cell>
          <cell r="AF29">
            <v>16</v>
          </cell>
          <cell r="AG29">
            <v>12</v>
          </cell>
          <cell r="AH29">
            <v>10</v>
          </cell>
          <cell r="AI29">
            <v>174</v>
          </cell>
          <cell r="AJ29">
            <v>112</v>
          </cell>
          <cell r="AK29">
            <v>32</v>
          </cell>
          <cell r="AL29">
            <v>6</v>
          </cell>
          <cell r="AM29">
            <v>106</v>
          </cell>
          <cell r="AN29">
            <v>56</v>
          </cell>
          <cell r="AO29">
            <v>18</v>
          </cell>
          <cell r="AP29">
            <v>141</v>
          </cell>
          <cell r="AQ29">
            <v>179</v>
          </cell>
        </row>
        <row r="37">
          <cell r="N37">
            <v>21022.080000000002</v>
          </cell>
        </row>
        <row r="47">
          <cell r="E47">
            <v>613.48</v>
          </cell>
        </row>
        <row r="49">
          <cell r="E49">
            <v>466.64</v>
          </cell>
        </row>
        <row r="59">
          <cell r="E59">
            <v>382.72</v>
          </cell>
        </row>
        <row r="63">
          <cell r="E63">
            <v>61.27</v>
          </cell>
        </row>
        <row r="67">
          <cell r="E67">
            <v>20.14</v>
          </cell>
        </row>
      </sheetData>
      <sheetData sheetId="8">
        <row r="7">
          <cell r="G7">
            <v>42342.870000000024</v>
          </cell>
        </row>
        <row r="8">
          <cell r="G8">
            <v>121413.93999999997</v>
          </cell>
        </row>
        <row r="9">
          <cell r="G9">
            <v>96796.819999999978</v>
          </cell>
        </row>
        <row r="10">
          <cell r="G10">
            <v>94461.709999999977</v>
          </cell>
        </row>
        <row r="11">
          <cell r="G11">
            <v>94461.709999999977</v>
          </cell>
        </row>
        <row r="15">
          <cell r="G15">
            <v>1143.3800000000001</v>
          </cell>
        </row>
        <row r="16">
          <cell r="G16">
            <v>1191.73</v>
          </cell>
        </row>
        <row r="17">
          <cell r="G17">
            <v>24617.120000000003</v>
          </cell>
        </row>
        <row r="19">
          <cell r="G19">
            <v>2926.83</v>
          </cell>
        </row>
        <row r="20">
          <cell r="G20">
            <v>21690.29</v>
          </cell>
        </row>
        <row r="21">
          <cell r="Q21">
            <v>9536.48</v>
          </cell>
          <cell r="W21">
            <v>8680.98</v>
          </cell>
          <cell r="Z21">
            <v>174</v>
          </cell>
          <cell r="AA21">
            <v>58</v>
          </cell>
          <cell r="AB21">
            <v>58</v>
          </cell>
          <cell r="AC21">
            <v>58</v>
          </cell>
          <cell r="AD21">
            <v>12</v>
          </cell>
          <cell r="AE21">
            <v>92</v>
          </cell>
          <cell r="AF21">
            <v>16</v>
          </cell>
          <cell r="AG21">
            <v>12</v>
          </cell>
          <cell r="AH21">
            <v>7</v>
          </cell>
          <cell r="AI21">
            <v>67</v>
          </cell>
          <cell r="AJ21">
            <v>22</v>
          </cell>
          <cell r="AK21">
            <v>12</v>
          </cell>
          <cell r="AL21">
            <v>31</v>
          </cell>
          <cell r="AM21">
            <v>197</v>
          </cell>
          <cell r="AN21">
            <v>112</v>
          </cell>
          <cell r="AO21">
            <v>34</v>
          </cell>
        </row>
        <row r="22">
          <cell r="G22">
            <v>962</v>
          </cell>
        </row>
        <row r="28">
          <cell r="G28">
            <v>233</v>
          </cell>
        </row>
        <row r="29">
          <cell r="G29">
            <v>773</v>
          </cell>
        </row>
        <row r="59">
          <cell r="E59">
            <v>318.39</v>
          </cell>
        </row>
        <row r="60">
          <cell r="E60">
            <v>873.34</v>
          </cell>
        </row>
      </sheetData>
      <sheetData sheetId="9">
        <row r="7">
          <cell r="G7">
            <v>313230.01000000007</v>
          </cell>
          <cell r="N7">
            <v>206</v>
          </cell>
          <cell r="O7">
            <v>208</v>
          </cell>
          <cell r="P7">
            <v>208</v>
          </cell>
          <cell r="S7">
            <v>138</v>
          </cell>
          <cell r="W7">
            <v>801</v>
          </cell>
          <cell r="AA7">
            <v>228</v>
          </cell>
          <cell r="AC7">
            <v>141</v>
          </cell>
          <cell r="AD7">
            <v>179</v>
          </cell>
          <cell r="AE7">
            <v>158</v>
          </cell>
        </row>
        <row r="10">
          <cell r="G10">
            <v>628150.40999999992</v>
          </cell>
        </row>
        <row r="11">
          <cell r="G11">
            <v>577641.65999999992</v>
          </cell>
        </row>
        <row r="12">
          <cell r="G12">
            <v>5483.52</v>
          </cell>
        </row>
        <row r="13">
          <cell r="G13">
            <v>28565.589999999989</v>
          </cell>
        </row>
        <row r="14">
          <cell r="G14">
            <v>8063.96</v>
          </cell>
        </row>
        <row r="15">
          <cell r="G15">
            <v>8395.68</v>
          </cell>
        </row>
        <row r="16">
          <cell r="G16">
            <v>6138.5300000000007</v>
          </cell>
        </row>
        <row r="17">
          <cell r="G17">
            <v>12904.03</v>
          </cell>
        </row>
        <row r="18">
          <cell r="G18">
            <v>758.7</v>
          </cell>
        </row>
        <row r="19">
          <cell r="G19">
            <v>8613.16</v>
          </cell>
        </row>
        <row r="21">
          <cell r="G21">
            <v>33952.76</v>
          </cell>
        </row>
        <row r="22">
          <cell r="G22">
            <v>168462.56000000003</v>
          </cell>
        </row>
        <row r="24">
          <cell r="G24">
            <v>6280</v>
          </cell>
        </row>
        <row r="28">
          <cell r="G28">
            <v>30.1</v>
          </cell>
        </row>
        <row r="29">
          <cell r="G29">
            <v>6372</v>
          </cell>
        </row>
        <row r="30">
          <cell r="G30">
            <v>1097</v>
          </cell>
        </row>
        <row r="31">
          <cell r="G31">
            <v>5275</v>
          </cell>
        </row>
        <row r="40">
          <cell r="E40">
            <v>6138.5300000000007</v>
          </cell>
        </row>
        <row r="48">
          <cell r="E48">
            <v>1910.76</v>
          </cell>
        </row>
        <row r="50">
          <cell r="E50">
            <v>1525.13</v>
          </cell>
        </row>
        <row r="54">
          <cell r="E54">
            <v>0</v>
          </cell>
        </row>
        <row r="57">
          <cell r="E57">
            <v>384.17</v>
          </cell>
        </row>
        <row r="59">
          <cell r="E59">
            <v>0</v>
          </cell>
        </row>
        <row r="60">
          <cell r="E60">
            <v>2065.29</v>
          </cell>
        </row>
        <row r="61">
          <cell r="E61">
            <v>2486.1</v>
          </cell>
        </row>
        <row r="64">
          <cell r="E64">
            <v>125.35</v>
          </cell>
        </row>
        <row r="66">
          <cell r="E66">
            <v>20.88</v>
          </cell>
        </row>
        <row r="68">
          <cell r="E68">
            <v>20.14</v>
          </cell>
        </row>
        <row r="69">
          <cell r="E69">
            <v>30.04</v>
          </cell>
        </row>
        <row r="70">
          <cell r="E70">
            <v>20.89</v>
          </cell>
        </row>
        <row r="72">
          <cell r="E72">
            <v>24.41</v>
          </cell>
        </row>
      </sheetData>
      <sheetData sheetId="10">
        <row r="8">
          <cell r="P8">
            <v>56.39</v>
          </cell>
          <cell r="R8">
            <v>24.386763077774699</v>
          </cell>
        </row>
        <row r="9">
          <cell r="P9">
            <v>36.11</v>
          </cell>
          <cell r="R9">
            <v>15.616350678106835</v>
          </cell>
        </row>
        <row r="10">
          <cell r="G10">
            <v>831250.77999999991</v>
          </cell>
          <cell r="P10">
            <v>3.46</v>
          </cell>
          <cell r="R10">
            <v>1.4963326875172986</v>
          </cell>
        </row>
        <row r="11">
          <cell r="G11">
            <v>795327.7</v>
          </cell>
          <cell r="P11">
            <v>13.35</v>
          </cell>
          <cell r="R11">
            <v>5.773422363686687</v>
          </cell>
        </row>
        <row r="12">
          <cell r="G12">
            <v>8063.96</v>
          </cell>
          <cell r="P12">
            <v>3.47</v>
          </cell>
          <cell r="R12">
            <v>1.5006573484638803</v>
          </cell>
        </row>
        <row r="13">
          <cell r="G13">
            <v>8395.68</v>
          </cell>
        </row>
        <row r="14">
          <cell r="G14">
            <v>6138.5300000000007</v>
          </cell>
        </row>
        <row r="15">
          <cell r="G15">
            <v>6100</v>
          </cell>
        </row>
        <row r="16">
          <cell r="G16">
            <v>13204.53</v>
          </cell>
        </row>
        <row r="17">
          <cell r="G17">
            <v>758.7</v>
          </cell>
        </row>
        <row r="18">
          <cell r="G18">
            <v>9721.32</v>
          </cell>
        </row>
        <row r="19">
          <cell r="G19">
            <v>291735.87</v>
          </cell>
        </row>
        <row r="20">
          <cell r="G20">
            <v>109400.09</v>
          </cell>
        </row>
        <row r="21">
          <cell r="G21">
            <v>182335.78000000003</v>
          </cell>
        </row>
        <row r="23">
          <cell r="G23">
            <v>7226</v>
          </cell>
        </row>
        <row r="25">
          <cell r="G25">
            <v>23123.200000000001</v>
          </cell>
        </row>
        <row r="26">
          <cell r="G26">
            <v>29.9</v>
          </cell>
        </row>
        <row r="27">
          <cell r="G27">
            <v>30.1</v>
          </cell>
        </row>
        <row r="29">
          <cell r="G29">
            <v>1097</v>
          </cell>
        </row>
        <row r="30">
          <cell r="G30">
            <v>6227</v>
          </cell>
        </row>
        <row r="37">
          <cell r="P37">
            <v>13204.53</v>
          </cell>
        </row>
        <row r="38">
          <cell r="P38">
            <v>6100</v>
          </cell>
        </row>
        <row r="39">
          <cell r="P39">
            <v>6138.5300000000007</v>
          </cell>
        </row>
        <row r="43">
          <cell r="P43">
            <v>2633.63</v>
          </cell>
        </row>
        <row r="44">
          <cell r="P44">
            <v>323.85000000000002</v>
          </cell>
        </row>
        <row r="45">
          <cell r="P45">
            <v>1910.76</v>
          </cell>
        </row>
        <row r="46">
          <cell r="P46">
            <v>64</v>
          </cell>
        </row>
        <row r="47">
          <cell r="P47">
            <v>155.35</v>
          </cell>
        </row>
        <row r="48">
          <cell r="P48">
            <v>87.57</v>
          </cell>
        </row>
        <row r="49">
          <cell r="P49">
            <v>20.88</v>
          </cell>
        </row>
        <row r="50">
          <cell r="P50">
            <v>384.17</v>
          </cell>
        </row>
        <row r="51">
          <cell r="P51">
            <v>1525.13</v>
          </cell>
        </row>
        <row r="53">
          <cell r="P53">
            <v>55.29</v>
          </cell>
        </row>
        <row r="54">
          <cell r="P54">
            <v>2486.1</v>
          </cell>
        </row>
        <row r="55">
          <cell r="P55">
            <v>20.14</v>
          </cell>
        </row>
        <row r="56">
          <cell r="P56">
            <v>30.04</v>
          </cell>
        </row>
        <row r="57">
          <cell r="P57">
            <v>24.41</v>
          </cell>
        </row>
      </sheetData>
      <sheetData sheetId="11">
        <row r="51">
          <cell r="M51">
            <v>24.41</v>
          </cell>
        </row>
      </sheetData>
      <sheetData sheetId="12">
        <row r="6">
          <cell r="E6">
            <v>7169.17</v>
          </cell>
          <cell r="H6">
            <v>64671.6</v>
          </cell>
          <cell r="I6">
            <v>28038.15</v>
          </cell>
          <cell r="J6">
            <v>99878.92</v>
          </cell>
          <cell r="K6">
            <v>384</v>
          </cell>
        </row>
        <row r="7">
          <cell r="H7">
            <v>46337.55</v>
          </cell>
          <cell r="I7">
            <v>22142.15</v>
          </cell>
          <cell r="J7">
            <v>68479.700000000012</v>
          </cell>
          <cell r="K7">
            <v>216</v>
          </cell>
        </row>
        <row r="8">
          <cell r="E8">
            <v>6704.05</v>
          </cell>
          <cell r="H8">
            <v>57576.800000000003</v>
          </cell>
          <cell r="I8">
            <v>25267.03</v>
          </cell>
          <cell r="J8">
            <v>89547.88</v>
          </cell>
          <cell r="K8">
            <v>346</v>
          </cell>
          <cell r="O8">
            <v>952</v>
          </cell>
        </row>
        <row r="9">
          <cell r="H9">
            <v>168585.95</v>
          </cell>
        </row>
        <row r="15">
          <cell r="L15">
            <v>300.5</v>
          </cell>
        </row>
        <row r="19">
          <cell r="L19">
            <v>1108.1600000000001</v>
          </cell>
        </row>
        <row r="23">
          <cell r="E23">
            <v>0</v>
          </cell>
        </row>
        <row r="32">
          <cell r="L32">
            <v>1408.66</v>
          </cell>
        </row>
        <row r="34">
          <cell r="E34">
            <v>323.85000000000002</v>
          </cell>
        </row>
        <row r="35">
          <cell r="E35">
            <v>568.34</v>
          </cell>
        </row>
        <row r="39">
          <cell r="E39">
            <v>30</v>
          </cell>
        </row>
        <row r="40">
          <cell r="E40">
            <v>64</v>
          </cell>
        </row>
        <row r="45">
          <cell r="E45">
            <v>34.4</v>
          </cell>
        </row>
        <row r="46">
          <cell r="E46">
            <v>87.57</v>
          </cell>
        </row>
      </sheetData>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河北省固安温泉休闲商务产业园区独流一排村东北房地产抵押价值预评估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受贵公司委托，我公司对河北省固安温泉休闲商务产业园区独流一排村东北房地产抵押价值进行了预评估。</v>
      </c>
    </row>
    <row r="7" spans="1:2" s="1364" customFormat="1">
      <c r="A7" s="1362" t="s">
        <v>1231</v>
      </c>
      <c r="B7" s="1363" t="str">
        <f>'预评函-1'!A7</f>
        <v>估价对象为河北省固安温泉休闲商务产业园区独流一排村东北房地产，为所有。根据《国有土地使用证》[]，估价对象（分摊）出让国有建设用地使用权面积为254442.35平方米。根据《房屋所有权证》[]、《测绘报告》[]，估价对象建筑面积为714394.25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河北省固安温泉休闲商务产业园区独流一排村东北房地产,属开发建设的居住项目，该项目尚在开发建设中。根据《国有土地使用证》[]，估价对象（分摊）出让国有建设用地使用权面积为254442.35平方米。根据《房屋所有权证》[]、《测绘报告》[]，估价对象规划建筑面积为714394.25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河北省固安温泉休闲商务产业园区独流一排村东北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2020年12月21日（评估专业人员实地查勘之日）</v>
      </c>
    </row>
    <row r="13" spans="1:2" s="1364" customFormat="1">
      <c r="A13" s="1362" t="s">
        <v>1194</v>
      </c>
      <c r="B13" s="1363"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133435</v>
      </c>
    </row>
    <row r="21" spans="1:2" s="1364" customFormat="1">
      <c r="A21" s="1362" t="s">
        <v>1202</v>
      </c>
      <c r="B21" s="1363">
        <f ca="1">'预评函-2'!D7</f>
        <v>1868</v>
      </c>
    </row>
    <row r="22" spans="1:2" s="1364" customFormat="1">
      <c r="A22" s="1362" t="s">
        <v>1203</v>
      </c>
      <c r="B22" s="1363" t="str">
        <f ca="1">'预评函-2'!D6</f>
        <v>壹拾叁亿叁仟肆佰叁拾伍万元整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133435</v>
      </c>
    </row>
    <row r="31" spans="1:2" s="1364" customFormat="1">
      <c r="A31" s="1362" t="s">
        <v>1241</v>
      </c>
      <c r="B31" s="1363">
        <f ca="1">'预评函-2'!D15</f>
        <v>1868</v>
      </c>
    </row>
    <row r="32" spans="1:2" s="1364" customFormat="1">
      <c r="A32" s="1362" t="s">
        <v>1208</v>
      </c>
      <c r="B32" s="1363" t="str">
        <f ca="1">'预评函-2'!D14</f>
        <v>壹拾叁亿叁仟肆佰叁拾伍万元整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河北省固安温泉休闲商务产业园区独流一排村东北房地产</v>
      </c>
    </row>
    <row r="42" spans="1:2" s="1364" customFormat="1">
      <c r="A42" s="1362" t="s">
        <v>1255</v>
      </c>
      <c r="B42" s="1363" t="str">
        <f>'预评函-3'!B2</f>
        <v>建筑面积</v>
      </c>
    </row>
    <row r="43" spans="1:2" s="1364" customFormat="1">
      <c r="A43" s="1362" t="s">
        <v>1256</v>
      </c>
      <c r="B43" s="1363">
        <f>'预评函-3'!B4</f>
        <v>714394.25</v>
      </c>
    </row>
    <row r="44" spans="1:2" s="1364" customFormat="1">
      <c r="A44" s="1362" t="s">
        <v>1240</v>
      </c>
      <c r="B44" s="1363" t="str">
        <f>'预评函-3'!C2</f>
        <v>(分摊)土地面积</v>
      </c>
    </row>
    <row r="45" spans="1:2" s="1364" customFormat="1">
      <c r="A45" s="1362" t="s">
        <v>1212</v>
      </c>
      <c r="B45" s="1363">
        <f>'预评函-3'!C4</f>
        <v>254442.35</v>
      </c>
    </row>
    <row r="46" spans="1:2" s="1364" customFormat="1">
      <c r="A46" s="1362" t="s">
        <v>1238</v>
      </c>
      <c r="B46" s="1363" t="str">
        <f>'预评函-3'!D2</f>
        <v>出让国有建设用地使用权价值</v>
      </c>
    </row>
    <row r="47" spans="1:2" s="1364" customFormat="1">
      <c r="A47" s="1362" t="s">
        <v>1213</v>
      </c>
      <c r="B47" s="1363">
        <f ca="1">'预评函-3'!D4</f>
        <v>122493</v>
      </c>
    </row>
    <row r="48" spans="1:2" s="1364" customFormat="1">
      <c r="A48" s="1362" t="s">
        <v>1214</v>
      </c>
      <c r="B48" s="1363">
        <f ca="1">'预评函-3'!E4</f>
        <v>1715</v>
      </c>
    </row>
    <row r="49" spans="1:2" s="1364" customFormat="1">
      <c r="A49" s="1362" t="s">
        <v>1215</v>
      </c>
      <c r="B49" s="1363" t="str">
        <f ca="1">'预评函-3'!D5</f>
        <v>壹拾贰亿贰仟肆佰玖拾叁万元整</v>
      </c>
    </row>
    <row r="50" spans="1:2" s="1364" customFormat="1">
      <c r="A50" s="1362" t="s">
        <v>1239</v>
      </c>
      <c r="B50" s="1363" t="str">
        <f>'预评函-3'!F2</f>
        <v>在建建筑物价值</v>
      </c>
    </row>
    <row r="51" spans="1:2" s="1364" customFormat="1">
      <c r="A51" s="1362" t="s">
        <v>1216</v>
      </c>
      <c r="B51" s="1363">
        <f ca="1">'预评函-3'!F4</f>
        <v>10942</v>
      </c>
    </row>
    <row r="52" spans="1:2" s="1364" customFormat="1">
      <c r="A52" s="1362" t="s">
        <v>1217</v>
      </c>
      <c r="B52" s="1363">
        <f ca="1">'预评函-3'!G4</f>
        <v>153</v>
      </c>
    </row>
    <row r="53" spans="1:2" s="1364" customFormat="1">
      <c r="A53" s="1362" t="s">
        <v>1245</v>
      </c>
      <c r="B53" s="1363" t="str">
        <f ca="1">'预评函-3'!F5</f>
        <v>壹亿零玖佰肆拾贰万元整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1"/>
  <sheetViews>
    <sheetView zoomScale="62" zoomScaleNormal="62" workbookViewId="0">
      <selection activeCell="AA22" sqref="AA22"/>
    </sheetView>
  </sheetViews>
  <sheetFormatPr defaultRowHeight="13.5"/>
  <cols>
    <col min="1" max="1" width="9.625" style="3044" bestFit="1" customWidth="1"/>
    <col min="2" max="2" width="20.625" style="3044" customWidth="1"/>
    <col min="3" max="3" width="15.625" style="3044" customWidth="1"/>
    <col min="4" max="4" width="10.5" style="3044" customWidth="1"/>
    <col min="5" max="5" width="31.875" style="3044" customWidth="1"/>
    <col min="6" max="6" width="8.5" style="3044" customWidth="1"/>
    <col min="7" max="7" width="10.125" style="3044" hidden="1" customWidth="1"/>
    <col min="8" max="8" width="24.75" style="3044" customWidth="1"/>
    <col min="9" max="9" width="10.5" style="3044" customWidth="1"/>
    <col min="10" max="10" width="12" style="3044" customWidth="1"/>
    <col min="11" max="11" width="12.625" style="3044" bestFit="1" customWidth="1"/>
    <col min="12" max="12" width="12.875" style="3044" bestFit="1" customWidth="1"/>
    <col min="13" max="14" width="9" style="3044"/>
    <col min="15" max="15" width="4.25" style="3044" customWidth="1"/>
    <col min="16" max="16" width="11.75" style="3044" customWidth="1"/>
    <col min="17" max="17" width="6.375" style="3044" customWidth="1"/>
    <col min="18" max="18" width="4" style="3044" customWidth="1"/>
    <col min="19" max="19" width="14.625" style="3044" hidden="1" customWidth="1"/>
    <col min="20" max="20" width="16.875" style="3044" customWidth="1"/>
    <col min="21" max="21" width="11" style="3044" customWidth="1"/>
    <col min="22" max="22" width="12.25" style="3044" bestFit="1" customWidth="1"/>
    <col min="23" max="23" width="13.625" style="3044" customWidth="1"/>
    <col min="24" max="16384" width="9" style="3044"/>
  </cols>
  <sheetData>
    <row r="1" spans="1:24" ht="14.25" thickBot="1"/>
    <row r="2" spans="1:24" ht="32.25" thickBot="1">
      <c r="O2" s="3444" t="s">
        <v>3134</v>
      </c>
      <c r="P2" s="3537" t="s">
        <v>3684</v>
      </c>
      <c r="Q2" s="3538"/>
      <c r="R2" s="3538"/>
      <c r="S2" s="3538"/>
      <c r="T2" s="3539"/>
      <c r="U2" s="3444" t="s">
        <v>3685</v>
      </c>
      <c r="V2" s="3444" t="s">
        <v>3686</v>
      </c>
      <c r="W2" s="3444" t="s">
        <v>3687</v>
      </c>
      <c r="X2" s="3444" t="s">
        <v>3110</v>
      </c>
    </row>
    <row r="3" spans="1:24" ht="22.5" customHeight="1" thickBot="1">
      <c r="A3" s="3540" t="s">
        <v>3688</v>
      </c>
      <c r="B3" s="3541"/>
      <c r="C3" s="3541"/>
      <c r="D3" s="3541"/>
      <c r="E3" s="3541"/>
      <c r="F3" s="3541"/>
      <c r="G3" s="3541"/>
      <c r="H3" s="3541"/>
      <c r="I3" s="3541"/>
      <c r="J3" s="3541"/>
      <c r="K3" s="3541"/>
      <c r="L3" s="3542"/>
      <c r="O3" s="3445">
        <v>1</v>
      </c>
      <c r="P3" s="3543" t="s">
        <v>3689</v>
      </c>
      <c r="Q3" s="3544"/>
      <c r="R3" s="3544"/>
      <c r="S3" s="3544"/>
      <c r="T3" s="3545"/>
      <c r="U3" s="3446" t="s">
        <v>3690</v>
      </c>
      <c r="V3" s="3446">
        <f>[1]规划区综合指标!G7</f>
        <v>313230.01000000007</v>
      </c>
      <c r="W3" s="3446" t="s">
        <v>3690</v>
      </c>
      <c r="X3" s="3446" t="s">
        <v>3690</v>
      </c>
    </row>
    <row r="4" spans="1:24" ht="16.5" thickBot="1">
      <c r="A4" s="3447" t="s">
        <v>3691</v>
      </c>
      <c r="B4" s="3447" t="s">
        <v>3106</v>
      </c>
      <c r="C4" s="3448" t="s">
        <v>3692</v>
      </c>
      <c r="D4" s="3448" t="s">
        <v>3693</v>
      </c>
      <c r="E4" s="3448" t="s">
        <v>3694</v>
      </c>
      <c r="F4" s="3448" t="s">
        <v>3695</v>
      </c>
      <c r="G4" s="3448" t="s">
        <v>3696</v>
      </c>
      <c r="H4" s="3448" t="s">
        <v>3697</v>
      </c>
      <c r="I4" s="3448" t="s">
        <v>3106</v>
      </c>
      <c r="J4" s="3448" t="s">
        <v>3691</v>
      </c>
      <c r="K4" s="3448" t="s">
        <v>3698</v>
      </c>
      <c r="L4" s="3448" t="s">
        <v>3699</v>
      </c>
      <c r="M4" s="3449" t="s">
        <v>3700</v>
      </c>
      <c r="O4" s="3445">
        <v>2</v>
      </c>
      <c r="P4" s="3543" t="s">
        <v>3701</v>
      </c>
      <c r="Q4" s="3544"/>
      <c r="R4" s="3544"/>
      <c r="S4" s="3544"/>
      <c r="T4" s="3545"/>
      <c r="U4" s="3446" t="s">
        <v>3690</v>
      </c>
      <c r="V4" s="3446">
        <f>V3</f>
        <v>313230.01000000007</v>
      </c>
      <c r="W4" s="3446" t="s">
        <v>3690</v>
      </c>
      <c r="X4" s="3446" t="s">
        <v>3690</v>
      </c>
    </row>
    <row r="5" spans="1:24" ht="17.25" thickBot="1">
      <c r="A5" s="3546">
        <f>B5/B29</f>
        <v>0.11340373679935012</v>
      </c>
      <c r="B5" s="3548">
        <f>I5+I6</f>
        <v>698</v>
      </c>
      <c r="C5" s="3550" t="s">
        <v>3702</v>
      </c>
      <c r="D5" s="3450" t="s">
        <v>3703</v>
      </c>
      <c r="E5" s="3450" t="s">
        <v>3704</v>
      </c>
      <c r="F5" s="3450" t="s">
        <v>3705</v>
      </c>
      <c r="G5" s="3450" t="s">
        <v>3706</v>
      </c>
      <c r="H5" s="3450" t="s">
        <v>3707</v>
      </c>
      <c r="I5" s="3450">
        <f>'[1]3.1.2期指标'!Z36+'[1]3.2.2期指标'!Z26+'[1]3.3（三期）指标'!Z44+'[1]3.4（四期）指标'!Z16+'[1]3.5（五期）指标'!Z18+'[1]3.6（六期）指标'!Z29+'[1]3.7（七期）指标'!Z21</f>
        <v>492</v>
      </c>
      <c r="J5" s="3451">
        <f>I5/I29</f>
        <v>7.9935012185215273E-2</v>
      </c>
      <c r="K5" s="3450">
        <f>I5*52.57</f>
        <v>25864.44</v>
      </c>
      <c r="L5" s="3451">
        <f>K5/K29</f>
        <v>4.1121643380140946E-2</v>
      </c>
      <c r="M5" s="3044">
        <f>I5*2.24</f>
        <v>1102.0800000000002</v>
      </c>
      <c r="O5" s="3445">
        <v>3</v>
      </c>
      <c r="P5" s="3543" t="s">
        <v>3708</v>
      </c>
      <c r="Q5" s="3544"/>
      <c r="R5" s="3544"/>
      <c r="S5" s="3544"/>
      <c r="T5" s="3545"/>
      <c r="U5" s="3446"/>
      <c r="V5" s="3446">
        <f>V6+V22</f>
        <v>858221.45</v>
      </c>
      <c r="W5" s="3446"/>
      <c r="X5" s="3446"/>
    </row>
    <row r="6" spans="1:24" ht="33.75" thickBot="1">
      <c r="A6" s="3547"/>
      <c r="B6" s="3549"/>
      <c r="C6" s="3551"/>
      <c r="D6" s="3450" t="s">
        <v>3709</v>
      </c>
      <c r="E6" s="3450" t="s">
        <v>3704</v>
      </c>
      <c r="F6" s="3450" t="s">
        <v>3710</v>
      </c>
      <c r="G6" s="3450" t="s">
        <v>3711</v>
      </c>
      <c r="H6" s="3450" t="s">
        <v>3712</v>
      </c>
      <c r="I6" s="3450">
        <f>[1]规划区综合指标!N7</f>
        <v>206</v>
      </c>
      <c r="J6" s="3451">
        <f>I6/I29</f>
        <v>3.3468724614134852E-2</v>
      </c>
      <c r="K6" s="3450">
        <f>I6*70.05</f>
        <v>14430.3</v>
      </c>
      <c r="L6" s="3451">
        <f>K6/K29</f>
        <v>2.2942605773349351E-2</v>
      </c>
      <c r="M6" s="3044">
        <f>I6*2.31</f>
        <v>475.86</v>
      </c>
      <c r="O6" s="3445">
        <v>4</v>
      </c>
      <c r="P6" s="3552" t="s">
        <v>3149</v>
      </c>
      <c r="Q6" s="3543" t="s">
        <v>3713</v>
      </c>
      <c r="R6" s="3544"/>
      <c r="S6" s="3544"/>
      <c r="T6" s="3545"/>
      <c r="U6" s="3446" t="s">
        <v>3690</v>
      </c>
      <c r="V6" s="3446">
        <f>V7+V8+V9</f>
        <v>655806.12999999989</v>
      </c>
      <c r="W6" s="3446" t="s">
        <v>3690</v>
      </c>
      <c r="X6" s="3446" t="s">
        <v>3690</v>
      </c>
    </row>
    <row r="7" spans="1:24" ht="17.25" customHeight="1" thickBot="1">
      <c r="A7" s="3555">
        <f>B7/B29</f>
        <v>0.72932575142160849</v>
      </c>
      <c r="B7" s="3558">
        <f>SUM(I7:I13)</f>
        <v>4489</v>
      </c>
      <c r="C7" s="3558" t="s">
        <v>3714</v>
      </c>
      <c r="D7" s="3450" t="s">
        <v>3715</v>
      </c>
      <c r="E7" s="3450" t="s">
        <v>3716</v>
      </c>
      <c r="F7" s="3450" t="s">
        <v>3717</v>
      </c>
      <c r="G7" s="3450" t="s">
        <v>3718</v>
      </c>
      <c r="H7" s="3450" t="s">
        <v>3719</v>
      </c>
      <c r="I7" s="3450">
        <f>[1]规划区综合指标!O7+[1]规划区综合指标!P7</f>
        <v>416</v>
      </c>
      <c r="J7" s="3451">
        <f>I7/I29</f>
        <v>6.7587327376116973E-2</v>
      </c>
      <c r="K7" s="3450">
        <f>K29-K5-K6-K8-K9-K10-K11-K12-K13-K14-K16-K18-K20-K22-K24-K26-K27-K28</f>
        <v>40780.15000000006</v>
      </c>
      <c r="L7" s="3451">
        <f>K7/K29</f>
        <v>6.4835998200179754E-2</v>
      </c>
      <c r="M7" s="3044">
        <f>I7*3.81</f>
        <v>1584.96</v>
      </c>
      <c r="O7" s="3445"/>
      <c r="P7" s="3553"/>
      <c r="Q7" s="3552" t="s">
        <v>3149</v>
      </c>
      <c r="R7" s="3543" t="s">
        <v>3720</v>
      </c>
      <c r="S7" s="3544"/>
      <c r="T7" s="3545"/>
      <c r="U7" s="3446" t="s">
        <v>3690</v>
      </c>
      <c r="V7" s="3446">
        <f>[1]规划区综合指标!G10</f>
        <v>628150.40999999992</v>
      </c>
      <c r="W7" s="3446" t="s">
        <v>3690</v>
      </c>
      <c r="X7" s="3446" t="s">
        <v>3690</v>
      </c>
    </row>
    <row r="8" spans="1:24" ht="17.25" customHeight="1" thickBot="1">
      <c r="A8" s="3556"/>
      <c r="B8" s="3559"/>
      <c r="C8" s="3559"/>
      <c r="D8" s="3450" t="s">
        <v>3721</v>
      </c>
      <c r="E8" s="3450" t="s">
        <v>3716</v>
      </c>
      <c r="F8" s="3450" t="s">
        <v>3722</v>
      </c>
      <c r="G8" s="3450" t="s">
        <v>3723</v>
      </c>
      <c r="H8" s="3450" t="s">
        <v>3724</v>
      </c>
      <c r="I8" s="3450">
        <f>670+42</f>
        <v>712</v>
      </c>
      <c r="J8" s="3451">
        <f>I8/I29</f>
        <v>0.11567831031681559</v>
      </c>
      <c r="K8" s="3450">
        <f>670*85.5+42*69.7</f>
        <v>60212.4</v>
      </c>
      <c r="L8" s="3451">
        <f>K8/K29</f>
        <v>9.5731159841945107E-2</v>
      </c>
      <c r="M8" s="3044">
        <f>I8*4.08</f>
        <v>2904.96</v>
      </c>
      <c r="O8" s="3445"/>
      <c r="P8" s="3553"/>
      <c r="Q8" s="3553"/>
      <c r="R8" s="3543" t="s">
        <v>3725</v>
      </c>
      <c r="S8" s="3544"/>
      <c r="T8" s="3545"/>
      <c r="U8" s="3446" t="s">
        <v>3690</v>
      </c>
      <c r="V8" s="3446">
        <f>[1]规划区综合指标!G17</f>
        <v>12904.03</v>
      </c>
      <c r="W8" s="3446" t="s">
        <v>3690</v>
      </c>
      <c r="X8" s="3446" t="s">
        <v>3690</v>
      </c>
    </row>
    <row r="9" spans="1:24" ht="33.75" thickBot="1">
      <c r="A9" s="3556"/>
      <c r="B9" s="3559"/>
      <c r="C9" s="3559"/>
      <c r="D9" s="3450" t="s">
        <v>3726</v>
      </c>
      <c r="E9" s="3450" t="s">
        <v>3727</v>
      </c>
      <c r="F9" s="3450" t="s">
        <v>3728</v>
      </c>
      <c r="G9" s="3450" t="s">
        <v>3729</v>
      </c>
      <c r="H9" s="3450" t="s">
        <v>3730</v>
      </c>
      <c r="I9" s="3450">
        <f>1633+123</f>
        <v>1756</v>
      </c>
      <c r="J9" s="3451">
        <f>I9/I29</f>
        <v>0.28529650690495534</v>
      </c>
      <c r="K9" s="3450">
        <f>1633*101.37+123*74.79</f>
        <v>174736.38000000003</v>
      </c>
      <c r="L9" s="3451">
        <f>K9/K29</f>
        <v>0.27781181822984741</v>
      </c>
      <c r="M9" s="3044">
        <f>I9*4.06</f>
        <v>7129.36</v>
      </c>
      <c r="O9" s="3445"/>
      <c r="P9" s="3553"/>
      <c r="Q9" s="3553"/>
      <c r="R9" s="3543" t="s">
        <v>3731</v>
      </c>
      <c r="S9" s="3544"/>
      <c r="T9" s="3545"/>
      <c r="U9" s="3446" t="s">
        <v>3690</v>
      </c>
      <c r="V9" s="3446">
        <f>SUM(V10:V21)</f>
        <v>14751.69</v>
      </c>
      <c r="W9" s="3446" t="s">
        <v>3690</v>
      </c>
      <c r="X9" s="3446" t="s">
        <v>3690</v>
      </c>
    </row>
    <row r="10" spans="1:24" ht="33.75" thickBot="1">
      <c r="A10" s="3556"/>
      <c r="B10" s="3559"/>
      <c r="C10" s="3559"/>
      <c r="D10" s="3450" t="s">
        <v>3732</v>
      </c>
      <c r="E10" s="3450" t="s">
        <v>3727</v>
      </c>
      <c r="F10" s="3450" t="s">
        <v>3733</v>
      </c>
      <c r="G10" s="3450" t="s">
        <v>3734</v>
      </c>
      <c r="H10" s="3450" t="s">
        <v>3735</v>
      </c>
      <c r="I10" s="3450">
        <f>[1]规划区综合指标!S7</f>
        <v>138</v>
      </c>
      <c r="J10" s="3451">
        <f>I10/I29</f>
        <v>2.2420796100731114E-2</v>
      </c>
      <c r="K10" s="3450">
        <f>I10*107.94</f>
        <v>14895.72</v>
      </c>
      <c r="L10" s="3451">
        <f>K10/K29</f>
        <v>2.3682572896626914E-2</v>
      </c>
      <c r="M10" s="3044">
        <f>I10*5.97</f>
        <v>823.86</v>
      </c>
      <c r="O10" s="3445"/>
      <c r="P10" s="3553"/>
      <c r="Q10" s="3553"/>
      <c r="R10" s="3561" t="s">
        <v>3149</v>
      </c>
      <c r="S10" s="3562"/>
      <c r="T10" s="3446" t="s">
        <v>3736</v>
      </c>
      <c r="U10" s="3446" t="s">
        <v>3690</v>
      </c>
      <c r="V10" s="3446">
        <f>[1]规划区综合指标!E40</f>
        <v>6138.5300000000007</v>
      </c>
      <c r="W10" s="3446" t="s">
        <v>3690</v>
      </c>
      <c r="X10" s="3446" t="s">
        <v>3690</v>
      </c>
    </row>
    <row r="11" spans="1:24" ht="33.75" thickBot="1">
      <c r="A11" s="3556"/>
      <c r="B11" s="3559"/>
      <c r="C11" s="3559"/>
      <c r="D11" s="3450" t="s">
        <v>3737</v>
      </c>
      <c r="E11" s="3450" t="s">
        <v>3727</v>
      </c>
      <c r="F11" s="3450" t="s">
        <v>3738</v>
      </c>
      <c r="G11" s="3450" t="s">
        <v>3739</v>
      </c>
      <c r="H11" s="3450" t="s">
        <v>3740</v>
      </c>
      <c r="I11" s="3450">
        <f>[1]规划区综合指标!W7</f>
        <v>801</v>
      </c>
      <c r="J11" s="3451">
        <f>I11/I29</f>
        <v>0.13013809910641755</v>
      </c>
      <c r="K11" s="3450">
        <f>I11*117.17</f>
        <v>93853.17</v>
      </c>
      <c r="L11" s="3451">
        <f>K11/K29</f>
        <v>0.14921632120532061</v>
      </c>
      <c r="M11" s="3044">
        <f>I11*7.09</f>
        <v>5679.09</v>
      </c>
      <c r="O11" s="3445"/>
      <c r="P11" s="3553"/>
      <c r="Q11" s="3553"/>
      <c r="R11" s="3563"/>
      <c r="S11" s="3564"/>
      <c r="T11" s="3446" t="s">
        <v>3741</v>
      </c>
      <c r="U11" s="3446"/>
      <c r="V11" s="3446">
        <f>[1]规划区综合指标!E48</f>
        <v>1910.76</v>
      </c>
      <c r="W11" s="3446"/>
      <c r="X11" s="3446"/>
    </row>
    <row r="12" spans="1:24" ht="33.75" thickBot="1">
      <c r="A12" s="3556"/>
      <c r="B12" s="3559"/>
      <c r="C12" s="3559"/>
      <c r="D12" s="3450" t="s">
        <v>3742</v>
      </c>
      <c r="E12" s="3450" t="s">
        <v>3727</v>
      </c>
      <c r="F12" s="3450" t="s">
        <v>3743</v>
      </c>
      <c r="G12" s="3450" t="s">
        <v>3744</v>
      </c>
      <c r="H12" s="3450" t="s">
        <v>3745</v>
      </c>
      <c r="I12" s="3450">
        <f>414+24</f>
        <v>438</v>
      </c>
      <c r="J12" s="3451">
        <f>I12/I29</f>
        <v>7.1161657189277014E-2</v>
      </c>
      <c r="K12" s="3450">
        <f>414*117.64+24*84.26</f>
        <v>50725.2</v>
      </c>
      <c r="L12" s="3451">
        <f>K12/K29</f>
        <v>8.0647544844826544E-2</v>
      </c>
      <c r="M12" s="3044">
        <f>I12*4.69</f>
        <v>2054.2200000000003</v>
      </c>
      <c r="O12" s="3445"/>
      <c r="P12" s="3553"/>
      <c r="Q12" s="3553"/>
      <c r="R12" s="3563"/>
      <c r="S12" s="3564"/>
      <c r="T12" s="3446" t="s">
        <v>3746</v>
      </c>
      <c r="U12" s="3446"/>
      <c r="V12" s="3446">
        <f>[1]规划区综合指标!E50</f>
        <v>1525.13</v>
      </c>
      <c r="W12" s="3446"/>
      <c r="X12" s="3446"/>
    </row>
    <row r="13" spans="1:24" ht="33.75" thickBot="1">
      <c r="A13" s="3557"/>
      <c r="B13" s="3560"/>
      <c r="C13" s="3560"/>
      <c r="D13" s="3450" t="s">
        <v>3747</v>
      </c>
      <c r="E13" s="3450" t="s">
        <v>3748</v>
      </c>
      <c r="F13" s="3450" t="s">
        <v>3749</v>
      </c>
      <c r="G13" s="3450" t="s">
        <v>3750</v>
      </c>
      <c r="H13" s="3450" t="s">
        <v>3751</v>
      </c>
      <c r="I13" s="3450">
        <f>[1]规划区综合指标!AA7</f>
        <v>228</v>
      </c>
      <c r="J13" s="3451">
        <f>I13/I29</f>
        <v>3.7043054427294879E-2</v>
      </c>
      <c r="K13" s="3450">
        <f>I13*136.73</f>
        <v>31174.44</v>
      </c>
      <c r="L13" s="3451">
        <f>K13/K29</f>
        <v>4.9563965206886405E-2</v>
      </c>
      <c r="M13" s="3044">
        <f>I13*7.59</f>
        <v>1730.52</v>
      </c>
      <c r="O13" s="3445"/>
      <c r="P13" s="3553"/>
      <c r="Q13" s="3553"/>
      <c r="R13" s="3563"/>
      <c r="S13" s="3564"/>
      <c r="T13" s="3446" t="s">
        <v>3460</v>
      </c>
      <c r="U13" s="3446"/>
      <c r="V13" s="3446">
        <f>[1]规划区综合指标!E57</f>
        <v>384.17</v>
      </c>
      <c r="W13" s="3446"/>
      <c r="X13" s="3446"/>
    </row>
    <row r="14" spans="1:24" ht="48.75" customHeight="1" thickBot="1">
      <c r="A14" s="3567">
        <f>B14/B29</f>
        <v>6.9861900893582449E-2</v>
      </c>
      <c r="B14" s="3570">
        <f>I14+I16+I18</f>
        <v>430</v>
      </c>
      <c r="C14" s="3570" t="s">
        <v>3752</v>
      </c>
      <c r="D14" s="3575" t="s">
        <v>3753</v>
      </c>
      <c r="E14" s="3450" t="s">
        <v>3748</v>
      </c>
      <c r="F14" s="3450" t="s">
        <v>3754</v>
      </c>
      <c r="G14" s="3450" t="s">
        <v>3755</v>
      </c>
      <c r="H14" s="3450" t="s">
        <v>3756</v>
      </c>
      <c r="I14" s="3575">
        <v>90</v>
      </c>
      <c r="J14" s="3573">
        <f>I14/I29</f>
        <v>1.462225832656377E-2</v>
      </c>
      <c r="K14" s="3575">
        <f>I14*(132.6+157.7)/2</f>
        <v>13063.499999999998</v>
      </c>
      <c r="L14" s="3573">
        <f>K14/K29</f>
        <v>2.0769542595798367E-2</v>
      </c>
      <c r="M14" s="3044">
        <f>I14*(4.08+5.97)/2</f>
        <v>452.25000000000006</v>
      </c>
      <c r="O14" s="3445"/>
      <c r="P14" s="3553"/>
      <c r="Q14" s="3553"/>
      <c r="R14" s="3563"/>
      <c r="S14" s="3564"/>
      <c r="T14" s="3446" t="s">
        <v>3757</v>
      </c>
      <c r="U14" s="3446"/>
      <c r="V14" s="3446">
        <f>[1]规划区综合指标!E60</f>
        <v>2065.29</v>
      </c>
      <c r="W14" s="3446"/>
      <c r="X14" s="3446"/>
    </row>
    <row r="15" spans="1:24" ht="33.75" thickBot="1">
      <c r="A15" s="3568"/>
      <c r="B15" s="3571"/>
      <c r="C15" s="3571"/>
      <c r="D15" s="3576"/>
      <c r="E15" s="3450" t="s">
        <v>3758</v>
      </c>
      <c r="F15" s="3450" t="s">
        <v>3759</v>
      </c>
      <c r="G15" s="3450" t="s">
        <v>3760</v>
      </c>
      <c r="H15" s="3450" t="s">
        <v>3761</v>
      </c>
      <c r="I15" s="3576"/>
      <c r="J15" s="3574"/>
      <c r="K15" s="3576"/>
      <c r="L15" s="3574"/>
      <c r="O15" s="3445"/>
      <c r="P15" s="3553"/>
      <c r="Q15" s="3553"/>
      <c r="R15" s="3563"/>
      <c r="S15" s="3564"/>
      <c r="T15" s="3446" t="s">
        <v>3762</v>
      </c>
      <c r="U15" s="3446"/>
      <c r="V15" s="3446">
        <f>[1]规划区综合指标!E61</f>
        <v>2486.1</v>
      </c>
      <c r="W15" s="3446"/>
      <c r="X15" s="3446"/>
    </row>
    <row r="16" spans="1:24" ht="48.75" customHeight="1" thickBot="1">
      <c r="A16" s="3568"/>
      <c r="B16" s="3571"/>
      <c r="C16" s="3571"/>
      <c r="D16" s="3575" t="s">
        <v>3763</v>
      </c>
      <c r="E16" s="3450" t="s">
        <v>3764</v>
      </c>
      <c r="F16" s="3450" t="s">
        <v>3765</v>
      </c>
      <c r="G16" s="3450" t="s">
        <v>3766</v>
      </c>
      <c r="H16" s="3450" t="s">
        <v>3767</v>
      </c>
      <c r="I16" s="3575">
        <v>270</v>
      </c>
      <c r="J16" s="3573">
        <f>I16/I29</f>
        <v>4.3866774979691305E-2</v>
      </c>
      <c r="K16" s="3575">
        <f>I16*(151.06+177.43)/2</f>
        <v>44346.15</v>
      </c>
      <c r="L16" s="3573">
        <f>K16/K29</f>
        <v>7.0505549920363147E-2</v>
      </c>
      <c r="M16" s="3044">
        <f>I16*(4.06+6.38)/2</f>
        <v>1409.3999999999999</v>
      </c>
      <c r="O16" s="3445"/>
      <c r="P16" s="3553"/>
      <c r="Q16" s="3553"/>
      <c r="R16" s="3563"/>
      <c r="S16" s="3564"/>
      <c r="T16" s="3446" t="s">
        <v>3768</v>
      </c>
      <c r="U16" s="3446"/>
      <c r="V16" s="3446">
        <f>[1]规划区综合指标!E64</f>
        <v>125.35</v>
      </c>
      <c r="W16" s="3446"/>
      <c r="X16" s="3446"/>
    </row>
    <row r="17" spans="1:24" ht="33.75" thickBot="1">
      <c r="A17" s="3568"/>
      <c r="B17" s="3571"/>
      <c r="C17" s="3571"/>
      <c r="D17" s="3576"/>
      <c r="E17" s="3450" t="s">
        <v>3764</v>
      </c>
      <c r="F17" s="3450" t="s">
        <v>3769</v>
      </c>
      <c r="G17" s="3450" t="s">
        <v>3770</v>
      </c>
      <c r="H17" s="3450" t="s">
        <v>3771</v>
      </c>
      <c r="I17" s="3576"/>
      <c r="J17" s="3574"/>
      <c r="K17" s="3576"/>
      <c r="L17" s="3574"/>
      <c r="O17" s="3445"/>
      <c r="P17" s="3553"/>
      <c r="Q17" s="3553"/>
      <c r="R17" s="3563"/>
      <c r="S17" s="3564"/>
      <c r="T17" s="3446" t="s">
        <v>3772</v>
      </c>
      <c r="U17" s="3446"/>
      <c r="V17" s="3446">
        <f>[1]规划区综合指标!E66</f>
        <v>20.88</v>
      </c>
      <c r="W17" s="3446"/>
      <c r="X17" s="3446"/>
    </row>
    <row r="18" spans="1:24" ht="48.75" customHeight="1" thickBot="1">
      <c r="A18" s="3568"/>
      <c r="B18" s="3571"/>
      <c r="C18" s="3571"/>
      <c r="D18" s="3575" t="s">
        <v>3773</v>
      </c>
      <c r="E18" s="3450" t="s">
        <v>3758</v>
      </c>
      <c r="F18" s="3450" t="s">
        <v>3774</v>
      </c>
      <c r="G18" s="3450" t="s">
        <v>3775</v>
      </c>
      <c r="H18" s="3450" t="s">
        <v>3776</v>
      </c>
      <c r="I18" s="3575">
        <v>70</v>
      </c>
      <c r="J18" s="3573">
        <f>I18/I29</f>
        <v>1.1372867587327376E-2</v>
      </c>
      <c r="K18" s="3575">
        <f>I18*(168.95+192.52)/2</f>
        <v>12651.45</v>
      </c>
      <c r="L18" s="3573">
        <f>K18/K29</f>
        <v>2.0114427961389621E-2</v>
      </c>
      <c r="M18" s="3044">
        <f>I18*(5.88+9.64)/2</f>
        <v>543.19999999999993</v>
      </c>
      <c r="O18" s="3445"/>
      <c r="P18" s="3553"/>
      <c r="Q18" s="3553"/>
      <c r="R18" s="3563"/>
      <c r="S18" s="3564"/>
      <c r="T18" s="3446" t="s">
        <v>3777</v>
      </c>
      <c r="U18" s="3446"/>
      <c r="V18" s="3446">
        <f>[1]规划区综合指标!E68</f>
        <v>20.14</v>
      </c>
      <c r="W18" s="3446"/>
      <c r="X18" s="3446"/>
    </row>
    <row r="19" spans="1:24" ht="33.75" thickBot="1">
      <c r="A19" s="3569"/>
      <c r="B19" s="3572"/>
      <c r="C19" s="3572"/>
      <c r="D19" s="3576"/>
      <c r="E19" s="3450" t="s">
        <v>3778</v>
      </c>
      <c r="F19" s="3450" t="s">
        <v>3779</v>
      </c>
      <c r="G19" s="3450" t="s">
        <v>3780</v>
      </c>
      <c r="H19" s="3450" t="s">
        <v>3781</v>
      </c>
      <c r="I19" s="3576"/>
      <c r="J19" s="3574"/>
      <c r="K19" s="3576"/>
      <c r="L19" s="3574"/>
      <c r="O19" s="3445"/>
      <c r="P19" s="3553"/>
      <c r="Q19" s="3553"/>
      <c r="R19" s="3563"/>
      <c r="S19" s="3564"/>
      <c r="T19" s="3446" t="s">
        <v>3782</v>
      </c>
      <c r="U19" s="3446"/>
      <c r="V19" s="3446">
        <f>[1]规划区综合指标!E69</f>
        <v>30.04</v>
      </c>
      <c r="W19" s="3446"/>
      <c r="X19" s="3446"/>
    </row>
    <row r="20" spans="1:24" ht="48.75" customHeight="1" thickBot="1">
      <c r="A20" s="3577">
        <f>B20/B29</f>
        <v>9.7481722177091799E-3</v>
      </c>
      <c r="B20" s="3580">
        <f>SUM(I20:I25)</f>
        <v>60</v>
      </c>
      <c r="C20" s="3580" t="s">
        <v>3783</v>
      </c>
      <c r="D20" s="3575" t="s">
        <v>3784</v>
      </c>
      <c r="E20" s="3450" t="s">
        <v>3716</v>
      </c>
      <c r="F20" s="3450" t="s">
        <v>3785</v>
      </c>
      <c r="G20" s="3450" t="s">
        <v>3786</v>
      </c>
      <c r="H20" s="3450" t="s">
        <v>3787</v>
      </c>
      <c r="I20" s="3575">
        <v>26</v>
      </c>
      <c r="J20" s="3573">
        <f>I20/I29</f>
        <v>4.2242079610073108E-3</v>
      </c>
      <c r="K20" s="3575">
        <f>I20*(133.14+82.76)/2</f>
        <v>2806.7</v>
      </c>
      <c r="L20" s="3573">
        <f>K20/K29</f>
        <v>4.4623473956923706E-3</v>
      </c>
      <c r="M20" s="3044">
        <f>I20*(7.22+7.02)/2</f>
        <v>185.11999999999998</v>
      </c>
      <c r="O20" s="3445"/>
      <c r="P20" s="3553"/>
      <c r="Q20" s="3553"/>
      <c r="R20" s="3563"/>
      <c r="S20" s="3564"/>
      <c r="T20" s="3446" t="s">
        <v>3788</v>
      </c>
      <c r="U20" s="3446"/>
      <c r="V20" s="3446">
        <f>[1]规划区综合指标!E70</f>
        <v>20.89</v>
      </c>
      <c r="W20" s="3446"/>
      <c r="X20" s="3446"/>
    </row>
    <row r="21" spans="1:24" ht="33.75" thickBot="1">
      <c r="A21" s="3578"/>
      <c r="B21" s="3581"/>
      <c r="C21" s="3581"/>
      <c r="D21" s="3576"/>
      <c r="E21" s="3450" t="s">
        <v>3789</v>
      </c>
      <c r="F21" s="3450" t="s">
        <v>3790</v>
      </c>
      <c r="G21" s="3450" t="s">
        <v>3791</v>
      </c>
      <c r="H21" s="3450" t="s">
        <v>3792</v>
      </c>
      <c r="I21" s="3576"/>
      <c r="J21" s="3574"/>
      <c r="K21" s="3576"/>
      <c r="L21" s="3574"/>
      <c r="O21" s="3445"/>
      <c r="P21" s="3553"/>
      <c r="Q21" s="3554"/>
      <c r="R21" s="3565"/>
      <c r="S21" s="3566"/>
      <c r="T21" s="3446" t="s">
        <v>3793</v>
      </c>
      <c r="U21" s="3446" t="s">
        <v>3690</v>
      </c>
      <c r="V21" s="3446">
        <f>[1]新规!M51</f>
        <v>24.41</v>
      </c>
      <c r="W21" s="3446" t="s">
        <v>3690</v>
      </c>
      <c r="X21" s="3446" t="s">
        <v>3690</v>
      </c>
    </row>
    <row r="22" spans="1:24" ht="48.75" customHeight="1" thickBot="1">
      <c r="A22" s="3578"/>
      <c r="B22" s="3581"/>
      <c r="C22" s="3581"/>
      <c r="D22" s="3575" t="s">
        <v>3794</v>
      </c>
      <c r="E22" s="3450" t="s">
        <v>3795</v>
      </c>
      <c r="F22" s="3450" t="s">
        <v>3796</v>
      </c>
      <c r="G22" s="3450" t="s">
        <v>3797</v>
      </c>
      <c r="H22" s="3450" t="s">
        <v>3767</v>
      </c>
      <c r="I22" s="3575">
        <v>12</v>
      </c>
      <c r="J22" s="3573">
        <f>I22/I29</f>
        <v>1.9496344435418359E-3</v>
      </c>
      <c r="K22" s="3575">
        <f>I22*(150.29+88.79)/2</f>
        <v>1434.48</v>
      </c>
      <c r="L22" s="3573">
        <f>K22/K29</f>
        <v>2.2806670082918703E-3</v>
      </c>
      <c r="M22" s="3044">
        <f>I22*(4.06+5.4)/2</f>
        <v>56.760000000000005</v>
      </c>
      <c r="O22" s="3445">
        <v>5</v>
      </c>
      <c r="P22" s="3553"/>
      <c r="Q22" s="3543" t="s">
        <v>3798</v>
      </c>
      <c r="R22" s="3544"/>
      <c r="S22" s="3544"/>
      <c r="T22" s="3545"/>
      <c r="U22" s="3446" t="s">
        <v>3690</v>
      </c>
      <c r="V22" s="3446">
        <f>V23+V24</f>
        <v>202415.32000000004</v>
      </c>
      <c r="W22" s="3446" t="s">
        <v>3690</v>
      </c>
      <c r="X22" s="3446" t="s">
        <v>3690</v>
      </c>
    </row>
    <row r="23" spans="1:24" ht="33.75" thickBot="1">
      <c r="A23" s="3578"/>
      <c r="B23" s="3581"/>
      <c r="C23" s="3581"/>
      <c r="D23" s="3576"/>
      <c r="E23" s="3450" t="s">
        <v>3748</v>
      </c>
      <c r="F23" s="3450" t="s">
        <v>3799</v>
      </c>
      <c r="G23" s="3450" t="s">
        <v>3800</v>
      </c>
      <c r="H23" s="3450" t="s">
        <v>3801</v>
      </c>
      <c r="I23" s="3576"/>
      <c r="J23" s="3574"/>
      <c r="K23" s="3576"/>
      <c r="L23" s="3574"/>
      <c r="O23" s="3445"/>
      <c r="P23" s="3553"/>
      <c r="Q23" s="3552" t="s">
        <v>3149</v>
      </c>
      <c r="R23" s="3543" t="s">
        <v>3802</v>
      </c>
      <c r="S23" s="3544"/>
      <c r="T23" s="3545"/>
      <c r="U23" s="3446" t="s">
        <v>3690</v>
      </c>
      <c r="V23" s="3446">
        <f>[1]规划区综合指标!G21</f>
        <v>33952.76</v>
      </c>
      <c r="W23" s="3446" t="s">
        <v>3690</v>
      </c>
      <c r="X23" s="3446" t="s">
        <v>3690</v>
      </c>
    </row>
    <row r="24" spans="1:24" ht="48.75" customHeight="1" thickBot="1">
      <c r="A24" s="3578"/>
      <c r="B24" s="3581"/>
      <c r="C24" s="3581"/>
      <c r="D24" s="3575" t="s">
        <v>3803</v>
      </c>
      <c r="E24" s="3450" t="s">
        <v>3727</v>
      </c>
      <c r="F24" s="3450" t="s">
        <v>3804</v>
      </c>
      <c r="G24" s="3450" t="s">
        <v>3805</v>
      </c>
      <c r="H24" s="3450" t="s">
        <v>3806</v>
      </c>
      <c r="I24" s="3575">
        <v>22</v>
      </c>
      <c r="J24" s="3573">
        <f>I24/I29</f>
        <v>3.5743298131600326E-3</v>
      </c>
      <c r="K24" s="3575">
        <f>I24*(168.22+102.16)/2</f>
        <v>2974.18</v>
      </c>
      <c r="L24" s="3573">
        <f>K24/K29</f>
        <v>4.7286223598248245E-3</v>
      </c>
      <c r="M24" s="3044">
        <f>I24*(8.18+13.39)/2</f>
        <v>237.27</v>
      </c>
      <c r="O24" s="3445"/>
      <c r="P24" s="3553"/>
      <c r="Q24" s="3553"/>
      <c r="R24" s="3543" t="s">
        <v>3807</v>
      </c>
      <c r="S24" s="3544"/>
      <c r="T24" s="3545"/>
      <c r="U24" s="3446"/>
      <c r="V24" s="3446">
        <f>[1]规划区综合指标!G22</f>
        <v>168462.56000000003</v>
      </c>
      <c r="W24" s="3446"/>
      <c r="X24" s="3446"/>
    </row>
    <row r="25" spans="1:24" ht="33.75" thickBot="1">
      <c r="A25" s="3579"/>
      <c r="B25" s="3582"/>
      <c r="C25" s="3582"/>
      <c r="D25" s="3576"/>
      <c r="E25" s="3450" t="s">
        <v>3758</v>
      </c>
      <c r="F25" s="3450" t="s">
        <v>3808</v>
      </c>
      <c r="G25" s="3450" t="s">
        <v>3809</v>
      </c>
      <c r="H25" s="3450" t="s">
        <v>3810</v>
      </c>
      <c r="I25" s="3576"/>
      <c r="J25" s="3574"/>
      <c r="K25" s="3576"/>
      <c r="L25" s="3574"/>
      <c r="O25" s="3445"/>
      <c r="P25" s="3554"/>
      <c r="Q25" s="3554"/>
      <c r="R25" s="3543"/>
      <c r="S25" s="3544"/>
      <c r="T25" s="3545"/>
      <c r="U25" s="3446" t="s">
        <v>3690</v>
      </c>
      <c r="V25" s="3446" t="s">
        <v>3690</v>
      </c>
      <c r="W25" s="3446" t="s">
        <v>3690</v>
      </c>
      <c r="X25" s="3446" t="s">
        <v>3690</v>
      </c>
    </row>
    <row r="26" spans="1:24" ht="30" customHeight="1" thickBot="1">
      <c r="A26" s="3452">
        <f>B26/B29</f>
        <v>2.5670186839967506E-2</v>
      </c>
      <c r="B26" s="3453">
        <f>I26</f>
        <v>158</v>
      </c>
      <c r="C26" s="3453" t="s">
        <v>3811</v>
      </c>
      <c r="D26" s="3450" t="s">
        <v>3812</v>
      </c>
      <c r="E26" s="3450" t="s">
        <v>3813</v>
      </c>
      <c r="F26" s="3450" t="s">
        <v>3814</v>
      </c>
      <c r="G26" s="3450" t="s">
        <v>3815</v>
      </c>
      <c r="H26" s="3450" t="s">
        <v>3816</v>
      </c>
      <c r="I26" s="3450">
        <f>[1]规划区综合指标!AE7</f>
        <v>158</v>
      </c>
      <c r="J26" s="3451">
        <f>I26/I29</f>
        <v>2.5670186839967506E-2</v>
      </c>
      <c r="K26" s="3450">
        <f>[1]规划区综合指标!G13</f>
        <v>28565.589999999989</v>
      </c>
      <c r="L26" s="3451">
        <f>K26/K29</f>
        <v>4.5416177768523885E-2</v>
      </c>
      <c r="M26" s="3044">
        <f>I26*308.72</f>
        <v>48777.760000000002</v>
      </c>
      <c r="O26" s="3445">
        <v>8</v>
      </c>
      <c r="P26" s="3543" t="s">
        <v>3817</v>
      </c>
      <c r="Q26" s="3544"/>
      <c r="R26" s="3544"/>
      <c r="S26" s="3544"/>
      <c r="T26" s="3545"/>
      <c r="U26" s="3446"/>
      <c r="V26" s="3446">
        <f>[1]规划区综合指标!G28</f>
        <v>30.1</v>
      </c>
      <c r="W26" s="3446"/>
      <c r="X26" s="3446"/>
    </row>
    <row r="27" spans="1:24" ht="50.25" thickBot="1">
      <c r="A27" s="3583">
        <f>B27/B29</f>
        <v>5.1990251827782288E-2</v>
      </c>
      <c r="B27" s="3585">
        <f>I27+I28</f>
        <v>320</v>
      </c>
      <c r="C27" s="3585" t="s">
        <v>3818</v>
      </c>
      <c r="D27" s="3450" t="s">
        <v>3819</v>
      </c>
      <c r="E27" s="3450" t="s">
        <v>3704</v>
      </c>
      <c r="F27" s="3450" t="s">
        <v>3820</v>
      </c>
      <c r="G27" s="3450" t="s">
        <v>3821</v>
      </c>
      <c r="H27" s="3450" t="s">
        <v>3822</v>
      </c>
      <c r="I27" s="3450">
        <f>[1]规划区综合指标!AD7</f>
        <v>179</v>
      </c>
      <c r="J27" s="3451">
        <f>I27/I29</f>
        <v>2.9082047116165719E-2</v>
      </c>
      <c r="K27" s="3450">
        <f>[1]规划区综合指标!G15</f>
        <v>8395.68</v>
      </c>
      <c r="L27" s="3451">
        <f>K27/K29</f>
        <v>1.3348217046020782E-2</v>
      </c>
      <c r="M27" s="3044">
        <f>I27*1.65</f>
        <v>295.34999999999997</v>
      </c>
      <c r="O27" s="3445">
        <v>9</v>
      </c>
      <c r="P27" s="3543" t="s">
        <v>3823</v>
      </c>
      <c r="Q27" s="3544"/>
      <c r="R27" s="3544"/>
      <c r="S27" s="3544"/>
      <c r="T27" s="3545"/>
      <c r="U27" s="3454"/>
      <c r="V27" s="3455">
        <f>[1]规划区综合指标!G24</f>
        <v>6280</v>
      </c>
      <c r="W27" s="3454"/>
      <c r="X27" s="3454"/>
    </row>
    <row r="28" spans="1:24" ht="50.25" thickBot="1">
      <c r="A28" s="3584"/>
      <c r="B28" s="3586"/>
      <c r="C28" s="3586"/>
      <c r="D28" s="3450" t="s">
        <v>3824</v>
      </c>
      <c r="E28" s="3450" t="s">
        <v>3716</v>
      </c>
      <c r="F28" s="3450" t="s">
        <v>3825</v>
      </c>
      <c r="G28" s="3450" t="s">
        <v>3826</v>
      </c>
      <c r="H28" s="3450" t="s">
        <v>3827</v>
      </c>
      <c r="I28" s="3450">
        <f>[1]规划区综合指标!AC7</f>
        <v>141</v>
      </c>
      <c r="J28" s="3451">
        <f>I28/I29</f>
        <v>2.2908204711616573E-2</v>
      </c>
      <c r="K28" s="3450">
        <f>[1]规划区综合指标!G14</f>
        <v>8063.96</v>
      </c>
      <c r="L28" s="3451">
        <f>K28/K29</f>
        <v>1.2820818364972193E-2</v>
      </c>
      <c r="M28" s="3044">
        <f>I28*1.32</f>
        <v>186.12</v>
      </c>
      <c r="O28" s="3445">
        <v>10</v>
      </c>
      <c r="P28" s="3543" t="s">
        <v>3828</v>
      </c>
      <c r="Q28" s="3544"/>
      <c r="R28" s="3544"/>
      <c r="S28" s="3544"/>
      <c r="T28" s="3545"/>
      <c r="U28" s="3446"/>
      <c r="V28" s="3446"/>
      <c r="W28" s="3446"/>
      <c r="X28" s="3446"/>
    </row>
    <row r="29" spans="1:24" ht="36" customHeight="1" thickBot="1">
      <c r="A29" s="3456">
        <f>SUM(A5:A28)</f>
        <v>1</v>
      </c>
      <c r="B29" s="3457">
        <f>SUM(B5:B28)</f>
        <v>6155</v>
      </c>
      <c r="C29" s="3599" t="s">
        <v>37</v>
      </c>
      <c r="D29" s="3600"/>
      <c r="E29" s="3458"/>
      <c r="F29" s="3459"/>
      <c r="G29" s="3459"/>
      <c r="H29" s="3458"/>
      <c r="I29" s="3458">
        <f>SUM(I5:I28)</f>
        <v>6155</v>
      </c>
      <c r="J29" s="3460">
        <f>SUM(J5:J28)</f>
        <v>0.99999999999999989</v>
      </c>
      <c r="K29" s="3458">
        <v>628973.89</v>
      </c>
      <c r="L29" s="3460">
        <f>SUM(L5:L28)</f>
        <v>1.0000000000000002</v>
      </c>
      <c r="O29" s="3445">
        <v>11</v>
      </c>
      <c r="P29" s="3543" t="s">
        <v>3829</v>
      </c>
      <c r="Q29" s="3544"/>
      <c r="R29" s="3544"/>
      <c r="S29" s="3544"/>
      <c r="T29" s="3545"/>
      <c r="U29" s="3446"/>
      <c r="V29" s="3446"/>
      <c r="W29" s="3446"/>
      <c r="X29" s="3446"/>
    </row>
    <row r="30" spans="1:24" ht="16.5" thickBot="1">
      <c r="O30" s="3445">
        <v>12</v>
      </c>
      <c r="P30" s="3543" t="s">
        <v>3830</v>
      </c>
      <c r="Q30" s="3544"/>
      <c r="R30" s="3544"/>
      <c r="S30" s="3544"/>
      <c r="T30" s="3545"/>
      <c r="U30" s="3446"/>
      <c r="V30" s="3446">
        <f>[1]规划区综合指标!G29</f>
        <v>6372</v>
      </c>
      <c r="W30" s="3446"/>
      <c r="X30" s="3446"/>
    </row>
    <row r="31" spans="1:24" ht="16.5" thickBot="1">
      <c r="K31" s="3044">
        <f>[1]规划区综合指标!G10</f>
        <v>628150.40999999992</v>
      </c>
      <c r="M31" s="3044">
        <f>SUM(M5:M30)</f>
        <v>75628.140000000014</v>
      </c>
      <c r="O31" s="3446"/>
      <c r="P31" s="3561" t="s">
        <v>3149</v>
      </c>
      <c r="Q31" s="3601"/>
      <c r="R31" s="3562"/>
      <c r="S31" s="3543" t="s">
        <v>3831</v>
      </c>
      <c r="T31" s="3545"/>
      <c r="U31" s="3446"/>
      <c r="V31" s="3446">
        <f>[1]规划区综合指标!G30</f>
        <v>1097</v>
      </c>
      <c r="W31" s="3446"/>
      <c r="X31" s="3446"/>
    </row>
    <row r="32" spans="1:24" ht="16.5" thickBot="1">
      <c r="O32" s="3446"/>
      <c r="P32" s="3565"/>
      <c r="Q32" s="3602"/>
      <c r="R32" s="3566"/>
      <c r="S32" s="3543" t="s">
        <v>3832</v>
      </c>
      <c r="T32" s="3545"/>
      <c r="U32" s="3446" t="s">
        <v>3690</v>
      </c>
      <c r="V32" s="3446">
        <f>[1]规划区综合指标!G31</f>
        <v>5275</v>
      </c>
      <c r="W32" s="3446" t="s">
        <v>3690</v>
      </c>
      <c r="X32" s="3446" t="s">
        <v>3690</v>
      </c>
    </row>
    <row r="33" spans="3:24">
      <c r="O33" s="3587" t="s">
        <v>3833</v>
      </c>
      <c r="P33" s="3588"/>
      <c r="Q33" s="3588"/>
      <c r="R33" s="3588"/>
      <c r="S33" s="3588"/>
      <c r="T33" s="3588"/>
      <c r="U33" s="3588"/>
      <c r="V33" s="3588"/>
      <c r="W33" s="3588"/>
      <c r="X33" s="3589"/>
    </row>
    <row r="34" spans="3:24">
      <c r="O34" s="3590"/>
      <c r="P34" s="3591"/>
      <c r="Q34" s="3591"/>
      <c r="R34" s="3591"/>
      <c r="S34" s="3591"/>
      <c r="T34" s="3591"/>
      <c r="U34" s="3591"/>
      <c r="V34" s="3591"/>
      <c r="W34" s="3591"/>
      <c r="X34" s="3592"/>
    </row>
    <row r="35" spans="3:24" ht="14.25" thickBot="1">
      <c r="O35" s="3461" t="s">
        <v>3834</v>
      </c>
      <c r="P35" s="3593" t="s">
        <v>3835</v>
      </c>
      <c r="Q35" s="3593"/>
      <c r="R35" s="3593"/>
      <c r="S35" s="3593"/>
      <c r="T35" s="3593"/>
      <c r="U35" s="3593"/>
      <c r="V35" s="3593"/>
      <c r="W35" s="3593"/>
      <c r="X35" s="3594"/>
    </row>
    <row r="43" spans="3:24" ht="14.25" thickBot="1"/>
    <row r="44" spans="3:24" ht="15" thickBot="1">
      <c r="C44" s="3595" t="s">
        <v>3836</v>
      </c>
      <c r="D44" s="3596"/>
      <c r="E44" s="3596"/>
      <c r="F44" s="3596"/>
      <c r="G44" s="3596"/>
      <c r="H44" s="3596"/>
      <c r="I44" s="3596"/>
      <c r="J44" s="3596"/>
      <c r="K44" s="3596"/>
      <c r="L44" s="3596"/>
    </row>
    <row r="45" spans="3:24" ht="15" thickBot="1">
      <c r="C45" s="3462"/>
      <c r="D45" s="3463" t="s">
        <v>3300</v>
      </c>
      <c r="E45" s="3463" t="s">
        <v>3837</v>
      </c>
      <c r="F45" s="3463" t="s">
        <v>3838</v>
      </c>
      <c r="G45" s="3463" t="s">
        <v>3818</v>
      </c>
      <c r="H45" s="3463" t="s">
        <v>3166</v>
      </c>
      <c r="I45" s="3463" t="s">
        <v>3839</v>
      </c>
      <c r="J45" s="3463" t="s">
        <v>3840</v>
      </c>
      <c r="K45" s="3463" t="s">
        <v>3841</v>
      </c>
      <c r="L45" s="3463" t="s">
        <v>37</v>
      </c>
    </row>
    <row r="46" spans="3:24" ht="15.75" thickBot="1">
      <c r="C46" s="3462" t="s">
        <v>3842</v>
      </c>
      <c r="D46" s="3464">
        <v>225650.01</v>
      </c>
      <c r="E46" s="3464">
        <v>3200</v>
      </c>
      <c r="F46" s="3464">
        <v>42000</v>
      </c>
      <c r="G46" s="3464">
        <v>4900</v>
      </c>
      <c r="H46" s="3464">
        <v>17480</v>
      </c>
      <c r="I46" s="3464">
        <v>20000</v>
      </c>
      <c r="J46" s="3463"/>
      <c r="K46" s="3463"/>
      <c r="L46" s="3464">
        <v>313230.01</v>
      </c>
    </row>
    <row r="47" spans="3:24" ht="30" thickBot="1">
      <c r="C47" s="3462" t="s">
        <v>3843</v>
      </c>
      <c r="D47" s="3465">
        <v>0.72040000000000004</v>
      </c>
      <c r="E47" s="3465">
        <v>1.0200000000000001E-2</v>
      </c>
      <c r="F47" s="3465">
        <v>0.1341</v>
      </c>
      <c r="G47" s="3465">
        <v>1.5599999999999999E-2</v>
      </c>
      <c r="H47" s="3465">
        <v>5.5800000000000002E-2</v>
      </c>
      <c r="I47" s="3465">
        <v>6.3899999999999998E-2</v>
      </c>
      <c r="J47" s="3463"/>
      <c r="K47" s="3463"/>
      <c r="L47" s="3465">
        <v>1</v>
      </c>
    </row>
    <row r="48" spans="3:24" ht="15.75" thickBot="1">
      <c r="C48" s="3462" t="s">
        <v>3410</v>
      </c>
      <c r="D48" s="3464">
        <f>[1]规划区综合指标!G11</f>
        <v>577641.65999999992</v>
      </c>
      <c r="E48" s="3464">
        <f>[1]规划区综合指标!G12</f>
        <v>5483.52</v>
      </c>
      <c r="F48" s="3464">
        <f>[1]规划区综合指标!G13</f>
        <v>28565.589999999989</v>
      </c>
      <c r="G48" s="3464">
        <f>[1]规划区综合指标!G14+[1]规划区综合指标!G15</f>
        <v>16459.64</v>
      </c>
      <c r="H48" s="3464">
        <f>[1]规划区综合指标!G19</f>
        <v>8613.16</v>
      </c>
      <c r="I48" s="3464">
        <f>[1]规划区综合指标!G17</f>
        <v>12904.03</v>
      </c>
      <c r="J48" s="3464">
        <f>[1]规划区综合指标!G22</f>
        <v>168462.56000000003</v>
      </c>
      <c r="K48" s="3464">
        <f>[1]规划区综合指标!G21</f>
        <v>33952.76</v>
      </c>
      <c r="L48" s="3464">
        <f>D48+E48+F48+G48+H48+I48+J48+K48</f>
        <v>852082.92</v>
      </c>
    </row>
    <row r="49" spans="3:12" ht="30" thickBot="1">
      <c r="C49" s="3462" t="s">
        <v>3844</v>
      </c>
      <c r="D49" s="3465">
        <f>D48/L48</f>
        <v>0.67791719143953721</v>
      </c>
      <c r="E49" s="3465">
        <f>E48/L48</f>
        <v>6.4354300165997934E-3</v>
      </c>
      <c r="F49" s="3465">
        <f>F48/L48</f>
        <v>3.3524425064170971E-2</v>
      </c>
      <c r="G49" s="3465">
        <f>G48/L48</f>
        <v>1.931694628968739E-2</v>
      </c>
      <c r="H49" s="3465">
        <f>H48/L48</f>
        <v>1.0108358937648932E-2</v>
      </c>
      <c r="I49" s="3465">
        <f>I48/L48</f>
        <v>1.5144101233715611E-2</v>
      </c>
      <c r="J49" s="3465">
        <f>J48/L48</f>
        <v>0.19770676778734167</v>
      </c>
      <c r="K49" s="3465">
        <f>K48/L48</f>
        <v>3.9846779231298285E-2</v>
      </c>
      <c r="L49" s="3465">
        <f>D49+E49+F49+G49+H49+I49+J49+K49</f>
        <v>0.99999999999999978</v>
      </c>
    </row>
    <row r="50" spans="3:12" ht="14.25" thickBot="1">
      <c r="C50" s="3462" t="s">
        <v>3845</v>
      </c>
      <c r="D50" s="3466"/>
      <c r="E50" s="3466"/>
      <c r="F50" s="3466"/>
      <c r="G50" s="3466"/>
      <c r="H50" s="3466"/>
      <c r="I50" s="3466"/>
      <c r="J50" s="3466"/>
      <c r="K50" s="3466"/>
      <c r="L50" s="3466"/>
    </row>
    <row r="51" spans="3:12" ht="14.25" thickBot="1">
      <c r="C51" s="3467" t="s">
        <v>3846</v>
      </c>
      <c r="D51" s="3466"/>
      <c r="E51" s="3466"/>
      <c r="F51" s="3466"/>
      <c r="G51" s="3466"/>
      <c r="H51" s="3466"/>
      <c r="I51" s="3466"/>
      <c r="J51" s="3466"/>
      <c r="K51" s="3466"/>
      <c r="L51" s="3466"/>
    </row>
    <row r="57" spans="3:12" ht="31.5" customHeight="1">
      <c r="C57" s="3468" t="s">
        <v>3134</v>
      </c>
      <c r="D57" s="3597" t="s">
        <v>3684</v>
      </c>
      <c r="E57" s="3597"/>
      <c r="F57" s="3597"/>
      <c r="G57" s="3597"/>
      <c r="H57" s="3597"/>
      <c r="I57" s="3468" t="s">
        <v>3685</v>
      </c>
      <c r="J57" s="3468" t="s">
        <v>3686</v>
      </c>
      <c r="K57" s="3468" t="s">
        <v>3687</v>
      </c>
      <c r="L57" s="3468" t="s">
        <v>3110</v>
      </c>
    </row>
    <row r="58" spans="3:12" ht="15.75">
      <c r="C58" s="3469">
        <v>1</v>
      </c>
      <c r="D58" s="3598" t="s">
        <v>3689</v>
      </c>
      <c r="E58" s="3598"/>
      <c r="F58" s="3598"/>
      <c r="G58" s="3598"/>
      <c r="H58" s="3598"/>
      <c r="I58" s="3470" t="s">
        <v>3690</v>
      </c>
      <c r="J58" s="3470">
        <f>[1]规划区综合指标!G7</f>
        <v>313230.01000000007</v>
      </c>
      <c r="K58" s="3470" t="s">
        <v>3690</v>
      </c>
      <c r="L58" s="3470" t="s">
        <v>3690</v>
      </c>
    </row>
    <row r="59" spans="3:12" ht="15.75">
      <c r="C59" s="3469">
        <v>2</v>
      </c>
      <c r="D59" s="3598" t="s">
        <v>3701</v>
      </c>
      <c r="E59" s="3598"/>
      <c r="F59" s="3598"/>
      <c r="G59" s="3598"/>
      <c r="H59" s="3598"/>
      <c r="I59" s="3470" t="s">
        <v>3690</v>
      </c>
      <c r="J59" s="3470">
        <f>J58</f>
        <v>313230.01000000007</v>
      </c>
      <c r="K59" s="3470" t="s">
        <v>3690</v>
      </c>
      <c r="L59" s="3470" t="s">
        <v>3690</v>
      </c>
    </row>
    <row r="60" spans="3:12" ht="15.75">
      <c r="C60" s="3469">
        <v>3</v>
      </c>
      <c r="D60" s="3598" t="s">
        <v>3708</v>
      </c>
      <c r="E60" s="3598"/>
      <c r="F60" s="3598"/>
      <c r="G60" s="3598"/>
      <c r="H60" s="3598"/>
      <c r="I60" s="3470"/>
      <c r="J60" s="3470">
        <f>J61+J78</f>
        <v>858980.14999999991</v>
      </c>
      <c r="K60" s="3470"/>
      <c r="L60" s="3470"/>
    </row>
    <row r="61" spans="3:12" ht="15.75">
      <c r="C61" s="3603">
        <v>4</v>
      </c>
      <c r="D61" s="3603" t="s">
        <v>3149</v>
      </c>
      <c r="E61" s="3598" t="s">
        <v>3713</v>
      </c>
      <c r="F61" s="3598"/>
      <c r="G61" s="3598"/>
      <c r="H61" s="3598"/>
      <c r="I61" s="3470">
        <f>J58*2.1</f>
        <v>657783.02100000018</v>
      </c>
      <c r="J61" s="3470">
        <f>J62+J63+J64+J77</f>
        <v>656564.82999999984</v>
      </c>
      <c r="K61" s="3470">
        <f>J62+J63</f>
        <v>641054.43999999994</v>
      </c>
      <c r="L61" s="3471">
        <f>K61/J60</f>
        <v>0.7462971525011376</v>
      </c>
    </row>
    <row r="62" spans="3:12" ht="15.75">
      <c r="C62" s="3603"/>
      <c r="D62" s="3603"/>
      <c r="E62" s="3603" t="s">
        <v>3149</v>
      </c>
      <c r="F62" s="3598" t="s">
        <v>3720</v>
      </c>
      <c r="G62" s="3598"/>
      <c r="H62" s="3598"/>
      <c r="I62" s="3470" t="s">
        <v>3690</v>
      </c>
      <c r="J62" s="3470">
        <f>[1]规划区综合指标!G10</f>
        <v>628150.40999999992</v>
      </c>
      <c r="K62" s="3470" t="s">
        <v>3690</v>
      </c>
      <c r="L62" s="3470" t="s">
        <v>3690</v>
      </c>
    </row>
    <row r="63" spans="3:12" ht="15.75">
      <c r="C63" s="3603"/>
      <c r="D63" s="3603"/>
      <c r="E63" s="3603"/>
      <c r="F63" s="3598" t="s">
        <v>3725</v>
      </c>
      <c r="G63" s="3598"/>
      <c r="H63" s="3598"/>
      <c r="I63" s="3470" t="s">
        <v>3690</v>
      </c>
      <c r="J63" s="3470">
        <f>[1]规划区综合指标!G17</f>
        <v>12904.03</v>
      </c>
      <c r="K63" s="3470" t="s">
        <v>3690</v>
      </c>
      <c r="L63" s="3470" t="s">
        <v>3690</v>
      </c>
    </row>
    <row r="64" spans="3:12" ht="15.75">
      <c r="C64" s="3603"/>
      <c r="D64" s="3603"/>
      <c r="E64" s="3603"/>
      <c r="F64" s="3598" t="s">
        <v>3731</v>
      </c>
      <c r="G64" s="3598"/>
      <c r="H64" s="3598"/>
      <c r="I64" s="3470" t="s">
        <v>3690</v>
      </c>
      <c r="J64" s="3470">
        <f>SUM(J65:J76)</f>
        <v>14751.69</v>
      </c>
      <c r="K64" s="3470" t="s">
        <v>3690</v>
      </c>
      <c r="L64" s="3470" t="s">
        <v>3690</v>
      </c>
    </row>
    <row r="65" spans="3:12" ht="15.75">
      <c r="C65" s="3603"/>
      <c r="D65" s="3603"/>
      <c r="E65" s="3603"/>
      <c r="F65" s="3603" t="s">
        <v>3149</v>
      </c>
      <c r="G65" s="3603"/>
      <c r="H65" s="3470" t="s">
        <v>3736</v>
      </c>
      <c r="I65" s="3470" t="s">
        <v>3690</v>
      </c>
      <c r="J65" s="3470">
        <f>[1]规划区综合指标!G16</f>
        <v>6138.5300000000007</v>
      </c>
      <c r="K65" s="3470" t="s">
        <v>3690</v>
      </c>
      <c r="L65" s="3470" t="s">
        <v>3690</v>
      </c>
    </row>
    <row r="66" spans="3:12" ht="15.75">
      <c r="C66" s="3603"/>
      <c r="D66" s="3603"/>
      <c r="E66" s="3603"/>
      <c r="F66" s="3603"/>
      <c r="G66" s="3603"/>
      <c r="H66" s="3470" t="s">
        <v>3741</v>
      </c>
      <c r="I66" s="3470"/>
      <c r="J66" s="3470">
        <f>[1]规划区综合指标!E48</f>
        <v>1910.76</v>
      </c>
      <c r="K66" s="3470"/>
      <c r="L66" s="3470"/>
    </row>
    <row r="67" spans="3:12" ht="15.75">
      <c r="C67" s="3603"/>
      <c r="D67" s="3603"/>
      <c r="E67" s="3603"/>
      <c r="F67" s="3603"/>
      <c r="G67" s="3603"/>
      <c r="H67" s="3470" t="s">
        <v>3746</v>
      </c>
      <c r="I67" s="3470"/>
      <c r="J67" s="3470">
        <f>[1]规划区综合指标!E50</f>
        <v>1525.13</v>
      </c>
      <c r="K67" s="3470"/>
      <c r="L67" s="3470"/>
    </row>
    <row r="68" spans="3:12" ht="15.75">
      <c r="C68" s="3603"/>
      <c r="D68" s="3603"/>
      <c r="E68" s="3603"/>
      <c r="F68" s="3603"/>
      <c r="G68" s="3603"/>
      <c r="H68" s="3470" t="s">
        <v>3460</v>
      </c>
      <c r="I68" s="3470"/>
      <c r="J68" s="3470">
        <f>[1]规划区综合指标!E57</f>
        <v>384.17</v>
      </c>
      <c r="K68" s="3470"/>
      <c r="L68" s="3470"/>
    </row>
    <row r="69" spans="3:12" ht="15.75">
      <c r="C69" s="3603"/>
      <c r="D69" s="3603"/>
      <c r="E69" s="3603"/>
      <c r="F69" s="3603"/>
      <c r="G69" s="3603"/>
      <c r="H69" s="3470" t="s">
        <v>3757</v>
      </c>
      <c r="I69" s="3470"/>
      <c r="J69" s="3470">
        <f>[1]规划区综合指标!E60</f>
        <v>2065.29</v>
      </c>
      <c r="K69" s="3470"/>
      <c r="L69" s="3470"/>
    </row>
    <row r="70" spans="3:12" ht="15.75">
      <c r="C70" s="3603"/>
      <c r="D70" s="3603"/>
      <c r="E70" s="3603"/>
      <c r="F70" s="3603"/>
      <c r="G70" s="3603"/>
      <c r="H70" s="3470" t="s">
        <v>3762</v>
      </c>
      <c r="I70" s="3470"/>
      <c r="J70" s="3470">
        <f>[1]规划区综合指标!E61</f>
        <v>2486.1</v>
      </c>
      <c r="K70" s="3470"/>
      <c r="L70" s="3470"/>
    </row>
    <row r="71" spans="3:12" ht="15.75">
      <c r="C71" s="3603"/>
      <c r="D71" s="3603"/>
      <c r="E71" s="3603"/>
      <c r="F71" s="3603"/>
      <c r="G71" s="3603"/>
      <c r="H71" s="3470" t="s">
        <v>3847</v>
      </c>
      <c r="I71" s="3470"/>
      <c r="J71" s="3470">
        <f>[1]规划区综合指标!E64</f>
        <v>125.35</v>
      </c>
      <c r="K71" s="3470"/>
      <c r="L71" s="3470"/>
    </row>
    <row r="72" spans="3:12" ht="15.75">
      <c r="C72" s="3603"/>
      <c r="D72" s="3603"/>
      <c r="E72" s="3603"/>
      <c r="F72" s="3603"/>
      <c r="G72" s="3603"/>
      <c r="H72" s="3470" t="s">
        <v>3848</v>
      </c>
      <c r="I72" s="3470"/>
      <c r="J72" s="3470">
        <f>[1]规划区综合指标!E66</f>
        <v>20.88</v>
      </c>
      <c r="K72" s="3470"/>
      <c r="L72" s="3470"/>
    </row>
    <row r="73" spans="3:12" ht="15.75">
      <c r="C73" s="3603"/>
      <c r="D73" s="3603"/>
      <c r="E73" s="3603"/>
      <c r="F73" s="3603"/>
      <c r="G73" s="3603"/>
      <c r="H73" s="3470" t="s">
        <v>3777</v>
      </c>
      <c r="I73" s="3470"/>
      <c r="J73" s="3470">
        <f>[1]规划区综合指标!E68</f>
        <v>20.14</v>
      </c>
      <c r="K73" s="3470"/>
      <c r="L73" s="3470"/>
    </row>
    <row r="74" spans="3:12" ht="15.75">
      <c r="C74" s="3603"/>
      <c r="D74" s="3603"/>
      <c r="E74" s="3603"/>
      <c r="F74" s="3603"/>
      <c r="G74" s="3603"/>
      <c r="H74" s="3470" t="s">
        <v>3782</v>
      </c>
      <c r="I74" s="3470"/>
      <c r="J74" s="3470">
        <f>[1]规划区综合指标!E69</f>
        <v>30.04</v>
      </c>
      <c r="K74" s="3470"/>
      <c r="L74" s="3470"/>
    </row>
    <row r="75" spans="3:12" ht="15.75">
      <c r="C75" s="3603"/>
      <c r="D75" s="3603"/>
      <c r="E75" s="3603"/>
      <c r="F75" s="3603"/>
      <c r="G75" s="3603"/>
      <c r="H75" s="3470" t="s">
        <v>3788</v>
      </c>
      <c r="I75" s="3470"/>
      <c r="J75" s="3470">
        <f>[1]规划区综合指标!E70</f>
        <v>20.89</v>
      </c>
      <c r="K75" s="3470"/>
      <c r="L75" s="3470"/>
    </row>
    <row r="76" spans="3:12" ht="15.75">
      <c r="C76" s="3603"/>
      <c r="D76" s="3603"/>
      <c r="E76" s="3603"/>
      <c r="F76" s="3603"/>
      <c r="G76" s="3603"/>
      <c r="H76" s="3470" t="s">
        <v>3793</v>
      </c>
      <c r="I76" s="3470" t="s">
        <v>3690</v>
      </c>
      <c r="J76" s="3470">
        <f>[1]规划区综合指标!E72</f>
        <v>24.41</v>
      </c>
      <c r="K76" s="3470" t="s">
        <v>3690</v>
      </c>
      <c r="L76" s="3470" t="s">
        <v>3690</v>
      </c>
    </row>
    <row r="77" spans="3:12" ht="16.5" customHeight="1">
      <c r="C77" s="3603"/>
      <c r="D77" s="3603"/>
      <c r="E77" s="3603"/>
      <c r="F77" s="3598" t="s">
        <v>3849</v>
      </c>
      <c r="G77" s="3598"/>
      <c r="H77" s="3598"/>
      <c r="I77" s="3470"/>
      <c r="J77" s="3470">
        <f>[1]规划区综合指标!G18</f>
        <v>758.7</v>
      </c>
      <c r="K77" s="3470"/>
      <c r="L77" s="3470"/>
    </row>
    <row r="78" spans="3:12" ht="15.75">
      <c r="C78" s="3603">
        <v>5</v>
      </c>
      <c r="D78" s="3603"/>
      <c r="E78" s="3598" t="s">
        <v>3798</v>
      </c>
      <c r="F78" s="3598"/>
      <c r="G78" s="3598"/>
      <c r="H78" s="3598"/>
      <c r="I78" s="3470" t="s">
        <v>3690</v>
      </c>
      <c r="J78" s="3470">
        <f>J79+J80</f>
        <v>202415.32000000004</v>
      </c>
      <c r="K78" s="3470" t="s">
        <v>3690</v>
      </c>
      <c r="L78" s="3470" t="s">
        <v>3690</v>
      </c>
    </row>
    <row r="79" spans="3:12" ht="15.75">
      <c r="C79" s="3603"/>
      <c r="D79" s="3603"/>
      <c r="E79" s="3603" t="s">
        <v>3149</v>
      </c>
      <c r="F79" s="3598" t="s">
        <v>3802</v>
      </c>
      <c r="G79" s="3598"/>
      <c r="H79" s="3598"/>
      <c r="I79" s="3470" t="s">
        <v>3690</v>
      </c>
      <c r="J79" s="3470">
        <f>[1]规划区综合指标!G21</f>
        <v>33952.76</v>
      </c>
      <c r="K79" s="3470" t="s">
        <v>3690</v>
      </c>
      <c r="L79" s="3470" t="s">
        <v>3690</v>
      </c>
    </row>
    <row r="80" spans="3:12" ht="15.75">
      <c r="C80" s="3603"/>
      <c r="D80" s="3603"/>
      <c r="E80" s="3603"/>
      <c r="F80" s="3598" t="s">
        <v>3807</v>
      </c>
      <c r="G80" s="3598"/>
      <c r="H80" s="3598"/>
      <c r="I80" s="3470"/>
      <c r="J80" s="3470">
        <f>[1]规划区综合指标!G22</f>
        <v>168462.56000000003</v>
      </c>
      <c r="K80" s="3470"/>
      <c r="L80" s="3470"/>
    </row>
    <row r="81" spans="3:12" ht="15.75">
      <c r="C81" s="3469">
        <v>6</v>
      </c>
      <c r="D81" s="3598" t="s">
        <v>3850</v>
      </c>
      <c r="E81" s="3598"/>
      <c r="F81" s="3598"/>
      <c r="G81" s="3598"/>
      <c r="H81" s="3598"/>
      <c r="I81" s="3470"/>
      <c r="J81" s="3472">
        <f>J61/J58</f>
        <v>2.0961108739229672</v>
      </c>
      <c r="K81" s="3470"/>
      <c r="L81" s="3470"/>
    </row>
    <row r="82" spans="3:12" ht="15.75">
      <c r="C82" s="3469">
        <v>7</v>
      </c>
      <c r="D82" s="3598" t="s">
        <v>3817</v>
      </c>
      <c r="E82" s="3598"/>
      <c r="F82" s="3598"/>
      <c r="G82" s="3598"/>
      <c r="H82" s="3598"/>
      <c r="I82" s="3470"/>
      <c r="J82" s="3473">
        <v>0.30099999999999999</v>
      </c>
      <c r="K82" s="3470"/>
      <c r="L82" s="3470"/>
    </row>
    <row r="83" spans="3:12" ht="16.5" customHeight="1">
      <c r="C83" s="3469">
        <v>8</v>
      </c>
      <c r="D83" s="3598" t="s">
        <v>3823</v>
      </c>
      <c r="E83" s="3598"/>
      <c r="F83" s="3598"/>
      <c r="G83" s="3598"/>
      <c r="H83" s="3598"/>
      <c r="I83" s="3474"/>
      <c r="J83" s="3470">
        <f>[1]规划区综合指标!G24</f>
        <v>6280</v>
      </c>
      <c r="K83" s="3474"/>
      <c r="L83" s="3474"/>
    </row>
    <row r="84" spans="3:12" ht="15.75">
      <c r="C84" s="3469">
        <v>9</v>
      </c>
      <c r="D84" s="3598" t="s">
        <v>3828</v>
      </c>
      <c r="E84" s="3598"/>
      <c r="F84" s="3598"/>
      <c r="G84" s="3598"/>
      <c r="H84" s="3598"/>
      <c r="I84" s="3470"/>
      <c r="J84" s="3470">
        <v>31580</v>
      </c>
      <c r="K84" s="3470"/>
      <c r="L84" s="3471">
        <f>J84/K61</f>
        <v>4.9262586809319976E-2</v>
      </c>
    </row>
    <row r="85" spans="3:12" ht="15.75">
      <c r="C85" s="3469">
        <v>10</v>
      </c>
      <c r="D85" s="3598" t="s">
        <v>3829</v>
      </c>
      <c r="E85" s="3598"/>
      <c r="F85" s="3598"/>
      <c r="G85" s="3598"/>
      <c r="H85" s="3598"/>
      <c r="I85" s="3470"/>
      <c r="J85" s="3470">
        <f>J60+J84</f>
        <v>890560.14999999991</v>
      </c>
      <c r="K85" s="3470"/>
      <c r="L85" s="3470"/>
    </row>
    <row r="86" spans="3:12" ht="15.75">
      <c r="C86" s="3603">
        <v>11</v>
      </c>
      <c r="D86" s="3598" t="s">
        <v>3830</v>
      </c>
      <c r="E86" s="3598"/>
      <c r="F86" s="3598"/>
      <c r="G86" s="3598"/>
      <c r="H86" s="3598"/>
      <c r="I86" s="3470"/>
      <c r="J86" s="3470">
        <f>J87+J88</f>
        <v>6372</v>
      </c>
      <c r="K86" s="3470"/>
      <c r="L86" s="3470"/>
    </row>
    <row r="87" spans="3:12" ht="15.75">
      <c r="C87" s="3603"/>
      <c r="D87" s="3603" t="s">
        <v>3149</v>
      </c>
      <c r="E87" s="3603"/>
      <c r="F87" s="3603"/>
      <c r="G87" s="3598" t="s">
        <v>3831</v>
      </c>
      <c r="H87" s="3598"/>
      <c r="I87" s="3470"/>
      <c r="J87" s="3470">
        <f>[1]规划区综合指标!G30</f>
        <v>1097</v>
      </c>
      <c r="K87" s="3470"/>
      <c r="L87" s="3470"/>
    </row>
    <row r="88" spans="3:12" ht="15.75">
      <c r="C88" s="3603"/>
      <c r="D88" s="3603"/>
      <c r="E88" s="3603"/>
      <c r="F88" s="3603"/>
      <c r="G88" s="3598" t="s">
        <v>3832</v>
      </c>
      <c r="H88" s="3598"/>
      <c r="I88" s="3470" t="s">
        <v>3690</v>
      </c>
      <c r="J88" s="3470">
        <f>[1]规划区综合指标!G31</f>
        <v>5275</v>
      </c>
      <c r="K88" s="3470" t="s">
        <v>3690</v>
      </c>
      <c r="L88" s="3470" t="s">
        <v>3690</v>
      </c>
    </row>
    <row r="89" spans="3:12">
      <c r="C89" s="3604" t="s">
        <v>3833</v>
      </c>
      <c r="D89" s="3604"/>
      <c r="E89" s="3604"/>
      <c r="F89" s="3604"/>
      <c r="G89" s="3604"/>
      <c r="H89" s="3604"/>
      <c r="I89" s="3604"/>
      <c r="J89" s="3604"/>
      <c r="K89" s="3604"/>
      <c r="L89" s="3604"/>
    </row>
    <row r="90" spans="3:12">
      <c r="C90" s="3604"/>
      <c r="D90" s="3604"/>
      <c r="E90" s="3604"/>
      <c r="F90" s="3604"/>
      <c r="G90" s="3604"/>
      <c r="H90" s="3604"/>
      <c r="I90" s="3604"/>
      <c r="J90" s="3604"/>
      <c r="K90" s="3604"/>
      <c r="L90" s="3604"/>
    </row>
    <row r="91" spans="3:12">
      <c r="C91" s="3475" t="s">
        <v>3834</v>
      </c>
      <c r="D91" s="3604" t="s">
        <v>3835</v>
      </c>
      <c r="E91" s="3604"/>
      <c r="F91" s="3604"/>
      <c r="G91" s="3604"/>
      <c r="H91" s="3604"/>
      <c r="I91" s="3604"/>
      <c r="J91" s="3604"/>
      <c r="K91" s="3604"/>
      <c r="L91" s="3604"/>
    </row>
  </sheetData>
  <mergeCells count="104">
    <mergeCell ref="C89:L90"/>
    <mergeCell ref="D91:L91"/>
    <mergeCell ref="D82:H82"/>
    <mergeCell ref="D83:H83"/>
    <mergeCell ref="D84:H84"/>
    <mergeCell ref="D85:H85"/>
    <mergeCell ref="C86:C88"/>
    <mergeCell ref="D86:H86"/>
    <mergeCell ref="D87:F88"/>
    <mergeCell ref="G87:H87"/>
    <mergeCell ref="G88:H88"/>
    <mergeCell ref="C78:C80"/>
    <mergeCell ref="E78:H78"/>
    <mergeCell ref="E79:E80"/>
    <mergeCell ref="F79:H79"/>
    <mergeCell ref="F80:H80"/>
    <mergeCell ref="D81:H81"/>
    <mergeCell ref="D60:H60"/>
    <mergeCell ref="C61:C77"/>
    <mergeCell ref="D61:D80"/>
    <mergeCell ref="E61:H61"/>
    <mergeCell ref="E62:E77"/>
    <mergeCell ref="F62:H62"/>
    <mergeCell ref="F63:H63"/>
    <mergeCell ref="F64:H64"/>
    <mergeCell ref="F65:G76"/>
    <mergeCell ref="F77:H77"/>
    <mergeCell ref="O33:X34"/>
    <mergeCell ref="P35:X35"/>
    <mergeCell ref="C44:L44"/>
    <mergeCell ref="D57:H57"/>
    <mergeCell ref="D58:H58"/>
    <mergeCell ref="D59:H59"/>
    <mergeCell ref="C29:D29"/>
    <mergeCell ref="P29:T29"/>
    <mergeCell ref="P30:T30"/>
    <mergeCell ref="P31:R32"/>
    <mergeCell ref="S31:T31"/>
    <mergeCell ref="S32:T32"/>
    <mergeCell ref="P26:T26"/>
    <mergeCell ref="A27:A28"/>
    <mergeCell ref="B27:B28"/>
    <mergeCell ref="C27:C28"/>
    <mergeCell ref="P27:T27"/>
    <mergeCell ref="P28:T28"/>
    <mergeCell ref="Q22:T22"/>
    <mergeCell ref="Q23:Q25"/>
    <mergeCell ref="R23:T23"/>
    <mergeCell ref="D24:D25"/>
    <mergeCell ref="I24:I25"/>
    <mergeCell ref="J24:J25"/>
    <mergeCell ref="K24:K25"/>
    <mergeCell ref="L24:L25"/>
    <mergeCell ref="R24:T24"/>
    <mergeCell ref="R25:T25"/>
    <mergeCell ref="K20:K21"/>
    <mergeCell ref="L20:L21"/>
    <mergeCell ref="D22:D23"/>
    <mergeCell ref="I22:I23"/>
    <mergeCell ref="J22:J23"/>
    <mergeCell ref="K22:K23"/>
    <mergeCell ref="L22:L23"/>
    <mergeCell ref="A20:A25"/>
    <mergeCell ref="B20:B25"/>
    <mergeCell ref="C20:C25"/>
    <mergeCell ref="D20:D21"/>
    <mergeCell ref="I20:I21"/>
    <mergeCell ref="J20:J21"/>
    <mergeCell ref="K18:K19"/>
    <mergeCell ref="L18:L19"/>
    <mergeCell ref="C14:C19"/>
    <mergeCell ref="D14:D15"/>
    <mergeCell ref="I14:I15"/>
    <mergeCell ref="J14:J15"/>
    <mergeCell ref="K14:K15"/>
    <mergeCell ref="L14:L15"/>
    <mergeCell ref="D16:D17"/>
    <mergeCell ref="I16:I17"/>
    <mergeCell ref="J16:J17"/>
    <mergeCell ref="K16:K17"/>
    <mergeCell ref="P2:T2"/>
    <mergeCell ref="A3:L3"/>
    <mergeCell ref="P3:T3"/>
    <mergeCell ref="P4:T4"/>
    <mergeCell ref="A5:A6"/>
    <mergeCell ref="B5:B6"/>
    <mergeCell ref="C5:C6"/>
    <mergeCell ref="P5:T5"/>
    <mergeCell ref="P6:P25"/>
    <mergeCell ref="Q6:T6"/>
    <mergeCell ref="A7:A13"/>
    <mergeCell ref="B7:B13"/>
    <mergeCell ref="C7:C13"/>
    <mergeCell ref="Q7:Q21"/>
    <mergeCell ref="R7:T7"/>
    <mergeCell ref="R8:T8"/>
    <mergeCell ref="R9:T9"/>
    <mergeCell ref="R10:S21"/>
    <mergeCell ref="A14:A19"/>
    <mergeCell ref="B14:B19"/>
    <mergeCell ref="L16:L17"/>
    <mergeCell ref="D18:D19"/>
    <mergeCell ref="I18:I19"/>
    <mergeCell ref="J18:J19"/>
  </mergeCells>
  <phoneticPr fontId="14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O48"/>
  <sheetViews>
    <sheetView zoomScale="85" zoomScaleNormal="85" workbookViewId="0">
      <selection activeCell="H16" sqref="H16"/>
    </sheetView>
  </sheetViews>
  <sheetFormatPr defaultRowHeight="13.5"/>
  <cols>
    <col min="1" max="3" width="9" style="3044"/>
    <col min="4" max="4" width="26.375" style="3044" customWidth="1"/>
    <col min="5" max="5" width="15.625" style="3044" customWidth="1"/>
    <col min="6" max="6" width="15.25" style="3044" customWidth="1"/>
    <col min="7" max="7" width="9" style="3044"/>
    <col min="8" max="8" width="13.875" style="3044" customWidth="1"/>
    <col min="9" max="9" width="14.125" style="3044" customWidth="1"/>
    <col min="10" max="10" width="13.375" style="3044" customWidth="1"/>
    <col min="11" max="11" width="19.125" style="3044" customWidth="1"/>
    <col min="12" max="12" width="12.75" style="3044" customWidth="1"/>
    <col min="13" max="13" width="9" style="3044"/>
    <col min="14" max="14" width="25.375" style="3044" customWidth="1"/>
    <col min="15" max="16384" width="9" style="3044"/>
  </cols>
  <sheetData>
    <row r="5" spans="3:15">
      <c r="C5" s="3059"/>
      <c r="D5" s="3059" t="s">
        <v>3667</v>
      </c>
      <c r="E5" s="3349" t="s">
        <v>3668</v>
      </c>
      <c r="F5" s="3349" t="s">
        <v>3669</v>
      </c>
      <c r="G5" s="3349" t="s">
        <v>3177</v>
      </c>
      <c r="H5" s="3349" t="s">
        <v>3150</v>
      </c>
      <c r="I5" s="3431" t="s">
        <v>3670</v>
      </c>
      <c r="J5" s="3349" t="s">
        <v>3146</v>
      </c>
      <c r="K5" s="3349" t="s">
        <v>3106</v>
      </c>
      <c r="L5" s="3349" t="s">
        <v>3107</v>
      </c>
      <c r="M5" s="3432" t="s">
        <v>3671</v>
      </c>
      <c r="N5" s="3432" t="s">
        <v>3672</v>
      </c>
      <c r="O5" s="3433" t="s">
        <v>3673</v>
      </c>
    </row>
    <row r="6" spans="3:15">
      <c r="C6" s="3349" t="s">
        <v>3674</v>
      </c>
      <c r="D6" s="3434">
        <f>E6+I6</f>
        <v>35207.32</v>
      </c>
      <c r="E6" s="3435">
        <v>7169.17</v>
      </c>
      <c r="F6" s="3349">
        <v>87774.03</v>
      </c>
      <c r="G6" s="3349">
        <f>H6/F6</f>
        <v>0.73679652170465459</v>
      </c>
      <c r="H6" s="3349">
        <v>64671.6</v>
      </c>
      <c r="I6" s="3349">
        <v>28038.15</v>
      </c>
      <c r="J6" s="3349">
        <f>D6+H6</f>
        <v>99878.92</v>
      </c>
      <c r="K6" s="3349">
        <v>384</v>
      </c>
      <c r="L6" s="3349"/>
      <c r="M6" s="3436">
        <v>0</v>
      </c>
      <c r="N6" s="3436">
        <v>0</v>
      </c>
      <c r="O6" s="3120"/>
    </row>
    <row r="7" spans="3:15">
      <c r="C7" s="3437" t="s">
        <v>3675</v>
      </c>
      <c r="D7" s="3437">
        <f>I7</f>
        <v>22142.15</v>
      </c>
      <c r="E7" s="3437"/>
      <c r="F7" s="3349">
        <v>66664.34</v>
      </c>
      <c r="G7" s="3349">
        <f t="shared" ref="G7:G9" si="0">H7/F7</f>
        <v>0.69508750855404866</v>
      </c>
      <c r="H7" s="3349">
        <v>46337.55</v>
      </c>
      <c r="I7" s="3437">
        <v>22142.15</v>
      </c>
      <c r="J7" s="3437">
        <f>D7+H7</f>
        <v>68479.700000000012</v>
      </c>
      <c r="K7" s="3349">
        <v>216</v>
      </c>
      <c r="L7" s="3349"/>
      <c r="M7" s="3436">
        <v>0</v>
      </c>
      <c r="N7" s="3436">
        <v>144</v>
      </c>
      <c r="O7" s="3120"/>
    </row>
    <row r="8" spans="3:15">
      <c r="C8" s="3437" t="s">
        <v>3676</v>
      </c>
      <c r="D8" s="3438">
        <f>E8+I8</f>
        <v>31971.079999999998</v>
      </c>
      <c r="E8" s="3439">
        <f>5281.47+1422.58</f>
        <v>6704.05</v>
      </c>
      <c r="F8" s="3349">
        <v>82358.320000000007</v>
      </c>
      <c r="G8" s="3349">
        <f t="shared" si="0"/>
        <v>0.69910119584760833</v>
      </c>
      <c r="H8" s="3437">
        <f>57356+220.8</f>
        <v>57576.800000000003</v>
      </c>
      <c r="I8" s="3437">
        <v>25267.03</v>
      </c>
      <c r="J8" s="3434">
        <f>D8+H8</f>
        <v>89547.88</v>
      </c>
      <c r="K8" s="3349">
        <v>346</v>
      </c>
      <c r="L8" s="3349"/>
      <c r="M8" s="3440">
        <v>0</v>
      </c>
      <c r="N8" s="3440">
        <v>128</v>
      </c>
      <c r="O8" s="3120">
        <v>952</v>
      </c>
    </row>
    <row r="9" spans="3:15">
      <c r="C9" s="3349" t="s">
        <v>37</v>
      </c>
      <c r="D9" s="3434">
        <f>SUM(D6:D8)</f>
        <v>89320.55</v>
      </c>
      <c r="E9" s="3434">
        <f>SUM(E6:E8)</f>
        <v>13873.220000000001</v>
      </c>
      <c r="F9" s="3349">
        <f>SUM(F6:F8)</f>
        <v>236796.69</v>
      </c>
      <c r="G9" s="3349">
        <f t="shared" si="0"/>
        <v>0.71194386205313942</v>
      </c>
      <c r="H9" s="3349">
        <f>SUM(H6:H8)</f>
        <v>168585.95</v>
      </c>
      <c r="I9" s="3441">
        <f>SUM(I6:I8)</f>
        <v>75447.33</v>
      </c>
      <c r="J9" s="3434">
        <f>D9+H9</f>
        <v>257906.5</v>
      </c>
      <c r="K9" s="3349">
        <f>SUM(K6:K8)</f>
        <v>946</v>
      </c>
      <c r="L9" s="3349">
        <f>K9*3.2</f>
        <v>3027.2000000000003</v>
      </c>
      <c r="M9" s="3120"/>
      <c r="N9" s="3120"/>
      <c r="O9" s="3120"/>
    </row>
    <row r="10" spans="3:15">
      <c r="F10" s="3044">
        <f>F11-F9</f>
        <v>313230.00999999995</v>
      </c>
    </row>
    <row r="11" spans="3:15">
      <c r="F11" s="3442">
        <v>550026.69999999995</v>
      </c>
      <c r="J11" s="3044">
        <v>257906.5</v>
      </c>
    </row>
    <row r="12" spans="3:15">
      <c r="J12" s="3065">
        <f>J11-J9</f>
        <v>0</v>
      </c>
    </row>
    <row r="13" spans="3:15">
      <c r="C13" s="3606" t="s">
        <v>3211</v>
      </c>
      <c r="D13" s="3607"/>
      <c r="E13" s="3607"/>
      <c r="F13" s="3607"/>
      <c r="G13" s="3607"/>
      <c r="J13" s="3608" t="s">
        <v>3677</v>
      </c>
      <c r="K13" s="3609"/>
      <c r="L13" s="3609"/>
      <c r="M13" s="3609"/>
      <c r="N13" s="3610"/>
    </row>
    <row r="14" spans="3:15">
      <c r="C14" s="3113"/>
      <c r="D14" s="3113"/>
      <c r="E14" s="3114" t="s">
        <v>3214</v>
      </c>
      <c r="F14" s="3059" t="s">
        <v>3215</v>
      </c>
      <c r="G14" s="3059" t="s">
        <v>3216</v>
      </c>
      <c r="J14" s="3611" t="s">
        <v>3135</v>
      </c>
      <c r="K14" s="3611"/>
      <c r="L14" s="3337" t="s">
        <v>3136</v>
      </c>
      <c r="M14" s="3337" t="s">
        <v>3137</v>
      </c>
      <c r="N14" s="3337" t="s">
        <v>3110</v>
      </c>
    </row>
    <row r="15" spans="3:15">
      <c r="C15" s="3612" t="s">
        <v>3217</v>
      </c>
      <c r="D15" s="3115" t="s">
        <v>3218</v>
      </c>
      <c r="E15" s="3116"/>
      <c r="F15" s="3059"/>
      <c r="G15" s="3059"/>
      <c r="J15" s="3611" t="s">
        <v>3433</v>
      </c>
      <c r="K15" s="3611"/>
      <c r="L15" s="3340">
        <v>300.5</v>
      </c>
      <c r="M15" s="3337" t="s">
        <v>3142</v>
      </c>
      <c r="N15" s="3341" t="s">
        <v>3516</v>
      </c>
    </row>
    <row r="16" spans="3:15">
      <c r="C16" s="3613"/>
      <c r="D16" s="3115" t="s">
        <v>3219</v>
      </c>
      <c r="E16" s="3116"/>
      <c r="F16" s="3059"/>
      <c r="G16" s="3059"/>
      <c r="J16" s="3608"/>
      <c r="K16" s="3614"/>
      <c r="L16" s="3344"/>
      <c r="M16" s="3337"/>
      <c r="N16" s="3337"/>
    </row>
    <row r="17" spans="3:14">
      <c r="C17" s="3615" t="s">
        <v>3221</v>
      </c>
      <c r="D17" s="3115" t="s">
        <v>3222</v>
      </c>
      <c r="E17" s="3616">
        <f>L15</f>
        <v>300.5</v>
      </c>
      <c r="F17" s="3059"/>
      <c r="G17" s="3059"/>
      <c r="J17" s="3619"/>
      <c r="K17" s="3614"/>
      <c r="L17" s="3303"/>
      <c r="M17" s="3337"/>
      <c r="N17" s="3337"/>
    </row>
    <row r="18" spans="3:14">
      <c r="C18" s="3615"/>
      <c r="D18" s="3115" t="s">
        <v>3224</v>
      </c>
      <c r="E18" s="3617"/>
      <c r="F18" s="3059"/>
      <c r="G18" s="3059"/>
      <c r="J18" s="3619"/>
      <c r="K18" s="3614"/>
      <c r="L18" s="3303"/>
      <c r="M18" s="3337"/>
      <c r="N18" s="3337"/>
    </row>
    <row r="19" spans="3:14">
      <c r="C19" s="3615"/>
      <c r="D19" s="3115" t="s">
        <v>3226</v>
      </c>
      <c r="E19" s="3617"/>
      <c r="F19" s="3059"/>
      <c r="G19" s="3059"/>
      <c r="J19" s="3611" t="s">
        <v>3168</v>
      </c>
      <c r="K19" s="3611"/>
      <c r="L19" s="3337">
        <f>SUM(L20:L31)</f>
        <v>1108.1600000000001</v>
      </c>
      <c r="M19" s="3337" t="s">
        <v>3142</v>
      </c>
      <c r="N19" s="3337"/>
    </row>
    <row r="20" spans="3:14">
      <c r="C20" s="3615"/>
      <c r="D20" s="3115" t="s">
        <v>3228</v>
      </c>
      <c r="E20" s="3617"/>
      <c r="F20" s="3059"/>
      <c r="G20" s="3059"/>
      <c r="J20" s="3337" t="s">
        <v>3441</v>
      </c>
      <c r="K20" s="3337" t="s">
        <v>3442</v>
      </c>
      <c r="L20" s="3337">
        <v>568.34</v>
      </c>
      <c r="M20" s="3337" t="s">
        <v>3142</v>
      </c>
      <c r="N20" s="3337" t="s">
        <v>3516</v>
      </c>
    </row>
    <row r="21" spans="3:14">
      <c r="C21" s="3615"/>
      <c r="D21" s="3115" t="s">
        <v>3230</v>
      </c>
      <c r="E21" s="3618"/>
      <c r="F21" s="3059"/>
      <c r="G21" s="3059"/>
      <c r="J21" s="3337" t="s">
        <v>3446</v>
      </c>
      <c r="K21" s="3337" t="s">
        <v>3508</v>
      </c>
      <c r="L21" s="3337">
        <f>323.85</f>
        <v>323.85000000000002</v>
      </c>
      <c r="M21" s="3337" t="s">
        <v>3142</v>
      </c>
      <c r="N21" s="3337" t="s">
        <v>3516</v>
      </c>
    </row>
    <row r="22" spans="3:14">
      <c r="C22" s="3113"/>
      <c r="D22" s="3113"/>
      <c r="E22" s="3116"/>
      <c r="F22" s="3059"/>
      <c r="G22" s="3059"/>
      <c r="J22" s="3337" t="s">
        <v>3451</v>
      </c>
      <c r="K22" s="3337" t="s">
        <v>3232</v>
      </c>
      <c r="L22" s="3337"/>
      <c r="M22" s="3337" t="s">
        <v>3142</v>
      </c>
      <c r="N22" s="3337"/>
    </row>
    <row r="23" spans="3:14">
      <c r="C23" s="3084" t="s">
        <v>3231</v>
      </c>
      <c r="D23" s="3119" t="s">
        <v>3232</v>
      </c>
      <c r="E23" s="3116">
        <f>L22</f>
        <v>0</v>
      </c>
      <c r="F23" s="3059"/>
      <c r="G23" s="3059"/>
      <c r="J23" s="3337" t="s">
        <v>3455</v>
      </c>
      <c r="K23" s="3337" t="s">
        <v>3512</v>
      </c>
      <c r="L23" s="3337">
        <v>64</v>
      </c>
      <c r="M23" s="3337" t="s">
        <v>3142</v>
      </c>
      <c r="N23" s="3341" t="s">
        <v>3513</v>
      </c>
    </row>
    <row r="24" spans="3:14">
      <c r="C24" s="3115"/>
      <c r="D24" s="3120"/>
      <c r="E24" s="3120"/>
      <c r="F24" s="3059"/>
      <c r="G24" s="3059"/>
      <c r="J24" s="3337" t="s">
        <v>3457</v>
      </c>
      <c r="K24" s="3337" t="s">
        <v>3452</v>
      </c>
      <c r="L24" s="3337">
        <v>30</v>
      </c>
      <c r="M24" s="3337" t="s">
        <v>3142</v>
      </c>
      <c r="N24" s="3341" t="s">
        <v>3516</v>
      </c>
    </row>
    <row r="25" spans="3:14">
      <c r="C25" s="3605" t="s">
        <v>3678</v>
      </c>
      <c r="D25" s="3119" t="s">
        <v>3679</v>
      </c>
      <c r="E25" s="3116"/>
      <c r="F25" s="3059"/>
      <c r="G25" s="3059"/>
      <c r="J25" s="3337" t="s">
        <v>3459</v>
      </c>
      <c r="K25" s="3337" t="s">
        <v>3456</v>
      </c>
      <c r="L25" s="3337">
        <v>34.93</v>
      </c>
      <c r="M25" s="3337" t="s">
        <v>3142</v>
      </c>
      <c r="N25" s="3341" t="s">
        <v>3516</v>
      </c>
    </row>
    <row r="26" spans="3:14">
      <c r="C26" s="3605"/>
      <c r="D26" s="3115" t="s">
        <v>3680</v>
      </c>
      <c r="E26" s="3116"/>
      <c r="F26" s="3059"/>
      <c r="G26" s="3059"/>
      <c r="J26" s="3337" t="s">
        <v>3462</v>
      </c>
      <c r="K26" s="3337" t="s">
        <v>3681</v>
      </c>
      <c r="L26" s="3337">
        <v>52.64</v>
      </c>
      <c r="M26" s="3337" t="s">
        <v>3142</v>
      </c>
      <c r="N26" s="3341" t="s">
        <v>3516</v>
      </c>
    </row>
    <row r="27" spans="3:14">
      <c r="C27" s="3121"/>
      <c r="D27" s="3113"/>
      <c r="E27" s="3116"/>
      <c r="F27" s="3059"/>
      <c r="G27" s="3059"/>
      <c r="J27" s="3337" t="s">
        <v>3465</v>
      </c>
      <c r="K27" s="3337" t="s">
        <v>3460</v>
      </c>
      <c r="L27" s="3337">
        <f>U4</f>
        <v>0</v>
      </c>
      <c r="M27" s="3337" t="s">
        <v>3142</v>
      </c>
      <c r="N27" s="3337"/>
    </row>
    <row r="28" spans="3:14">
      <c r="C28" s="3113"/>
      <c r="D28" s="3113"/>
      <c r="E28" s="3116"/>
      <c r="F28" s="3059"/>
      <c r="G28" s="3059"/>
      <c r="J28" s="3337" t="s">
        <v>3469</v>
      </c>
      <c r="K28" s="3337" t="s">
        <v>3234</v>
      </c>
      <c r="L28" s="3337">
        <f>U5</f>
        <v>0</v>
      </c>
      <c r="M28" s="3337" t="s">
        <v>3142</v>
      </c>
      <c r="N28" s="3337"/>
    </row>
    <row r="29" spans="3:14">
      <c r="C29" s="3620" t="s">
        <v>3236</v>
      </c>
      <c r="D29" s="3119" t="s">
        <v>3271</v>
      </c>
      <c r="E29" s="3622"/>
      <c r="F29" s="3059"/>
      <c r="G29" s="3059"/>
      <c r="J29" s="3337" t="s">
        <v>3471</v>
      </c>
      <c r="K29" s="3337" t="s">
        <v>3466</v>
      </c>
      <c r="L29" s="3337">
        <f>U6</f>
        <v>0</v>
      </c>
      <c r="M29" s="3337" t="s">
        <v>3142</v>
      </c>
      <c r="N29" s="3337"/>
    </row>
    <row r="30" spans="3:14">
      <c r="C30" s="3621"/>
      <c r="D30" s="3119" t="s">
        <v>3272</v>
      </c>
      <c r="E30" s="3618"/>
      <c r="F30" s="3059"/>
      <c r="G30" s="3059"/>
      <c r="J30" s="3337" t="s">
        <v>3475</v>
      </c>
      <c r="K30" s="3337" t="s">
        <v>3470</v>
      </c>
      <c r="L30" s="3337">
        <v>34.4</v>
      </c>
      <c r="M30" s="3337" t="s">
        <v>3142</v>
      </c>
      <c r="N30" s="3341" t="s">
        <v>3682</v>
      </c>
    </row>
    <row r="31" spans="3:14">
      <c r="C31" s="3113"/>
      <c r="D31" s="3113"/>
      <c r="E31" s="3116"/>
      <c r="F31" s="3059"/>
      <c r="G31" s="3059"/>
      <c r="J31" s="3348" t="s">
        <v>3478</v>
      </c>
      <c r="K31" s="3349" t="s">
        <v>3472</v>
      </c>
      <c r="L31" s="3301">
        <f>U7</f>
        <v>0</v>
      </c>
      <c r="M31" s="3337" t="s">
        <v>3142</v>
      </c>
      <c r="N31" s="3301"/>
    </row>
    <row r="32" spans="3:14">
      <c r="C32" s="3620" t="s">
        <v>3273</v>
      </c>
      <c r="D32" s="3119" t="s">
        <v>3274</v>
      </c>
      <c r="E32" s="3116"/>
      <c r="F32" s="3059"/>
      <c r="G32" s="3059"/>
      <c r="J32" s="3624" t="s">
        <v>3481</v>
      </c>
      <c r="K32" s="3624"/>
      <c r="L32" s="3443">
        <f>L15+L16+L17+L18+L19</f>
        <v>1408.66</v>
      </c>
      <c r="M32" s="3337"/>
      <c r="N32" s="3301"/>
    </row>
    <row r="33" spans="3:12">
      <c r="C33" s="3623"/>
      <c r="D33" s="3119" t="s">
        <v>3275</v>
      </c>
      <c r="E33" s="3116"/>
      <c r="F33" s="3059"/>
      <c r="G33" s="3059"/>
    </row>
    <row r="34" spans="3:12">
      <c r="C34" s="3623"/>
      <c r="D34" s="3119" t="s">
        <v>3276</v>
      </c>
      <c r="E34" s="3116">
        <f>L21</f>
        <v>323.85000000000002</v>
      </c>
      <c r="F34" s="3059"/>
      <c r="G34" s="3059"/>
      <c r="L34" s="3044">
        <v>1421</v>
      </c>
    </row>
    <row r="35" spans="3:12">
      <c r="C35" s="3623"/>
      <c r="D35" s="3119" t="s">
        <v>3277</v>
      </c>
      <c r="E35" s="3116">
        <f>L20</f>
        <v>568.34</v>
      </c>
      <c r="F35" s="3059"/>
      <c r="G35" s="3059"/>
      <c r="L35" s="3044">
        <f>H6+H7-L34</f>
        <v>109588.15</v>
      </c>
    </row>
    <row r="36" spans="3:12">
      <c r="C36" s="3621"/>
      <c r="D36" s="3115" t="s">
        <v>3278</v>
      </c>
      <c r="E36" s="3116"/>
      <c r="F36" s="3059"/>
      <c r="G36" s="3059"/>
    </row>
    <row r="37" spans="3:12">
      <c r="C37" s="3615" t="s">
        <v>3279</v>
      </c>
      <c r="D37" s="3115" t="s">
        <v>3280</v>
      </c>
      <c r="E37" s="3116"/>
      <c r="F37" s="3059"/>
      <c r="G37" s="3059"/>
    </row>
    <row r="38" spans="3:12">
      <c r="C38" s="3615"/>
      <c r="D38" s="3119" t="s">
        <v>3281</v>
      </c>
      <c r="E38" s="3116"/>
      <c r="F38" s="3059"/>
      <c r="G38" s="3059"/>
    </row>
    <row r="39" spans="3:12">
      <c r="C39" s="3615"/>
      <c r="D39" s="3119" t="s">
        <v>3282</v>
      </c>
      <c r="E39" s="3116">
        <f>L24</f>
        <v>30</v>
      </c>
      <c r="F39" s="3059"/>
      <c r="G39" s="3059"/>
    </row>
    <row r="40" spans="3:12">
      <c r="C40" s="3615"/>
      <c r="D40" s="3115" t="s">
        <v>3283</v>
      </c>
      <c r="E40" s="3116">
        <f>L23</f>
        <v>64</v>
      </c>
      <c r="F40" s="3059"/>
      <c r="G40" s="3059"/>
    </row>
    <row r="41" spans="3:12">
      <c r="C41" s="3615"/>
      <c r="D41" s="3115" t="s">
        <v>3284</v>
      </c>
      <c r="E41" s="3116"/>
      <c r="F41" s="3059"/>
      <c r="G41" s="3059"/>
    </row>
    <row r="42" spans="3:12">
      <c r="C42" s="3615"/>
      <c r="D42" s="3115"/>
      <c r="E42" s="3116"/>
      <c r="F42" s="3059"/>
      <c r="G42" s="3059"/>
    </row>
    <row r="43" spans="3:12">
      <c r="C43" s="3615"/>
      <c r="D43" s="3115" t="s">
        <v>3285</v>
      </c>
      <c r="E43" s="3116"/>
      <c r="F43" s="3059"/>
      <c r="G43" s="3059"/>
    </row>
    <row r="44" spans="3:12">
      <c r="C44" s="3615"/>
      <c r="D44" s="3115" t="s">
        <v>3286</v>
      </c>
      <c r="E44" s="3116"/>
      <c r="F44" s="3059"/>
      <c r="G44" s="3059"/>
    </row>
    <row r="45" spans="3:12">
      <c r="C45" s="3615"/>
      <c r="D45" s="3115" t="s">
        <v>3287</v>
      </c>
      <c r="E45" s="3116">
        <f>L30</f>
        <v>34.4</v>
      </c>
      <c r="F45" s="3059"/>
      <c r="G45" s="3059"/>
    </row>
    <row r="46" spans="3:12">
      <c r="C46" s="3615"/>
      <c r="D46" s="3115" t="s">
        <v>3288</v>
      </c>
      <c r="E46" s="3116">
        <f>L25+L26</f>
        <v>87.57</v>
      </c>
      <c r="F46" s="3059"/>
      <c r="G46" s="3059" t="s">
        <v>3683</v>
      </c>
    </row>
    <row r="47" spans="3:12">
      <c r="C47" s="3615"/>
      <c r="D47" s="3115" t="s">
        <v>3289</v>
      </c>
      <c r="E47" s="3116"/>
      <c r="F47" s="3059"/>
      <c r="G47" s="3059"/>
    </row>
    <row r="48" spans="3:12">
      <c r="C48" s="3058" t="s">
        <v>3209</v>
      </c>
      <c r="D48" s="3058"/>
      <c r="E48" s="3058">
        <f>SUM(E15:E47)</f>
        <v>1408.66</v>
      </c>
      <c r="F48" s="3058"/>
      <c r="G48" s="3059"/>
    </row>
  </sheetData>
  <mergeCells count="17">
    <mergeCell ref="C29:C30"/>
    <mergeCell ref="E29:E30"/>
    <mergeCell ref="C32:C36"/>
    <mergeCell ref="J32:K32"/>
    <mergeCell ref="C37:C47"/>
    <mergeCell ref="C25:C26"/>
    <mergeCell ref="C13:G13"/>
    <mergeCell ref="J13:N13"/>
    <mergeCell ref="J14:K14"/>
    <mergeCell ref="C15:C16"/>
    <mergeCell ref="J15:K15"/>
    <mergeCell ref="J16:K16"/>
    <mergeCell ref="C17:C21"/>
    <mergeCell ref="E17:E21"/>
    <mergeCell ref="J17:K17"/>
    <mergeCell ref="J18:K18"/>
    <mergeCell ref="J19:K19"/>
  </mergeCells>
  <phoneticPr fontId="1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68"/>
  <sheetViews>
    <sheetView zoomScaleNormal="100" workbookViewId="0">
      <selection activeCell="K13" sqref="K13"/>
    </sheetView>
  </sheetViews>
  <sheetFormatPr defaultRowHeight="13.5"/>
  <cols>
    <col min="1" max="1" width="9" style="3044"/>
    <col min="2" max="2" width="16.375" style="3044" customWidth="1"/>
    <col min="3" max="4" width="9" style="3044"/>
    <col min="5" max="5" width="18.375" style="3044" customWidth="1"/>
    <col min="6" max="6" width="9.625" style="3044" customWidth="1"/>
    <col min="7" max="7" width="12.375" style="3044" customWidth="1"/>
    <col min="8" max="8" width="13.625" style="3044" customWidth="1"/>
    <col min="9" max="9" width="25" style="3044" customWidth="1"/>
    <col min="10" max="10" width="11.625" style="3044" bestFit="1" customWidth="1"/>
    <col min="11" max="11" width="24.75" style="3044" customWidth="1"/>
    <col min="12" max="12" width="18.125" style="3044" customWidth="1"/>
    <col min="13" max="13" width="14.5" style="3044" customWidth="1"/>
    <col min="14" max="14" width="9" style="3044"/>
    <col min="15" max="15" width="22.5" style="3044" customWidth="1"/>
    <col min="16" max="16384" width="9" style="3044"/>
  </cols>
  <sheetData>
    <row r="3" spans="1:11" ht="14.25" thickBot="1"/>
    <row r="4" spans="1:11">
      <c r="A4" s="3625" t="s">
        <v>3589</v>
      </c>
      <c r="B4" s="3626"/>
      <c r="C4" s="3626"/>
      <c r="D4" s="3626"/>
      <c r="E4" s="3626"/>
      <c r="F4" s="3626"/>
      <c r="G4" s="3626"/>
      <c r="H4" s="3626"/>
      <c r="I4" s="3627"/>
    </row>
    <row r="5" spans="1:11" ht="14.25">
      <c r="A5" s="3628" t="s">
        <v>3536</v>
      </c>
      <c r="B5" s="3629"/>
      <c r="C5" s="3629"/>
      <c r="D5" s="3629"/>
      <c r="E5" s="3630"/>
      <c r="F5" s="3396" t="s">
        <v>3590</v>
      </c>
      <c r="G5" s="3396" t="s">
        <v>3537</v>
      </c>
      <c r="H5" s="3396" t="s">
        <v>3591</v>
      </c>
      <c r="I5" s="3397" t="s">
        <v>3592</v>
      </c>
    </row>
    <row r="6" spans="1:11" ht="21.75" customHeight="1">
      <c r="A6" s="3631" t="s">
        <v>3593</v>
      </c>
      <c r="B6" s="3632" t="s">
        <v>3594</v>
      </c>
      <c r="C6" s="3633" t="s">
        <v>3595</v>
      </c>
      <c r="D6" s="3629"/>
      <c r="E6" s="3630"/>
      <c r="F6" s="3396" t="s">
        <v>3596</v>
      </c>
      <c r="G6" s="3396">
        <f>'[1]整体综合指标（报规含已建区和小学）'!P8</f>
        <v>56.39</v>
      </c>
      <c r="H6" s="3398">
        <f>SUM(H7:H10)</f>
        <v>1</v>
      </c>
      <c r="I6" s="3399">
        <f>'[1]整体综合指标（报规含已建区和小学）'!R8</f>
        <v>24.386763077774699</v>
      </c>
    </row>
    <row r="7" spans="1:11" ht="18.75" customHeight="1">
      <c r="A7" s="3631"/>
      <c r="B7" s="3632"/>
      <c r="C7" s="3634" t="s">
        <v>3151</v>
      </c>
      <c r="D7" s="3635"/>
      <c r="E7" s="3396" t="s">
        <v>3597</v>
      </c>
      <c r="F7" s="3396" t="s">
        <v>3598</v>
      </c>
      <c r="G7" s="3396">
        <f>'[1]整体综合指标（报规含已建区和小学）'!P9</f>
        <v>36.11</v>
      </c>
      <c r="H7" s="3400">
        <f>G7/G6</f>
        <v>0.64036176627061536</v>
      </c>
      <c r="I7" s="3399">
        <f>'[1]整体综合指标（报规含已建区和小学）'!R9</f>
        <v>15.616350678106835</v>
      </c>
      <c r="J7" s="3044">
        <v>361100</v>
      </c>
    </row>
    <row r="8" spans="1:11" ht="18.75" customHeight="1">
      <c r="A8" s="3631"/>
      <c r="B8" s="3632"/>
      <c r="C8" s="3636"/>
      <c r="D8" s="3637"/>
      <c r="E8" s="3396" t="s">
        <v>3599</v>
      </c>
      <c r="F8" s="3396" t="s">
        <v>3598</v>
      </c>
      <c r="G8" s="3396">
        <f>'[1]整体综合指标（报规含已建区和小学）'!P10</f>
        <v>3.46</v>
      </c>
      <c r="H8" s="3400">
        <f>G8/G6</f>
        <v>6.1358396878879236E-2</v>
      </c>
      <c r="I8" s="3399">
        <f>'[1]整体综合指标（报规含已建区和小学）'!R10</f>
        <v>1.4963326875172986</v>
      </c>
    </row>
    <row r="9" spans="1:11" ht="18.75" customHeight="1">
      <c r="A9" s="3631"/>
      <c r="B9" s="3632"/>
      <c r="C9" s="3636"/>
      <c r="D9" s="3637"/>
      <c r="E9" s="3396" t="s">
        <v>3600</v>
      </c>
      <c r="F9" s="3396" t="s">
        <v>3598</v>
      </c>
      <c r="G9" s="3396">
        <f>'[1]整体综合指标（报规含已建区和小学）'!P12</f>
        <v>3.47</v>
      </c>
      <c r="H9" s="3400">
        <f>G9/G6</f>
        <v>6.1535733286043628E-2</v>
      </c>
      <c r="I9" s="3399">
        <f>'[1]整体综合指标（报规含已建区和小学）'!R12</f>
        <v>1.5006573484638803</v>
      </c>
    </row>
    <row r="10" spans="1:11" ht="18.75" customHeight="1">
      <c r="A10" s="3631"/>
      <c r="B10" s="3632"/>
      <c r="C10" s="3638"/>
      <c r="D10" s="3639"/>
      <c r="E10" s="3396" t="s">
        <v>3601</v>
      </c>
      <c r="F10" s="3396" t="s">
        <v>3598</v>
      </c>
      <c r="G10" s="3396">
        <f>'[1]整体综合指标（报规含已建区和小学）'!P11</f>
        <v>13.35</v>
      </c>
      <c r="H10" s="3400">
        <f>G10/G6</f>
        <v>0.23674410356446177</v>
      </c>
      <c r="I10" s="3399">
        <f>'[1]整体综合指标（报规含已建区和小学）'!R11</f>
        <v>5.773422363686687</v>
      </c>
    </row>
    <row r="11" spans="1:11" ht="18.75" customHeight="1">
      <c r="A11" s="3631"/>
      <c r="B11" s="3632" t="s">
        <v>3602</v>
      </c>
      <c r="C11" s="3632"/>
      <c r="D11" s="3632"/>
      <c r="E11" s="3632"/>
      <c r="F11" s="3396" t="s">
        <v>3603</v>
      </c>
      <c r="G11" s="3401">
        <f>'[1]整体综合指标（报规含已建区和小学）'!G25+1</f>
        <v>23124.2</v>
      </c>
      <c r="H11" s="3396" t="s">
        <v>3604</v>
      </c>
      <c r="I11" s="3397" t="s">
        <v>3604</v>
      </c>
    </row>
    <row r="12" spans="1:11" ht="45.75" customHeight="1">
      <c r="A12" s="3631"/>
      <c r="B12" s="3632" t="s">
        <v>3605</v>
      </c>
      <c r="C12" s="3632"/>
      <c r="D12" s="3632"/>
      <c r="E12" s="3632"/>
      <c r="F12" s="3396" t="s">
        <v>3606</v>
      </c>
      <c r="G12" s="3396">
        <f>'[1]整体综合指标（报规含已建区和小学）'!G23</f>
        <v>7226</v>
      </c>
      <c r="H12" s="3396" t="s">
        <v>3604</v>
      </c>
      <c r="I12" s="3397" t="s">
        <v>3604</v>
      </c>
    </row>
    <row r="13" spans="1:11" ht="14.25">
      <c r="A13" s="3631" t="s">
        <v>3607</v>
      </c>
      <c r="B13" s="3632" t="s">
        <v>3608</v>
      </c>
      <c r="C13" s="3632"/>
      <c r="D13" s="3632"/>
      <c r="E13" s="3632"/>
      <c r="F13" s="3396" t="s">
        <v>3609</v>
      </c>
      <c r="G13" s="3396">
        <v>563878.40000000002</v>
      </c>
      <c r="H13" s="3396" t="s">
        <v>3604</v>
      </c>
      <c r="I13" s="3399">
        <f>I6</f>
        <v>24.386763077774699</v>
      </c>
    </row>
    <row r="14" spans="1:11" ht="14.25">
      <c r="A14" s="3631"/>
      <c r="B14" s="3632" t="s">
        <v>3610</v>
      </c>
      <c r="C14" s="3632"/>
      <c r="D14" s="3632"/>
      <c r="E14" s="3632"/>
      <c r="F14" s="3396" t="s">
        <v>3611</v>
      </c>
      <c r="G14" s="3402">
        <f>G16/G13</f>
        <v>1.4741667352393706</v>
      </c>
      <c r="H14" s="3396" t="s">
        <v>3604</v>
      </c>
      <c r="I14" s="3397" t="s">
        <v>3604</v>
      </c>
    </row>
    <row r="15" spans="1:11" ht="14.25">
      <c r="A15" s="3631"/>
      <c r="B15" s="3632" t="s">
        <v>3612</v>
      </c>
      <c r="C15" s="3632"/>
      <c r="D15" s="3632"/>
      <c r="E15" s="3632"/>
      <c r="F15" s="3396" t="s">
        <v>3611</v>
      </c>
      <c r="G15" s="3402">
        <f>G16+G24</f>
        <v>1122986.6499999999</v>
      </c>
      <c r="H15" s="3396" t="s">
        <v>3604</v>
      </c>
      <c r="I15" s="3397" t="s">
        <v>3604</v>
      </c>
      <c r="J15" s="3228"/>
    </row>
    <row r="16" spans="1:11" ht="14.25">
      <c r="A16" s="3631"/>
      <c r="B16" s="3641" t="s">
        <v>3491</v>
      </c>
      <c r="C16" s="3632" t="s">
        <v>3613</v>
      </c>
      <c r="D16" s="3632"/>
      <c r="E16" s="3632"/>
      <c r="F16" s="3396" t="s">
        <v>3609</v>
      </c>
      <c r="G16" s="3402">
        <f>'[1]整体综合指标（报规含已建区和小学）'!G10</f>
        <v>831250.77999999991</v>
      </c>
      <c r="H16" s="3398">
        <f>SUM(H17:H23)</f>
        <v>1</v>
      </c>
      <c r="I16" s="3397" t="s">
        <v>3604</v>
      </c>
      <c r="K16" s="3044">
        <v>831029.98</v>
      </c>
    </row>
    <row r="17" spans="1:11" ht="14.25">
      <c r="A17" s="3631"/>
      <c r="B17" s="3642"/>
      <c r="C17" s="3641" t="s">
        <v>3151</v>
      </c>
      <c r="D17" s="3644" t="s">
        <v>3614</v>
      </c>
      <c r="E17" s="3644"/>
      <c r="F17" s="3396" t="s">
        <v>3609</v>
      </c>
      <c r="G17" s="3396">
        <f>'[1]整体综合指标（报规含已建区和小学）'!G11</f>
        <v>795327.7</v>
      </c>
      <c r="H17" s="3400">
        <f>G17/G16</f>
        <v>0.95678430521292268</v>
      </c>
      <c r="I17" s="3397" t="s">
        <v>3604</v>
      </c>
      <c r="K17" s="3403">
        <f>K16-G16</f>
        <v>-220.79999999993015</v>
      </c>
    </row>
    <row r="18" spans="1:11" ht="14.25">
      <c r="A18" s="3631"/>
      <c r="B18" s="3642"/>
      <c r="C18" s="3642"/>
      <c r="D18" s="3642" t="s">
        <v>3151</v>
      </c>
      <c r="E18" s="3404" t="s">
        <v>3572</v>
      </c>
      <c r="F18" s="3396" t="s">
        <v>3609</v>
      </c>
      <c r="G18" s="3402">
        <f>'[1]整体综合指标（报规含已建区和小学）'!G12</f>
        <v>8063.96</v>
      </c>
      <c r="H18" s="3398"/>
      <c r="I18" s="3397" t="s">
        <v>3615</v>
      </c>
    </row>
    <row r="19" spans="1:11" ht="14.25">
      <c r="A19" s="3631"/>
      <c r="B19" s="3642"/>
      <c r="C19" s="3642"/>
      <c r="D19" s="3642"/>
      <c r="E19" s="3405" t="s">
        <v>3573</v>
      </c>
      <c r="F19" s="3396" t="s">
        <v>3609</v>
      </c>
      <c r="G19" s="3396">
        <f>'[1]整体综合指标（报规含已建区和小学）'!G13</f>
        <v>8395.68</v>
      </c>
      <c r="H19" s="3400"/>
      <c r="I19" s="3397" t="s">
        <v>3616</v>
      </c>
    </row>
    <row r="20" spans="1:11" ht="14.25">
      <c r="A20" s="3631"/>
      <c r="B20" s="3642"/>
      <c r="C20" s="3642"/>
      <c r="D20" s="3644" t="s">
        <v>3617</v>
      </c>
      <c r="E20" s="3644"/>
      <c r="F20" s="3396" t="s">
        <v>3609</v>
      </c>
      <c r="G20" s="3396">
        <f>'[1]整体综合指标（报规含已建区和小学）'!G18+'[1]整体综合指标（报规含已建区和小学）'!G16</f>
        <v>22925.85</v>
      </c>
      <c r="H20" s="3400">
        <f>G20/G16</f>
        <v>2.757994404528559E-2</v>
      </c>
      <c r="I20" s="3397" t="s">
        <v>3604</v>
      </c>
    </row>
    <row r="21" spans="1:11" ht="14.25">
      <c r="A21" s="3631"/>
      <c r="B21" s="3642"/>
      <c r="C21" s="3642"/>
      <c r="D21" s="3644" t="s">
        <v>3495</v>
      </c>
      <c r="E21" s="3644"/>
      <c r="F21" s="3396" t="s">
        <v>3609</v>
      </c>
      <c r="G21" s="3396">
        <f>'[1]整体综合指标（报规含已建区和小学）'!G14</f>
        <v>6138.5300000000007</v>
      </c>
      <c r="H21" s="3400">
        <f>G21/G16</f>
        <v>7.3846908149668156E-3</v>
      </c>
      <c r="I21" s="3397" t="s">
        <v>3618</v>
      </c>
    </row>
    <row r="22" spans="1:11" ht="14.25">
      <c r="A22" s="3631"/>
      <c r="B22" s="3642"/>
      <c r="C22" s="3642"/>
      <c r="D22" s="3644" t="s">
        <v>3619</v>
      </c>
      <c r="E22" s="3644"/>
      <c r="F22" s="3396" t="s">
        <v>3620</v>
      </c>
      <c r="G22" s="3396">
        <f>'[1]整体综合指标（报规含已建区和小学）'!G15</f>
        <v>6100</v>
      </c>
      <c r="H22" s="3400">
        <f>G22/G16</f>
        <v>7.338338978761621E-3</v>
      </c>
      <c r="I22" s="3399" t="s">
        <v>3618</v>
      </c>
    </row>
    <row r="23" spans="1:11" ht="14.25">
      <c r="A23" s="3631"/>
      <c r="B23" s="3643"/>
      <c r="C23" s="3643"/>
      <c r="D23" s="3644" t="s">
        <v>3621</v>
      </c>
      <c r="E23" s="3644"/>
      <c r="F23" s="3396" t="s">
        <v>3620</v>
      </c>
      <c r="G23" s="3396">
        <f>'[1]整体综合指标（报规含已建区和小学）'!G17</f>
        <v>758.7</v>
      </c>
      <c r="H23" s="3400">
        <f>G23/G16</f>
        <v>9.1272094806335113E-4</v>
      </c>
      <c r="I23" s="3397" t="s">
        <v>3622</v>
      </c>
    </row>
    <row r="24" spans="1:11" ht="14.25">
      <c r="A24" s="3631"/>
      <c r="B24" s="3632" t="s">
        <v>3623</v>
      </c>
      <c r="C24" s="3632"/>
      <c r="D24" s="3632"/>
      <c r="E24" s="3632"/>
      <c r="F24" s="3396" t="s">
        <v>3624</v>
      </c>
      <c r="G24" s="3396">
        <f>'[1]整体综合指标（报规含已建区和小学）'!G19</f>
        <v>291735.87</v>
      </c>
      <c r="H24" s="3406"/>
      <c r="I24" s="3397" t="s">
        <v>3604</v>
      </c>
      <c r="J24" s="3044">
        <v>291831.18</v>
      </c>
      <c r="K24" s="3044">
        <f>J24-G24</f>
        <v>95.309999999997672</v>
      </c>
    </row>
    <row r="25" spans="1:11" ht="15.75" customHeight="1">
      <c r="A25" s="3631"/>
      <c r="B25" s="3641" t="s">
        <v>3625</v>
      </c>
      <c r="C25" s="3641" t="s">
        <v>3151</v>
      </c>
      <c r="D25" s="3641" t="s">
        <v>3626</v>
      </c>
      <c r="E25" s="3407" t="s">
        <v>3627</v>
      </c>
      <c r="F25" s="3396" t="s">
        <v>3609</v>
      </c>
      <c r="G25" s="3396">
        <f>'[1]整体综合指标（报规含已建区和小学）'!G21</f>
        <v>182335.78000000003</v>
      </c>
      <c r="H25" s="3408"/>
      <c r="I25" s="3409"/>
    </row>
    <row r="26" spans="1:11" ht="14.25">
      <c r="A26" s="3631"/>
      <c r="B26" s="3642"/>
      <c r="C26" s="3642"/>
      <c r="D26" s="3642"/>
      <c r="E26" s="3410" t="s">
        <v>3628</v>
      </c>
      <c r="F26" s="3396" t="s">
        <v>3609</v>
      </c>
      <c r="G26" s="3396">
        <f>'[1]整体综合指标（报规含已建区和小学）'!G20</f>
        <v>109400.09</v>
      </c>
      <c r="H26" s="3406"/>
      <c r="I26" s="3397"/>
    </row>
    <row r="27" spans="1:11" ht="14.25">
      <c r="A27" s="3631"/>
      <c r="B27" s="3643"/>
      <c r="C27" s="3632" t="s">
        <v>3629</v>
      </c>
      <c r="D27" s="3632"/>
      <c r="E27" s="3632"/>
      <c r="F27" s="3396" t="s">
        <v>3609</v>
      </c>
      <c r="G27" s="3396">
        <v>75960.931400000001</v>
      </c>
      <c r="H27" s="3406"/>
      <c r="I27" s="3397"/>
    </row>
    <row r="28" spans="1:11" ht="14.25">
      <c r="A28" s="3631"/>
      <c r="B28" s="3632" t="s">
        <v>3630</v>
      </c>
      <c r="C28" s="3632"/>
      <c r="D28" s="3632"/>
      <c r="E28" s="3632"/>
      <c r="F28" s="3396" t="s">
        <v>3631</v>
      </c>
      <c r="G28" s="3396">
        <f>'[1]整体综合指标（报规含已建区和小学）'!G27</f>
        <v>30.1</v>
      </c>
      <c r="H28" s="3396" t="s">
        <v>3604</v>
      </c>
      <c r="I28" s="3397" t="s">
        <v>3604</v>
      </c>
    </row>
    <row r="29" spans="1:11" ht="14.25">
      <c r="A29" s="3631"/>
      <c r="B29" s="3632" t="s">
        <v>3632</v>
      </c>
      <c r="C29" s="3632"/>
      <c r="D29" s="3632"/>
      <c r="E29" s="3632"/>
      <c r="F29" s="3396" t="s">
        <v>3609</v>
      </c>
      <c r="G29" s="3396">
        <v>23100</v>
      </c>
      <c r="H29" s="3396" t="s">
        <v>3604</v>
      </c>
      <c r="I29" s="3411">
        <v>1</v>
      </c>
    </row>
    <row r="30" spans="1:11" ht="14.25">
      <c r="A30" s="3631"/>
      <c r="B30" s="3632" t="s">
        <v>3633</v>
      </c>
      <c r="C30" s="3632"/>
      <c r="D30" s="3632"/>
      <c r="E30" s="3632"/>
      <c r="F30" s="3396" t="s">
        <v>3606</v>
      </c>
      <c r="G30" s="3396">
        <f>'[1]整体综合指标（报规含已建区和小学）'!G23</f>
        <v>7226</v>
      </c>
      <c r="H30" s="3396" t="s">
        <v>3604</v>
      </c>
      <c r="I30" s="3397" t="s">
        <v>3604</v>
      </c>
    </row>
    <row r="31" spans="1:11" ht="14.25">
      <c r="A31" s="3631"/>
      <c r="B31" s="3632" t="s">
        <v>3634</v>
      </c>
      <c r="C31" s="3632"/>
      <c r="D31" s="3632"/>
      <c r="E31" s="3632"/>
      <c r="F31" s="3396" t="s">
        <v>3635</v>
      </c>
      <c r="G31" s="3412">
        <f>G17/G30</f>
        <v>110.06472460559091</v>
      </c>
      <c r="H31" s="3396" t="s">
        <v>3604</v>
      </c>
      <c r="I31" s="3397" t="s">
        <v>3604</v>
      </c>
    </row>
    <row r="32" spans="1:11" ht="14.25">
      <c r="A32" s="3631"/>
      <c r="B32" s="3632" t="s">
        <v>3636</v>
      </c>
      <c r="C32" s="3632"/>
      <c r="D32" s="3632"/>
      <c r="E32" s="3632"/>
      <c r="F32" s="3396" t="s">
        <v>3603</v>
      </c>
      <c r="G32" s="3401">
        <f>'[1]整体综合指标（报规含已建区和小学）'!G25+1</f>
        <v>23124.2</v>
      </c>
      <c r="H32" s="3396" t="s">
        <v>3604</v>
      </c>
      <c r="I32" s="3397" t="s">
        <v>3604</v>
      </c>
    </row>
    <row r="33" spans="1:16" ht="14.25">
      <c r="A33" s="3631"/>
      <c r="B33" s="3632" t="s">
        <v>3637</v>
      </c>
      <c r="C33" s="3632"/>
      <c r="D33" s="3632"/>
      <c r="E33" s="3632"/>
      <c r="F33" s="3396" t="s">
        <v>3631</v>
      </c>
      <c r="G33" s="3396">
        <f>'[1]整体综合指标（报规含已建区和小学）'!G26</f>
        <v>29.9</v>
      </c>
      <c r="H33" s="3396" t="s">
        <v>3604</v>
      </c>
      <c r="I33" s="3397" t="s">
        <v>3604</v>
      </c>
    </row>
    <row r="34" spans="1:16" ht="14.25">
      <c r="A34" s="3631"/>
      <c r="B34" s="3632" t="s">
        <v>3638</v>
      </c>
      <c r="C34" s="3632"/>
      <c r="D34" s="3632"/>
      <c r="E34" s="3632"/>
      <c r="F34" s="3396" t="s">
        <v>3639</v>
      </c>
      <c r="G34" s="3401">
        <f>G17/K34</f>
        <v>4.7170754794755343</v>
      </c>
      <c r="H34" s="3396" t="s">
        <v>3604</v>
      </c>
      <c r="I34" s="3397" t="s">
        <v>3604</v>
      </c>
      <c r="K34" s="3044">
        <f>G6*10000*G33/100</f>
        <v>168606.1</v>
      </c>
    </row>
    <row r="35" spans="1:16" ht="14.25">
      <c r="A35" s="3631"/>
      <c r="B35" s="3632" t="s">
        <v>3640</v>
      </c>
      <c r="C35" s="3632"/>
      <c r="D35" s="3632"/>
      <c r="E35" s="3632"/>
      <c r="F35" s="3396" t="s">
        <v>3641</v>
      </c>
      <c r="G35" s="3396">
        <v>34.950000000000003</v>
      </c>
      <c r="H35" s="3396" t="s">
        <v>3604</v>
      </c>
      <c r="I35" s="3397" t="s">
        <v>3604</v>
      </c>
    </row>
    <row r="36" spans="1:16" ht="14.25">
      <c r="A36" s="3631"/>
      <c r="B36" s="3632" t="s">
        <v>3642</v>
      </c>
      <c r="C36" s="3632" t="s">
        <v>3643</v>
      </c>
      <c r="D36" s="3632"/>
      <c r="E36" s="3632"/>
      <c r="F36" s="3396" t="s">
        <v>3644</v>
      </c>
      <c r="G36" s="3396">
        <f>G37+G38</f>
        <v>7324</v>
      </c>
      <c r="H36" s="3396" t="s">
        <v>3604</v>
      </c>
      <c r="I36" s="3397" t="s">
        <v>3604</v>
      </c>
    </row>
    <row r="37" spans="1:16" ht="14.25">
      <c r="A37" s="3631"/>
      <c r="B37" s="3632"/>
      <c r="C37" s="3634" t="s">
        <v>3151</v>
      </c>
      <c r="D37" s="3635"/>
      <c r="E37" s="3396" t="s">
        <v>3645</v>
      </c>
      <c r="F37" s="3396" t="s">
        <v>3644</v>
      </c>
      <c r="G37" s="3396">
        <f>'[1]整体综合指标（报规含已建区和小学）'!G29</f>
        <v>1097</v>
      </c>
      <c r="H37" s="3396" t="s">
        <v>3604</v>
      </c>
      <c r="I37" s="3397" t="s">
        <v>3604</v>
      </c>
    </row>
    <row r="38" spans="1:16" ht="14.25">
      <c r="A38" s="3631"/>
      <c r="B38" s="3632"/>
      <c r="C38" s="3638"/>
      <c r="D38" s="3639"/>
      <c r="E38" s="3396" t="s">
        <v>3646</v>
      </c>
      <c r="F38" s="3396" t="s">
        <v>3644</v>
      </c>
      <c r="G38" s="3396">
        <f>'[1]整体综合指标（报规含已建区和小学）'!G30</f>
        <v>6227</v>
      </c>
      <c r="H38" s="3396" t="s">
        <v>3604</v>
      </c>
      <c r="I38" s="3397" t="s">
        <v>3604</v>
      </c>
    </row>
    <row r="39" spans="1:16" ht="15" thickBot="1">
      <c r="A39" s="3640"/>
      <c r="B39" s="3645" t="s">
        <v>3647</v>
      </c>
      <c r="C39" s="3645"/>
      <c r="D39" s="3645"/>
      <c r="E39" s="3645"/>
      <c r="F39" s="3413" t="s">
        <v>3644</v>
      </c>
      <c r="G39" s="3413">
        <f>G37</f>
        <v>1097</v>
      </c>
      <c r="H39" s="3413" t="s">
        <v>3648</v>
      </c>
      <c r="I39" s="3414" t="s">
        <v>3648</v>
      </c>
      <c r="M39" s="3044">
        <f>'[1]整体综合指标（报规含已建区和小学）'!P37</f>
        <v>13204.53</v>
      </c>
    </row>
    <row r="40" spans="1:16">
      <c r="J40" s="3646"/>
      <c r="K40" s="3649" t="s">
        <v>3649</v>
      </c>
      <c r="L40" s="3650"/>
      <c r="M40" s="3650"/>
      <c r="N40" s="3650"/>
      <c r="O40" s="3651"/>
    </row>
    <row r="41" spans="1:16">
      <c r="J41" s="3647"/>
      <c r="K41" s="3652" t="s">
        <v>3536</v>
      </c>
      <c r="L41" s="3624"/>
      <c r="M41" s="3301" t="s">
        <v>3537</v>
      </c>
      <c r="N41" s="3301" t="s">
        <v>3538</v>
      </c>
      <c r="O41" s="3415" t="s">
        <v>3216</v>
      </c>
    </row>
    <row r="42" spans="1:16">
      <c r="J42" s="3647"/>
      <c r="K42" s="3416" t="s">
        <v>3541</v>
      </c>
      <c r="L42" s="3301" t="s">
        <v>3219</v>
      </c>
      <c r="M42" s="3367">
        <f>'[1]整体综合指标（报规含已建区和小学）'!P38</f>
        <v>6100</v>
      </c>
      <c r="N42" s="3301" t="s">
        <v>3142</v>
      </c>
      <c r="O42" s="3415"/>
    </row>
    <row r="43" spans="1:16">
      <c r="J43" s="3647"/>
      <c r="K43" s="3653" t="s">
        <v>3543</v>
      </c>
      <c r="L43" s="3656" t="s">
        <v>3154</v>
      </c>
      <c r="M43" s="3656">
        <f>'[1]整体综合指标（报规含已建区和小学）'!G16</f>
        <v>13204.53</v>
      </c>
      <c r="N43" s="3656" t="s">
        <v>3142</v>
      </c>
      <c r="O43" s="3659"/>
    </row>
    <row r="44" spans="1:16">
      <c r="J44" s="3647"/>
      <c r="K44" s="3654"/>
      <c r="L44" s="3657"/>
      <c r="M44" s="3657"/>
      <c r="N44" s="3657"/>
      <c r="O44" s="3660"/>
    </row>
    <row r="45" spans="1:16">
      <c r="J45" s="3647"/>
      <c r="K45" s="3654"/>
      <c r="L45" s="3657"/>
      <c r="M45" s="3657"/>
      <c r="N45" s="3657"/>
      <c r="O45" s="3660"/>
      <c r="P45" s="3044">
        <v>13122.29</v>
      </c>
    </row>
    <row r="46" spans="1:16">
      <c r="J46" s="3647"/>
      <c r="K46" s="3654"/>
      <c r="L46" s="3657"/>
      <c r="M46" s="3657"/>
      <c r="N46" s="3657"/>
      <c r="O46" s="3660"/>
    </row>
    <row r="47" spans="1:16">
      <c r="J47" s="3647"/>
      <c r="K47" s="3654"/>
      <c r="L47" s="3657"/>
      <c r="M47" s="3657"/>
      <c r="N47" s="3657"/>
      <c r="O47" s="3660"/>
    </row>
    <row r="48" spans="1:16">
      <c r="J48" s="3647"/>
      <c r="K48" s="3655"/>
      <c r="L48" s="3658"/>
      <c r="M48" s="3658"/>
      <c r="N48" s="3658"/>
      <c r="O48" s="3661"/>
    </row>
    <row r="49" spans="10:16">
      <c r="J49" s="3647"/>
      <c r="K49" s="3653" t="s">
        <v>3554</v>
      </c>
      <c r="L49" s="3301" t="s">
        <v>3284</v>
      </c>
      <c r="M49" s="3301">
        <f>'[1]整体综合指标（报规含已建区和小学）'!P49</f>
        <v>20.88</v>
      </c>
      <c r="N49" s="3301" t="s">
        <v>3142</v>
      </c>
      <c r="O49" s="3417" t="s">
        <v>3650</v>
      </c>
      <c r="P49" s="3044">
        <v>20.54</v>
      </c>
    </row>
    <row r="50" spans="10:16">
      <c r="J50" s="3647"/>
      <c r="K50" s="3654"/>
      <c r="L50" s="3301" t="s">
        <v>3288</v>
      </c>
      <c r="M50" s="3301">
        <f>'[1]整体综合指标（报规含已建区和小学）'!P48</f>
        <v>87.57</v>
      </c>
      <c r="N50" s="3301" t="s">
        <v>3142</v>
      </c>
      <c r="O50" s="3417" t="s">
        <v>3516</v>
      </c>
      <c r="P50" s="3044">
        <v>87.57</v>
      </c>
    </row>
    <row r="51" spans="10:16">
      <c r="J51" s="3647"/>
      <c r="K51" s="3654"/>
      <c r="L51" s="3301" t="s">
        <v>3289</v>
      </c>
      <c r="M51" s="3301">
        <f>'[1]整体综合指标（报规含已建区和小学）'!P57</f>
        <v>24.41</v>
      </c>
      <c r="N51" s="3301" t="s">
        <v>3142</v>
      </c>
      <c r="O51" s="3417" t="s">
        <v>3651</v>
      </c>
      <c r="P51" s="3044">
        <v>24.39</v>
      </c>
    </row>
    <row r="52" spans="10:16" ht="32.25" customHeight="1">
      <c r="J52" s="3647"/>
      <c r="K52" s="3654"/>
      <c r="L52" s="3301" t="s">
        <v>3555</v>
      </c>
      <c r="M52" s="3301">
        <f>'[1]整体综合指标（报规含已建区和小学）'!P45</f>
        <v>1910.76</v>
      </c>
      <c r="N52" s="3301" t="s">
        <v>3142</v>
      </c>
      <c r="O52" s="3418" t="s">
        <v>3652</v>
      </c>
      <c r="P52" s="3044">
        <v>1907.93</v>
      </c>
    </row>
    <row r="53" spans="10:16">
      <c r="J53" s="3647"/>
      <c r="K53" s="3654"/>
      <c r="L53" s="3388" t="s">
        <v>3557</v>
      </c>
      <c r="M53" s="3389">
        <f>'[1]整体综合指标（报规含已建区和小学）'!P50</f>
        <v>384.17</v>
      </c>
      <c r="N53" s="3389" t="s">
        <v>3142</v>
      </c>
      <c r="O53" s="3415" t="s">
        <v>3653</v>
      </c>
      <c r="P53" s="3044">
        <v>384.17</v>
      </c>
    </row>
    <row r="54" spans="10:16">
      <c r="J54" s="3647"/>
      <c r="K54" s="3654"/>
      <c r="L54" s="3389" t="s">
        <v>3559</v>
      </c>
      <c r="M54" s="3389">
        <f>'[1]整体综合指标（报规含已建区和小学）'!P44</f>
        <v>323.85000000000002</v>
      </c>
      <c r="N54" s="3389" t="s">
        <v>3142</v>
      </c>
      <c r="O54" s="3415" t="s">
        <v>3509</v>
      </c>
      <c r="P54" s="3044">
        <v>323.85000000000002</v>
      </c>
    </row>
    <row r="55" spans="10:16" ht="40.5">
      <c r="J55" s="3647"/>
      <c r="K55" s="3654"/>
      <c r="L55" s="3388" t="s">
        <v>3234</v>
      </c>
      <c r="M55" s="3389">
        <f>'[1]整体综合指标（报规含已建区和小学）'!P51</f>
        <v>1525.13</v>
      </c>
      <c r="N55" s="3389" t="s">
        <v>3142</v>
      </c>
      <c r="O55" s="3419" t="s">
        <v>3654</v>
      </c>
      <c r="P55" s="3044">
        <v>1529.95</v>
      </c>
    </row>
    <row r="56" spans="10:16">
      <c r="J56" s="3647"/>
      <c r="K56" s="3654"/>
      <c r="L56" s="3389" t="s">
        <v>3655</v>
      </c>
      <c r="M56" s="3389">
        <f>'[1]整体综合指标（报规含已建区和小学）'!P39</f>
        <v>6138.5300000000007</v>
      </c>
      <c r="N56" s="3389" t="s">
        <v>3142</v>
      </c>
      <c r="O56" s="3415" t="s">
        <v>3656</v>
      </c>
      <c r="P56" s="3044">
        <v>6138.53</v>
      </c>
    </row>
    <row r="57" spans="10:16" ht="54">
      <c r="J57" s="3647"/>
      <c r="K57" s="3654"/>
      <c r="L57" s="3389" t="s">
        <v>3472</v>
      </c>
      <c r="M57" s="3131">
        <f>'[1]整体综合指标（报规含已建区和小学）'!P54</f>
        <v>2486.1</v>
      </c>
      <c r="N57" s="3389" t="s">
        <v>3142</v>
      </c>
      <c r="O57" s="3419" t="s">
        <v>3657</v>
      </c>
      <c r="P57" s="3044">
        <v>2484.8200000000002</v>
      </c>
    </row>
    <row r="58" spans="10:16" ht="27">
      <c r="J58" s="3647"/>
      <c r="K58" s="3654"/>
      <c r="L58" s="3389" t="s">
        <v>3282</v>
      </c>
      <c r="M58" s="3389">
        <f>'[1]整体综合指标（报规含已建区和小学）'!P47</f>
        <v>155.35</v>
      </c>
      <c r="N58" s="3389" t="s">
        <v>3142</v>
      </c>
      <c r="O58" s="3419" t="s">
        <v>3658</v>
      </c>
      <c r="P58" s="3044">
        <v>156.33000000000001</v>
      </c>
    </row>
    <row r="59" spans="10:16">
      <c r="J59" s="3647"/>
      <c r="K59" s="3654"/>
      <c r="L59" s="3389" t="s">
        <v>3286</v>
      </c>
      <c r="M59" s="3389">
        <f>'[1]整体综合指标（报规含已建区和小学）'!P56</f>
        <v>30.04</v>
      </c>
      <c r="N59" s="3389" t="s">
        <v>3142</v>
      </c>
      <c r="O59" s="3420" t="s">
        <v>3529</v>
      </c>
      <c r="P59" s="3044">
        <v>30.04</v>
      </c>
    </row>
    <row r="60" spans="10:16">
      <c r="J60" s="3647"/>
      <c r="K60" s="3654"/>
      <c r="L60" s="3389" t="s">
        <v>3659</v>
      </c>
      <c r="M60" s="3389">
        <f>'[1]整体综合指标（报规含已建区和小学）'!P46</f>
        <v>64</v>
      </c>
      <c r="N60" s="3389" t="s">
        <v>3142</v>
      </c>
      <c r="O60" s="3421" t="s">
        <v>3513</v>
      </c>
      <c r="P60" s="3044">
        <v>64</v>
      </c>
    </row>
    <row r="61" spans="10:16">
      <c r="J61" s="3647"/>
      <c r="K61" s="3654"/>
      <c r="L61" s="3389" t="s">
        <v>3283</v>
      </c>
      <c r="M61" s="3389"/>
      <c r="N61" s="3389"/>
      <c r="O61" s="3421" t="s">
        <v>3660</v>
      </c>
    </row>
    <row r="62" spans="10:16">
      <c r="J62" s="3647"/>
      <c r="K62" s="3654"/>
      <c r="L62" s="3389" t="s">
        <v>3287</v>
      </c>
      <c r="M62" s="3389">
        <f>'[1]整体综合指标（报规含已建区和小学）'!P53</f>
        <v>55.29</v>
      </c>
      <c r="N62" s="3389" t="s">
        <v>3142</v>
      </c>
      <c r="O62" s="3420" t="s">
        <v>3661</v>
      </c>
      <c r="P62" s="3044">
        <v>58.03</v>
      </c>
    </row>
    <row r="63" spans="10:16">
      <c r="J63" s="3647"/>
      <c r="K63" s="3655"/>
      <c r="L63" s="3389" t="s">
        <v>3285</v>
      </c>
      <c r="M63" s="3389">
        <f>'[1]整体综合指标（报规含已建区和小学）'!P55</f>
        <v>20.14</v>
      </c>
      <c r="N63" s="3389" t="s">
        <v>3142</v>
      </c>
      <c r="O63" s="3420" t="s">
        <v>3662</v>
      </c>
      <c r="P63" s="3044">
        <v>20.14</v>
      </c>
    </row>
    <row r="64" spans="10:16" ht="42" customHeight="1" thickBot="1">
      <c r="J64" s="3648"/>
      <c r="K64" s="3422" t="s">
        <v>3565</v>
      </c>
      <c r="L64" s="3423" t="s">
        <v>3566</v>
      </c>
      <c r="M64" s="3423">
        <f>'[1]整体综合指标（报规含已建区和小学）'!P43</f>
        <v>2633.63</v>
      </c>
      <c r="N64" s="3423" t="s">
        <v>3142</v>
      </c>
      <c r="O64" s="3424" t="s">
        <v>3663</v>
      </c>
      <c r="P64" s="3044">
        <v>2631.15</v>
      </c>
    </row>
    <row r="65" spans="11:15" ht="14.25" thickBot="1">
      <c r="K65" s="3425" t="s">
        <v>3664</v>
      </c>
      <c r="L65" s="3426" t="s">
        <v>3665</v>
      </c>
      <c r="M65" s="3426"/>
      <c r="N65" s="3426"/>
      <c r="O65" s="3427" t="s">
        <v>3666</v>
      </c>
    </row>
    <row r="66" spans="11:15">
      <c r="K66" s="3428"/>
      <c r="L66" s="3429"/>
      <c r="N66" s="3429"/>
      <c r="O66" s="3429"/>
    </row>
    <row r="68" spans="11:15">
      <c r="M68" s="3430">
        <f>SUM(M42:M64)</f>
        <v>35164.37999999999</v>
      </c>
    </row>
  </sheetData>
  <mergeCells count="47">
    <mergeCell ref="J40:J64"/>
    <mergeCell ref="K40:O40"/>
    <mergeCell ref="K41:L41"/>
    <mergeCell ref="K43:K48"/>
    <mergeCell ref="L43:L48"/>
    <mergeCell ref="M43:M48"/>
    <mergeCell ref="N43:N48"/>
    <mergeCell ref="O43:O48"/>
    <mergeCell ref="K49:K63"/>
    <mergeCell ref="D25:D26"/>
    <mergeCell ref="C27:E27"/>
    <mergeCell ref="B39:E39"/>
    <mergeCell ref="B28:E28"/>
    <mergeCell ref="B29:E29"/>
    <mergeCell ref="B30:E30"/>
    <mergeCell ref="B31:E31"/>
    <mergeCell ref="B32:E32"/>
    <mergeCell ref="B33:E33"/>
    <mergeCell ref="B34:E34"/>
    <mergeCell ref="B35:E35"/>
    <mergeCell ref="B36:B38"/>
    <mergeCell ref="C36:E36"/>
    <mergeCell ref="C37:D38"/>
    <mergeCell ref="A13:A39"/>
    <mergeCell ref="B13:E13"/>
    <mergeCell ref="B14:E14"/>
    <mergeCell ref="B15:E15"/>
    <mergeCell ref="B16:B23"/>
    <mergeCell ref="C16:E16"/>
    <mergeCell ref="C17:C23"/>
    <mergeCell ref="D17:E17"/>
    <mergeCell ref="D18:D19"/>
    <mergeCell ref="D20:E20"/>
    <mergeCell ref="D21:E21"/>
    <mergeCell ref="D22:E22"/>
    <mergeCell ref="D23:E23"/>
    <mergeCell ref="B24:E24"/>
    <mergeCell ref="B25:B27"/>
    <mergeCell ref="C25:C26"/>
    <mergeCell ref="A4:I4"/>
    <mergeCell ref="A5:E5"/>
    <mergeCell ref="A6:A12"/>
    <mergeCell ref="B6:B10"/>
    <mergeCell ref="C6:E6"/>
    <mergeCell ref="C7:D10"/>
    <mergeCell ref="B11:E11"/>
    <mergeCell ref="B12:E12"/>
  </mergeCells>
  <phoneticPr fontId="142" type="noConversion"/>
  <pageMargins left="0.7" right="0.7" top="0.75" bottom="0.75" header="0.3" footer="0.3"/>
  <pageSetup paperSize="9" scale="4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X115"/>
  <sheetViews>
    <sheetView zoomScale="85" zoomScaleNormal="85" workbookViewId="0">
      <selection activeCell="J32" sqref="J32"/>
    </sheetView>
  </sheetViews>
  <sheetFormatPr defaultRowHeight="13.5"/>
  <cols>
    <col min="1" max="2" width="9" style="3044"/>
    <col min="3" max="3" width="12.875" style="3044" customWidth="1"/>
    <col min="4" max="4" width="9" style="3044" customWidth="1"/>
    <col min="5" max="5" width="13.75" style="3044" customWidth="1"/>
    <col min="6" max="6" width="20.75" style="3044" customWidth="1"/>
    <col min="7" max="7" width="14.5" style="3044" customWidth="1"/>
    <col min="8" max="8" width="15.75" style="3044" customWidth="1"/>
    <col min="9" max="9" width="23.375" style="3044" customWidth="1"/>
    <col min="10" max="10" width="25.875" style="3044" customWidth="1"/>
    <col min="11" max="12" width="9" style="3044"/>
    <col min="13" max="13" width="10.5" style="3044" bestFit="1" customWidth="1"/>
    <col min="14" max="14" width="12.5" style="3044" customWidth="1"/>
    <col min="15" max="16" width="23" style="3044" customWidth="1"/>
    <col min="17" max="17" width="11" style="3044" customWidth="1"/>
    <col min="18" max="18" width="23.5" style="3044" customWidth="1"/>
    <col min="19" max="19" width="23.75" style="3044" customWidth="1"/>
    <col min="20" max="20" width="9" style="3044"/>
    <col min="21" max="21" width="43.375" style="3044" customWidth="1"/>
    <col min="22" max="22" width="18.875" style="3044" customWidth="1"/>
    <col min="23" max="23" width="68.125" style="3044" customWidth="1"/>
    <col min="24" max="24" width="13.625" style="3044" customWidth="1"/>
    <col min="25" max="16384" width="9" style="3044"/>
  </cols>
  <sheetData>
    <row r="5" spans="1:18" ht="14.25" thickBot="1">
      <c r="C5" s="3122" t="s">
        <v>3483</v>
      </c>
      <c r="D5" s="3120"/>
      <c r="E5" s="3120"/>
      <c r="F5" s="3120"/>
      <c r="G5" s="3120"/>
      <c r="H5" s="3120"/>
      <c r="I5" s="3120"/>
      <c r="J5" s="3120"/>
      <c r="K5" s="3120"/>
      <c r="L5" s="3120"/>
    </row>
    <row r="6" spans="1:18" ht="15" thickTop="1" thickBot="1">
      <c r="C6" s="3662" t="s">
        <v>3484</v>
      </c>
      <c r="D6" s="3662"/>
      <c r="E6" s="3662"/>
      <c r="F6" s="3662"/>
      <c r="G6" s="3662"/>
      <c r="H6" s="3662"/>
      <c r="I6" s="3662"/>
      <c r="J6" s="3120"/>
      <c r="K6" s="3120"/>
      <c r="L6" s="3120"/>
      <c r="N6" s="3663" t="s">
        <v>3485</v>
      </c>
      <c r="O6" s="3664"/>
      <c r="P6" s="3664"/>
      <c r="Q6" s="3664"/>
      <c r="R6" s="3665"/>
    </row>
    <row r="7" spans="1:18" ht="24.75" thickTop="1">
      <c r="C7" s="3301" t="s">
        <v>3134</v>
      </c>
      <c r="D7" s="3624" t="s">
        <v>3135</v>
      </c>
      <c r="E7" s="3624"/>
      <c r="F7" s="3624"/>
      <c r="G7" s="3301" t="s">
        <v>3136</v>
      </c>
      <c r="H7" s="3301" t="s">
        <v>3137</v>
      </c>
      <c r="I7" s="3301" t="s">
        <v>3110</v>
      </c>
      <c r="J7" s="3120"/>
      <c r="K7" s="3120"/>
      <c r="L7" s="3120"/>
      <c r="N7" s="3666" t="s">
        <v>3135</v>
      </c>
      <c r="O7" s="3667"/>
      <c r="P7" s="3353" t="s">
        <v>3486</v>
      </c>
      <c r="Q7" s="3353" t="s">
        <v>3487</v>
      </c>
      <c r="R7" s="3353" t="s">
        <v>3488</v>
      </c>
    </row>
    <row r="8" spans="1:18">
      <c r="A8" s="3044">
        <v>550026.69999999995</v>
      </c>
      <c r="C8" s="3301" t="s">
        <v>3140</v>
      </c>
      <c r="D8" s="3624" t="s">
        <v>3141</v>
      </c>
      <c r="E8" s="3624"/>
      <c r="F8" s="3624"/>
      <c r="G8" s="3301">
        <v>563878.40000000002</v>
      </c>
      <c r="H8" s="3301" t="s">
        <v>3142</v>
      </c>
      <c r="I8" s="3301"/>
      <c r="J8" s="3120"/>
      <c r="K8" s="3120"/>
      <c r="L8" s="3120"/>
      <c r="N8" s="3663" t="s">
        <v>3489</v>
      </c>
      <c r="O8" s="3665"/>
      <c r="P8" s="3354">
        <v>56.39</v>
      </c>
      <c r="Q8" s="3355">
        <f>SUM(Q9:Q12)</f>
        <v>1</v>
      </c>
      <c r="R8" s="3356">
        <f>P8/G25*10000</f>
        <v>24.386763077774699</v>
      </c>
    </row>
    <row r="9" spans="1:18">
      <c r="C9" s="3301" t="s">
        <v>3145</v>
      </c>
      <c r="D9" s="3624" t="s">
        <v>3146</v>
      </c>
      <c r="E9" s="3624"/>
      <c r="F9" s="3624"/>
      <c r="G9" s="3301">
        <f>G10+G19</f>
        <v>1122986.6499999999</v>
      </c>
      <c r="H9" s="3301" t="s">
        <v>3142</v>
      </c>
      <c r="I9" s="3301"/>
      <c r="J9" s="3120">
        <f>G9-Q110</f>
        <v>4.7600000000093132</v>
      </c>
      <c r="K9" s="3120"/>
      <c r="L9" s="3120"/>
      <c r="N9" s="3354">
        <v>1</v>
      </c>
      <c r="O9" s="3354" t="s">
        <v>3490</v>
      </c>
      <c r="P9" s="3354">
        <f>P8-P10-P11-P12</f>
        <v>36.11</v>
      </c>
      <c r="Q9" s="3355">
        <f>P9/P8</f>
        <v>0.64036176627061536</v>
      </c>
      <c r="R9" s="3356">
        <f>P9/G25*10000</f>
        <v>15.616350678106835</v>
      </c>
    </row>
    <row r="10" spans="1:18">
      <c r="A10" s="3044">
        <f>G10-G15</f>
        <v>825150.77999999991</v>
      </c>
      <c r="B10" s="3044">
        <f>A8*B22</f>
        <v>824930.0446599999</v>
      </c>
      <c r="C10" s="3624" t="s">
        <v>3149</v>
      </c>
      <c r="D10" s="3624" t="s">
        <v>3491</v>
      </c>
      <c r="E10" s="3624"/>
      <c r="F10" s="3624"/>
      <c r="G10" s="3301">
        <f>G11+G14+G16+G18+G15+G17</f>
        <v>831250.77999999991</v>
      </c>
      <c r="H10" s="3301" t="s">
        <v>3142</v>
      </c>
      <c r="I10" s="3301"/>
      <c r="J10" s="3120"/>
      <c r="K10" s="3120"/>
      <c r="L10" s="3120"/>
      <c r="N10" s="3354">
        <v>2</v>
      </c>
      <c r="O10" s="3354" t="s">
        <v>3492</v>
      </c>
      <c r="P10" s="3354">
        <v>3.46</v>
      </c>
      <c r="Q10" s="3355">
        <f>P10/P8</f>
        <v>6.1358396878879236E-2</v>
      </c>
      <c r="R10" s="3356">
        <f>P10/G25*10000</f>
        <v>1.4963326875172986</v>
      </c>
    </row>
    <row r="11" spans="1:18">
      <c r="B11" s="3044">
        <f>B10-A10</f>
        <v>-220.73534000001382</v>
      </c>
      <c r="C11" s="3624"/>
      <c r="D11" s="3624" t="s">
        <v>3149</v>
      </c>
      <c r="E11" s="3624" t="s">
        <v>3153</v>
      </c>
      <c r="F11" s="3624"/>
      <c r="G11" s="3301">
        <f>[1]规划区综合指标!G10+[1]已建区指标!H6+[1]已建区指标!H7+[1]已建区指标!H8-[1]已建区指标!L32</f>
        <v>795327.7</v>
      </c>
      <c r="H11" s="3301" t="s">
        <v>3142</v>
      </c>
      <c r="I11" s="3301"/>
      <c r="J11" s="3120">
        <f>G11*0.02</f>
        <v>15906.554</v>
      </c>
      <c r="K11" s="3120"/>
      <c r="L11" s="3120">
        <f>G11*0.02</f>
        <v>15906.554</v>
      </c>
      <c r="N11" s="3354">
        <v>3</v>
      </c>
      <c r="O11" s="3354" t="s">
        <v>3493</v>
      </c>
      <c r="P11" s="3354">
        <v>13.35</v>
      </c>
      <c r="Q11" s="3355">
        <f>P11/P8</f>
        <v>0.23674410356446177</v>
      </c>
      <c r="R11" s="3356">
        <f>P11/G25*10000</f>
        <v>5.773422363686687</v>
      </c>
    </row>
    <row r="12" spans="1:18">
      <c r="C12" s="3624"/>
      <c r="D12" s="3624"/>
      <c r="E12" s="3624" t="s">
        <v>3149</v>
      </c>
      <c r="F12" s="3301" t="s">
        <v>3395</v>
      </c>
      <c r="G12" s="3301">
        <f>[1]规划区综合指标!G14</f>
        <v>8063.96</v>
      </c>
      <c r="H12" s="3301" t="s">
        <v>3142</v>
      </c>
      <c r="I12" s="3301"/>
      <c r="J12" s="3120">
        <f>G11*0.01</f>
        <v>7953.277</v>
      </c>
      <c r="K12" s="3120"/>
      <c r="L12" s="3120"/>
      <c r="N12" s="3354">
        <v>4</v>
      </c>
      <c r="O12" s="3354" t="s">
        <v>3494</v>
      </c>
      <c r="P12" s="3354">
        <v>3.47</v>
      </c>
      <c r="Q12" s="3355">
        <f>P12/P8</f>
        <v>6.1535733286043628E-2</v>
      </c>
      <c r="R12" s="3356">
        <f>P12/G25*10000</f>
        <v>1.5006573484638803</v>
      </c>
    </row>
    <row r="13" spans="1:18">
      <c r="C13" s="3624"/>
      <c r="D13" s="3624"/>
      <c r="E13" s="3624"/>
      <c r="F13" s="3301" t="s">
        <v>3397</v>
      </c>
      <c r="G13" s="3301">
        <f>[1]规划区综合指标!G15</f>
        <v>8395.68</v>
      </c>
      <c r="H13" s="3301" t="s">
        <v>3142</v>
      </c>
      <c r="I13" s="3301"/>
      <c r="J13" s="3120">
        <f>G11*0.01</f>
        <v>7953.277</v>
      </c>
      <c r="K13" s="3120"/>
      <c r="L13" s="3120"/>
    </row>
    <row r="14" spans="1:18">
      <c r="C14" s="3624"/>
      <c r="D14" s="3624"/>
      <c r="E14" s="3619" t="s">
        <v>3495</v>
      </c>
      <c r="F14" s="3614"/>
      <c r="G14" s="3301">
        <f>[1]规划区综合指标!G16</f>
        <v>6138.5300000000007</v>
      </c>
      <c r="H14" s="3357" t="s">
        <v>3142</v>
      </c>
      <c r="I14" s="3349" t="s">
        <v>3162</v>
      </c>
      <c r="J14" s="3120"/>
      <c r="K14" s="3120"/>
      <c r="L14" s="3120"/>
    </row>
    <row r="15" spans="1:18">
      <c r="C15" s="3624"/>
      <c r="D15" s="3624"/>
      <c r="E15" s="3668" t="s">
        <v>3496</v>
      </c>
      <c r="F15" s="3614"/>
      <c r="G15" s="3301">
        <v>6100</v>
      </c>
      <c r="H15" s="3357" t="s">
        <v>3142</v>
      </c>
      <c r="I15" s="3349" t="s">
        <v>3497</v>
      </c>
      <c r="J15" s="3120"/>
      <c r="K15" s="3120"/>
      <c r="L15" s="3120"/>
    </row>
    <row r="16" spans="1:18">
      <c r="C16" s="3624"/>
      <c r="D16" s="3624"/>
      <c r="E16" s="3624" t="s">
        <v>3165</v>
      </c>
      <c r="F16" s="3624"/>
      <c r="G16" s="3301">
        <f>[1]规划区综合指标!G17+[1]已建区指标!L15</f>
        <v>13204.53</v>
      </c>
      <c r="H16" s="3301" t="s">
        <v>3142</v>
      </c>
      <c r="I16" s="3301"/>
      <c r="J16" s="3120"/>
      <c r="K16" s="3120">
        <f>SUM(G12:G16)</f>
        <v>41902.699999999997</v>
      </c>
      <c r="L16" s="3120"/>
    </row>
    <row r="17" spans="1:12">
      <c r="C17" s="3624"/>
      <c r="D17" s="3624"/>
      <c r="E17" s="3619" t="s">
        <v>3367</v>
      </c>
      <c r="F17" s="3614"/>
      <c r="G17" s="3301">
        <f>[1]规划区综合指标!G18</f>
        <v>758.7</v>
      </c>
      <c r="H17" s="3301" t="s">
        <v>3142</v>
      </c>
      <c r="I17" s="3301"/>
      <c r="J17" s="3120"/>
      <c r="K17" s="3120"/>
      <c r="L17" s="3120"/>
    </row>
    <row r="18" spans="1:12" ht="40.5">
      <c r="C18" s="3624"/>
      <c r="D18" s="3624"/>
      <c r="E18" s="3624" t="s">
        <v>3168</v>
      </c>
      <c r="F18" s="3624"/>
      <c r="G18" s="3301">
        <f>[1]规划区综合指标!G19+[1]已建区指标!L19</f>
        <v>9721.32</v>
      </c>
      <c r="H18" s="3301" t="s">
        <v>3142</v>
      </c>
      <c r="I18" s="3336" t="s">
        <v>3498</v>
      </c>
      <c r="J18" s="3120">
        <f>SUM(E46:E70)</f>
        <v>9721.3200000000015</v>
      </c>
      <c r="K18" s="3120">
        <f>G18-245.6</f>
        <v>9475.7199999999993</v>
      </c>
      <c r="L18" s="3120"/>
    </row>
    <row r="19" spans="1:12">
      <c r="C19" s="3624"/>
      <c r="D19" s="3624" t="s">
        <v>3171</v>
      </c>
      <c r="E19" s="3624"/>
      <c r="F19" s="3624"/>
      <c r="G19" s="3301">
        <f>G20+G21</f>
        <v>291735.87</v>
      </c>
      <c r="H19" s="3301" t="s">
        <v>3142</v>
      </c>
      <c r="I19" s="3301"/>
      <c r="J19" s="3120">
        <f>J18+90.45</f>
        <v>9811.7700000000023</v>
      </c>
      <c r="K19" s="3120"/>
      <c r="L19" s="3120">
        <f>G11-[1]已建区指标!H9+[1]已建区指标!L32</f>
        <v>628150.41</v>
      </c>
    </row>
    <row r="20" spans="1:12">
      <c r="C20" s="3624"/>
      <c r="D20" s="3624" t="s">
        <v>3149</v>
      </c>
      <c r="E20" s="3624" t="s">
        <v>3172</v>
      </c>
      <c r="F20" s="3624"/>
      <c r="G20" s="3301">
        <f>[1]规划区综合指标!G21+[1]已建区指标!I6+[1]已建区指标!I7+[1]已建区指标!I8</f>
        <v>109400.09</v>
      </c>
      <c r="H20" s="3301" t="s">
        <v>3142</v>
      </c>
      <c r="I20" s="3301"/>
      <c r="J20" s="3120"/>
      <c r="K20" s="3120"/>
      <c r="L20" s="3120"/>
    </row>
    <row r="21" spans="1:12">
      <c r="C21" s="3624"/>
      <c r="D21" s="3624"/>
      <c r="E21" s="3624" t="s">
        <v>3173</v>
      </c>
      <c r="F21" s="3624"/>
      <c r="G21" s="3301">
        <f>[1]规划区综合指标!G22+[1]已建区指标!E6+[1]已建区指标!E8</f>
        <v>182335.78000000003</v>
      </c>
      <c r="H21" s="3301" t="s">
        <v>3142</v>
      </c>
      <c r="I21" s="3301"/>
      <c r="J21" s="3120"/>
      <c r="K21" s="3120"/>
      <c r="L21" s="3120">
        <f>G16-300.5</f>
        <v>12904.03</v>
      </c>
    </row>
    <row r="22" spans="1:12">
      <c r="A22" s="3044">
        <f>A10/A8</f>
        <v>1.5002013174996778</v>
      </c>
      <c r="B22" s="3044">
        <v>1.4998</v>
      </c>
      <c r="C22" s="3301" t="s">
        <v>3176</v>
      </c>
      <c r="D22" s="3624" t="s">
        <v>3177</v>
      </c>
      <c r="E22" s="3624"/>
      <c r="F22" s="3624"/>
      <c r="G22" s="3358">
        <f>G10/G8</f>
        <v>1.4741667352393706</v>
      </c>
      <c r="H22" s="3301"/>
      <c r="I22" s="3301"/>
      <c r="J22" s="3120"/>
      <c r="K22" s="3120"/>
      <c r="L22" s="3120"/>
    </row>
    <row r="23" spans="1:12">
      <c r="C23" s="3301" t="s">
        <v>3179</v>
      </c>
      <c r="D23" s="3624" t="s">
        <v>3180</v>
      </c>
      <c r="E23" s="3624"/>
      <c r="F23" s="3624"/>
      <c r="G23" s="3301">
        <f>[1]规划区综合指标!G24+[1]已建区指标!K6+[1]已建区指标!K7+[1]已建区指标!K8</f>
        <v>7226</v>
      </c>
      <c r="H23" s="3301" t="s">
        <v>3181</v>
      </c>
      <c r="I23" s="3301"/>
      <c r="J23" s="3120"/>
      <c r="K23" s="3120"/>
      <c r="L23" s="3120">
        <f>G18-[1]已建区指标!L19</f>
        <v>8613.16</v>
      </c>
    </row>
    <row r="24" spans="1:12">
      <c r="C24" s="3301" t="s">
        <v>3183</v>
      </c>
      <c r="D24" s="3624" t="s">
        <v>3184</v>
      </c>
      <c r="E24" s="3624"/>
      <c r="F24" s="3624"/>
      <c r="G24" s="3301">
        <v>3.2</v>
      </c>
      <c r="H24" s="3301" t="s">
        <v>3185</v>
      </c>
      <c r="I24" s="3301"/>
      <c r="J24" s="3120"/>
      <c r="K24" s="3120"/>
      <c r="L24" s="3120"/>
    </row>
    <row r="25" spans="1:12">
      <c r="C25" s="3301" t="s">
        <v>3187</v>
      </c>
      <c r="D25" s="3624" t="s">
        <v>3188</v>
      </c>
      <c r="E25" s="3624"/>
      <c r="F25" s="3624"/>
      <c r="G25" s="3359">
        <f>G23*G24</f>
        <v>23123.200000000001</v>
      </c>
      <c r="H25" s="3301" t="s">
        <v>3189</v>
      </c>
      <c r="I25" s="3301"/>
      <c r="J25" s="3120"/>
      <c r="K25" s="3120"/>
      <c r="L25" s="3120"/>
    </row>
    <row r="26" spans="1:12">
      <c r="C26" s="3301" t="s">
        <v>3191</v>
      </c>
      <c r="D26" s="3624" t="s">
        <v>3192</v>
      </c>
      <c r="E26" s="3624"/>
      <c r="F26" s="3624"/>
      <c r="G26" s="3301">
        <v>29.9</v>
      </c>
      <c r="H26" s="3301" t="s">
        <v>3193</v>
      </c>
      <c r="I26" s="3301"/>
      <c r="J26" s="3120"/>
      <c r="K26" s="3120"/>
      <c r="L26" s="3120"/>
    </row>
    <row r="27" spans="1:12">
      <c r="C27" s="3301" t="s">
        <v>3195</v>
      </c>
      <c r="D27" s="3624" t="s">
        <v>3196</v>
      </c>
      <c r="E27" s="3624"/>
      <c r="F27" s="3624"/>
      <c r="G27" s="3301">
        <v>30.1</v>
      </c>
      <c r="H27" s="3301" t="s">
        <v>3193</v>
      </c>
      <c r="I27" s="3301"/>
      <c r="J27" s="3120"/>
      <c r="K27" s="3120"/>
      <c r="L27" s="3120"/>
    </row>
    <row r="28" spans="1:12">
      <c r="C28" s="3301" t="s">
        <v>3197</v>
      </c>
      <c r="D28" s="3624" t="s">
        <v>3198</v>
      </c>
      <c r="E28" s="3624"/>
      <c r="F28" s="3624"/>
      <c r="G28" s="3359">
        <f>G29+G30</f>
        <v>7324</v>
      </c>
      <c r="H28" s="3301" t="s">
        <v>3199</v>
      </c>
      <c r="I28" s="3301"/>
      <c r="J28" s="3173">
        <f>G23*1+G16/10000*65</f>
        <v>7311.8294450000003</v>
      </c>
      <c r="K28" s="3173">
        <f>G28-J28</f>
        <v>12.170554999999695</v>
      </c>
      <c r="L28" s="3173"/>
    </row>
    <row r="29" spans="1:12">
      <c r="C29" s="3624"/>
      <c r="D29" s="3624" t="s">
        <v>3149</v>
      </c>
      <c r="E29" s="3624" t="s">
        <v>3201</v>
      </c>
      <c r="F29" s="3624"/>
      <c r="G29" s="3359">
        <f>[1]规划区综合指标!G30</f>
        <v>1097</v>
      </c>
      <c r="H29" s="3301" t="s">
        <v>3199</v>
      </c>
      <c r="I29" s="3301"/>
      <c r="J29" s="3173">
        <f>J28*0.2</f>
        <v>1462.3658890000002</v>
      </c>
      <c r="K29" s="3173"/>
      <c r="L29" s="3173"/>
    </row>
    <row r="30" spans="1:12">
      <c r="C30" s="3624"/>
      <c r="D30" s="3624"/>
      <c r="E30" s="3624" t="s">
        <v>3203</v>
      </c>
      <c r="F30" s="3624"/>
      <c r="G30" s="3359">
        <f>[1]规划区综合指标!G31+[1]已建区指标!O8</f>
        <v>6227</v>
      </c>
      <c r="H30" s="3301" t="s">
        <v>3199</v>
      </c>
      <c r="I30" s="3301"/>
      <c r="J30" s="3173">
        <f>J28-J29</f>
        <v>5849.4635560000006</v>
      </c>
      <c r="K30" s="3173"/>
      <c r="L30" s="3173"/>
    </row>
    <row r="34" spans="3:22" ht="14.25" thickBot="1"/>
    <row r="35" spans="3:22" ht="15" thickTop="1" thickBot="1">
      <c r="C35" s="3606" t="s">
        <v>3211</v>
      </c>
      <c r="D35" s="3607"/>
      <c r="E35" s="3607"/>
      <c r="F35" s="3607"/>
      <c r="G35" s="3607"/>
      <c r="N35" s="3669" t="s">
        <v>3499</v>
      </c>
      <c r="O35" s="3669"/>
      <c r="P35" s="3669"/>
      <c r="Q35" s="3669"/>
      <c r="R35" s="3669"/>
      <c r="S35" s="3120"/>
      <c r="T35" s="3120"/>
      <c r="U35" s="3120"/>
      <c r="V35" s="3120"/>
    </row>
    <row r="36" spans="3:22" ht="14.25" thickTop="1">
      <c r="C36" s="3113"/>
      <c r="D36" s="3113"/>
      <c r="E36" s="3114" t="s">
        <v>3214</v>
      </c>
      <c r="F36" s="3059" t="s">
        <v>3215</v>
      </c>
      <c r="G36" s="3059" t="s">
        <v>3216</v>
      </c>
      <c r="H36" s="3360" t="s">
        <v>3500</v>
      </c>
      <c r="I36" s="3113" t="s">
        <v>3501</v>
      </c>
      <c r="J36" s="3121" t="s">
        <v>3502</v>
      </c>
      <c r="K36" s="3361"/>
      <c r="L36" s="3361"/>
      <c r="N36" s="3670" t="s">
        <v>3135</v>
      </c>
      <c r="O36" s="3670"/>
      <c r="P36" s="3362" t="s">
        <v>3136</v>
      </c>
      <c r="Q36" s="3362" t="s">
        <v>3137</v>
      </c>
      <c r="R36" s="3362" t="s">
        <v>3110</v>
      </c>
      <c r="S36" s="3338" t="s">
        <v>3432</v>
      </c>
      <c r="T36" s="3120"/>
      <c r="U36" s="3339" t="s">
        <v>3216</v>
      </c>
      <c r="V36" s="3120"/>
    </row>
    <row r="37" spans="3:22" ht="40.5">
      <c r="C37" s="3612" t="s">
        <v>3217</v>
      </c>
      <c r="D37" s="3115" t="s">
        <v>3218</v>
      </c>
      <c r="E37" s="3116">
        <f>G14</f>
        <v>6138.5300000000007</v>
      </c>
      <c r="F37" s="3059"/>
      <c r="G37" s="3059"/>
      <c r="H37" s="3672">
        <f>E37+E39</f>
        <v>12238.53</v>
      </c>
      <c r="I37" s="3675">
        <f>330*G25/1000</f>
        <v>7630.6559999999999</v>
      </c>
      <c r="J37" s="3678" t="s">
        <v>3503</v>
      </c>
      <c r="K37" s="3363"/>
      <c r="L37" s="3363"/>
      <c r="N37" s="3624" t="s">
        <v>3433</v>
      </c>
      <c r="O37" s="3624"/>
      <c r="P37" s="3364">
        <f>G16</f>
        <v>13204.53</v>
      </c>
      <c r="Q37" s="3301" t="s">
        <v>3142</v>
      </c>
      <c r="R37" s="3365" t="s">
        <v>3504</v>
      </c>
      <c r="S37" s="3342">
        <f>450*G25/1000</f>
        <v>10405.44</v>
      </c>
      <c r="T37" s="3120"/>
      <c r="U37" s="3366" t="s">
        <v>3434</v>
      </c>
      <c r="V37" s="3122" t="s">
        <v>3435</v>
      </c>
    </row>
    <row r="38" spans="3:22">
      <c r="C38" s="3671"/>
      <c r="D38" s="3115"/>
      <c r="E38" s="3116"/>
      <c r="F38" s="3059"/>
      <c r="G38" s="3059"/>
      <c r="H38" s="3673"/>
      <c r="I38" s="3676"/>
      <c r="J38" s="3679"/>
      <c r="K38" s="3363"/>
      <c r="L38" s="3363"/>
      <c r="N38" s="3619" t="s">
        <v>3219</v>
      </c>
      <c r="O38" s="3614"/>
      <c r="P38" s="3367">
        <f>G15</f>
        <v>6100</v>
      </c>
      <c r="Q38" s="3301" t="s">
        <v>3142</v>
      </c>
      <c r="R38" s="3365"/>
      <c r="S38" s="3342"/>
      <c r="T38" s="3120"/>
      <c r="U38" s="3366"/>
      <c r="V38" s="3122"/>
    </row>
    <row r="39" spans="3:22">
      <c r="C39" s="3613"/>
      <c r="D39" s="3115" t="s">
        <v>3219</v>
      </c>
      <c r="E39" s="3116">
        <f>G15</f>
        <v>6100</v>
      </c>
      <c r="F39" s="3059"/>
      <c r="G39" s="3059"/>
      <c r="H39" s="3674"/>
      <c r="I39" s="3677"/>
      <c r="J39" s="3680"/>
      <c r="K39" s="3339"/>
      <c r="L39" s="3339"/>
      <c r="N39" s="3670" t="s">
        <v>3436</v>
      </c>
      <c r="O39" s="3670"/>
      <c r="P39" s="3362">
        <f>G14</f>
        <v>6138.5300000000007</v>
      </c>
      <c r="Q39" s="3362" t="s">
        <v>3142</v>
      </c>
      <c r="R39" s="3362" t="s">
        <v>3437</v>
      </c>
      <c r="S39" s="3342"/>
      <c r="T39" s="3120"/>
      <c r="U39" s="3120"/>
      <c r="V39" s="3120"/>
    </row>
    <row r="40" spans="3:22">
      <c r="C40" s="3615" t="s">
        <v>3221</v>
      </c>
      <c r="D40" s="3115" t="s">
        <v>3222</v>
      </c>
      <c r="E40" s="3616">
        <f>G16</f>
        <v>13204.53</v>
      </c>
      <c r="F40" s="3672"/>
      <c r="G40" s="3059"/>
      <c r="H40" s="3682">
        <f>E40</f>
        <v>13204.53</v>
      </c>
      <c r="I40" s="3675">
        <f>510*G25/1000</f>
        <v>11792.832</v>
      </c>
      <c r="J40" s="3678" t="s">
        <v>3505</v>
      </c>
      <c r="K40" s="3368"/>
      <c r="L40" s="3368"/>
      <c r="N40" s="3670" t="s">
        <v>3395</v>
      </c>
      <c r="O40" s="3670"/>
      <c r="P40" s="3362">
        <f>G12</f>
        <v>8063.96</v>
      </c>
      <c r="Q40" s="3362" t="s">
        <v>3142</v>
      </c>
      <c r="R40" s="3362" t="s">
        <v>3506</v>
      </c>
      <c r="S40" s="3342">
        <f>G11*0.01</f>
        <v>7953.277</v>
      </c>
      <c r="T40" s="3120"/>
      <c r="U40" s="3122" t="s">
        <v>3439</v>
      </c>
      <c r="V40" s="3122" t="s">
        <v>3435</v>
      </c>
    </row>
    <row r="41" spans="3:22">
      <c r="C41" s="3615"/>
      <c r="D41" s="3115" t="s">
        <v>3224</v>
      </c>
      <c r="E41" s="3617"/>
      <c r="F41" s="3673"/>
      <c r="G41" s="3059"/>
      <c r="H41" s="3673"/>
      <c r="I41" s="3676"/>
      <c r="J41" s="3679"/>
      <c r="K41" s="3363"/>
      <c r="L41" s="3363"/>
      <c r="N41" s="3670" t="s">
        <v>3397</v>
      </c>
      <c r="O41" s="3670"/>
      <c r="P41" s="3362">
        <f>G13</f>
        <v>8395.68</v>
      </c>
      <c r="Q41" s="3362" t="s">
        <v>3142</v>
      </c>
      <c r="R41" s="3362" t="s">
        <v>3506</v>
      </c>
      <c r="S41" s="3342">
        <f>G11*0.01</f>
        <v>7953.277</v>
      </c>
      <c r="T41" s="3120"/>
      <c r="U41" s="3122" t="s">
        <v>3439</v>
      </c>
      <c r="V41" s="3122" t="s">
        <v>3435</v>
      </c>
    </row>
    <row r="42" spans="3:22">
      <c r="C42" s="3615"/>
      <c r="D42" s="3115" t="s">
        <v>3226</v>
      </c>
      <c r="E42" s="3617"/>
      <c r="F42" s="3673"/>
      <c r="G42" s="3059"/>
      <c r="H42" s="3673"/>
      <c r="I42" s="3676"/>
      <c r="J42" s="3679"/>
      <c r="K42" s="3363"/>
      <c r="L42" s="3363"/>
      <c r="N42" s="3670" t="s">
        <v>3168</v>
      </c>
      <c r="O42" s="3670"/>
      <c r="P42" s="3362">
        <f>SUM(P43:P57)</f>
        <v>9721.32</v>
      </c>
      <c r="Q42" s="3362" t="s">
        <v>3142</v>
      </c>
      <c r="R42" s="3362"/>
      <c r="S42" s="3342"/>
      <c r="T42" s="3120"/>
      <c r="U42" s="3120"/>
      <c r="V42" s="3120"/>
    </row>
    <row r="43" spans="3:22" ht="27">
      <c r="C43" s="3615"/>
      <c r="D43" s="3115" t="s">
        <v>3228</v>
      </c>
      <c r="E43" s="3617"/>
      <c r="F43" s="3673"/>
      <c r="G43" s="3059"/>
      <c r="H43" s="3673"/>
      <c r="I43" s="3676"/>
      <c r="J43" s="3679"/>
      <c r="K43" s="3363"/>
      <c r="L43" s="3363"/>
      <c r="N43" s="3301" t="s">
        <v>3441</v>
      </c>
      <c r="O43" s="3301" t="s">
        <v>3442</v>
      </c>
      <c r="P43" s="3301">
        <f>E58</f>
        <v>2633.63</v>
      </c>
      <c r="Q43" s="3301" t="s">
        <v>3142</v>
      </c>
      <c r="R43" s="3365" t="s">
        <v>3507</v>
      </c>
      <c r="S43" s="3342">
        <f>300+(G9-100000)*0.0015</f>
        <v>1834.479975</v>
      </c>
      <c r="T43" s="3253">
        <f>P43-S43</f>
        <v>799.15002500000014</v>
      </c>
      <c r="U43" s="3366" t="s">
        <v>3444</v>
      </c>
      <c r="V43" s="3122" t="s">
        <v>3435</v>
      </c>
    </row>
    <row r="44" spans="3:22">
      <c r="C44" s="3615"/>
      <c r="D44" s="3115" t="s">
        <v>3230</v>
      </c>
      <c r="E44" s="3618"/>
      <c r="F44" s="3674"/>
      <c r="G44" s="3059"/>
      <c r="H44" s="3674"/>
      <c r="I44" s="3677"/>
      <c r="J44" s="3680"/>
      <c r="K44" s="3339"/>
      <c r="L44" s="3339"/>
      <c r="N44" s="3362" t="s">
        <v>3446</v>
      </c>
      <c r="O44" s="3362" t="s">
        <v>3508</v>
      </c>
      <c r="P44" s="3362">
        <f>E57</f>
        <v>323.85000000000002</v>
      </c>
      <c r="Q44" s="3362" t="s">
        <v>3142</v>
      </c>
      <c r="R44" s="3369" t="s">
        <v>3509</v>
      </c>
      <c r="S44" s="3342">
        <f>G23/100*300</f>
        <v>21678</v>
      </c>
      <c r="T44" s="3120"/>
      <c r="U44" s="3370" t="s">
        <v>3445</v>
      </c>
      <c r="V44" s="3122" t="s">
        <v>3435</v>
      </c>
    </row>
    <row r="45" spans="3:22">
      <c r="C45" s="3113"/>
      <c r="D45" s="3113"/>
      <c r="E45" s="3116"/>
      <c r="F45" s="3059"/>
      <c r="G45" s="3059"/>
      <c r="H45" s="3059"/>
      <c r="I45" s="3113"/>
      <c r="J45" s="3113"/>
      <c r="K45" s="3368"/>
      <c r="L45" s="3368"/>
      <c r="N45" s="3362" t="s">
        <v>3451</v>
      </c>
      <c r="O45" s="3362" t="s">
        <v>3232</v>
      </c>
      <c r="P45" s="3362">
        <f>E46</f>
        <v>1910.76</v>
      </c>
      <c r="Q45" s="3362" t="s">
        <v>3142</v>
      </c>
      <c r="R45" s="3371" t="s">
        <v>3510</v>
      </c>
      <c r="S45" s="3342">
        <v>600</v>
      </c>
      <c r="T45" s="3120"/>
      <c r="U45" s="3122" t="s">
        <v>3448</v>
      </c>
      <c r="V45" s="3120" t="s">
        <v>3449</v>
      </c>
    </row>
    <row r="46" spans="3:22" ht="27">
      <c r="C46" s="3084" t="s">
        <v>3231</v>
      </c>
      <c r="D46" s="3119" t="s">
        <v>3232</v>
      </c>
      <c r="E46" s="3116">
        <f>[1]规划区综合指标!E48+[1]已建区指标!E23</f>
        <v>1910.76</v>
      </c>
      <c r="F46" s="3059"/>
      <c r="G46" s="3059"/>
      <c r="H46" s="3059">
        <f>E46</f>
        <v>1910.76</v>
      </c>
      <c r="I46" s="3372">
        <f>68*G25/1000</f>
        <v>1572.3776</v>
      </c>
      <c r="J46" s="3373" t="s">
        <v>3511</v>
      </c>
      <c r="K46" s="3363"/>
      <c r="L46" s="3363"/>
      <c r="N46" s="3362" t="s">
        <v>3455</v>
      </c>
      <c r="O46" s="3362" t="s">
        <v>3512</v>
      </c>
      <c r="P46" s="3362">
        <f>E63</f>
        <v>64</v>
      </c>
      <c r="Q46" s="3362" t="s">
        <v>3142</v>
      </c>
      <c r="R46" s="3369" t="s">
        <v>3513</v>
      </c>
      <c r="S46" s="3342"/>
      <c r="T46" s="3120"/>
      <c r="U46" s="3374" t="s">
        <v>3450</v>
      </c>
      <c r="V46" s="3120"/>
    </row>
    <row r="47" spans="3:22" ht="27">
      <c r="C47" s="3115"/>
      <c r="D47" s="3120"/>
      <c r="E47" s="3120"/>
      <c r="F47" s="3059"/>
      <c r="G47" s="3059"/>
      <c r="H47" s="3059"/>
      <c r="I47" s="3375"/>
      <c r="J47" s="3376"/>
      <c r="K47" s="3339"/>
      <c r="L47" s="3339"/>
      <c r="N47" s="3362" t="s">
        <v>3457</v>
      </c>
      <c r="O47" s="3362" t="s">
        <v>3452</v>
      </c>
      <c r="P47" s="3362">
        <f>E62</f>
        <v>155.35</v>
      </c>
      <c r="Q47" s="3362" t="s">
        <v>3142</v>
      </c>
      <c r="R47" s="3365" t="s">
        <v>3514</v>
      </c>
      <c r="S47" s="3342">
        <f>6*G25/1000</f>
        <v>138.73920000000001</v>
      </c>
      <c r="T47" s="3120"/>
      <c r="U47" s="3377" t="s">
        <v>3454</v>
      </c>
      <c r="V47" s="3122" t="s">
        <v>3435</v>
      </c>
    </row>
    <row r="48" spans="3:22">
      <c r="C48" s="3605" t="s">
        <v>3233</v>
      </c>
      <c r="D48" s="3119" t="s">
        <v>3234</v>
      </c>
      <c r="E48" s="3116">
        <f>[1]规划区综合指标!E50+[1]已建区指标!E25</f>
        <v>1525.13</v>
      </c>
      <c r="F48" s="3059"/>
      <c r="G48" s="3059"/>
      <c r="H48" s="3672">
        <f>E48</f>
        <v>1525.13</v>
      </c>
      <c r="I48" s="3681">
        <f>60*G25/1000</f>
        <v>1387.3920000000001</v>
      </c>
      <c r="J48" s="3678" t="s">
        <v>3515</v>
      </c>
      <c r="K48" s="3339"/>
      <c r="L48" s="3339"/>
      <c r="N48" s="3362" t="s">
        <v>3459</v>
      </c>
      <c r="O48" s="3362" t="s">
        <v>3456</v>
      </c>
      <c r="P48" s="3362">
        <f>E69</f>
        <v>87.57</v>
      </c>
      <c r="Q48" s="3362" t="s">
        <v>3142</v>
      </c>
      <c r="R48" s="3378" t="s">
        <v>3516</v>
      </c>
      <c r="S48" s="3342"/>
      <c r="T48" s="3120"/>
      <c r="U48" s="3120"/>
      <c r="V48" s="3120"/>
    </row>
    <row r="49" spans="3:22">
      <c r="C49" s="3605"/>
      <c r="D49" s="3115" t="s">
        <v>3235</v>
      </c>
      <c r="E49" s="3116"/>
      <c r="F49" s="3059"/>
      <c r="G49" s="3059"/>
      <c r="H49" s="3674"/>
      <c r="I49" s="3681"/>
      <c r="J49" s="3680"/>
      <c r="K49" s="3339"/>
      <c r="L49" s="3339"/>
      <c r="N49" s="3362" t="s">
        <v>3462</v>
      </c>
      <c r="O49" s="3362" t="s">
        <v>3284</v>
      </c>
      <c r="P49" s="3362">
        <f>E64</f>
        <v>20.88</v>
      </c>
      <c r="Q49" s="3362" t="s">
        <v>3142</v>
      </c>
      <c r="R49" s="3378" t="s">
        <v>3517</v>
      </c>
      <c r="S49" s="3342"/>
      <c r="T49" s="3120"/>
      <c r="U49" s="3120"/>
      <c r="V49" s="3120"/>
    </row>
    <row r="50" spans="3:22">
      <c r="C50" s="3121"/>
      <c r="D50" s="3113"/>
      <c r="E50" s="3116"/>
      <c r="F50" s="3059"/>
      <c r="G50" s="3059"/>
      <c r="H50" s="3059"/>
      <c r="I50" s="3379"/>
      <c r="J50" s="3379"/>
      <c r="K50" s="3339"/>
      <c r="L50" s="3339"/>
      <c r="N50" s="3362" t="s">
        <v>3465</v>
      </c>
      <c r="O50" s="3362" t="s">
        <v>3460</v>
      </c>
      <c r="P50" s="3362">
        <f>E55</f>
        <v>384.17</v>
      </c>
      <c r="Q50" s="3362" t="s">
        <v>3142</v>
      </c>
      <c r="R50" s="3362" t="s">
        <v>3518</v>
      </c>
      <c r="S50" s="3342">
        <v>300</v>
      </c>
      <c r="T50" s="3120"/>
      <c r="U50" s="3122" t="s">
        <v>3461</v>
      </c>
      <c r="V50" s="3120" t="s">
        <v>3449</v>
      </c>
    </row>
    <row r="51" spans="3:22" ht="27">
      <c r="C51" s="3113"/>
      <c r="D51" s="3113"/>
      <c r="E51" s="3116"/>
      <c r="F51" s="3059"/>
      <c r="G51" s="3059"/>
      <c r="H51" s="3059"/>
      <c r="I51" s="3113"/>
      <c r="J51" s="3113"/>
      <c r="K51" s="3368"/>
      <c r="L51" s="3368"/>
      <c r="N51" s="3357" t="s">
        <v>3469</v>
      </c>
      <c r="O51" s="3357" t="s">
        <v>3234</v>
      </c>
      <c r="P51" s="3357">
        <f>E48</f>
        <v>1525.13</v>
      </c>
      <c r="Q51" s="3357" t="s">
        <v>3142</v>
      </c>
      <c r="R51" s="3365" t="s">
        <v>3519</v>
      </c>
      <c r="S51" s="3342">
        <v>1000</v>
      </c>
      <c r="T51" s="3120"/>
      <c r="U51" s="3122" t="s">
        <v>3464</v>
      </c>
      <c r="V51" s="3120" t="s">
        <v>3449</v>
      </c>
    </row>
    <row r="52" spans="3:22">
      <c r="C52" s="3620" t="s">
        <v>3236</v>
      </c>
      <c r="D52" s="3119" t="s">
        <v>3271</v>
      </c>
      <c r="E52" s="3622">
        <f>[1]规划区综合指标!E54+[1]已建区指标!E29</f>
        <v>0</v>
      </c>
      <c r="F52" s="3672"/>
      <c r="G52" s="3059"/>
      <c r="H52" s="3672">
        <f>E52</f>
        <v>0</v>
      </c>
      <c r="I52" s="3675">
        <f>19*G25/1000</f>
        <v>439.3408</v>
      </c>
      <c r="J52" s="3678" t="s">
        <v>3520</v>
      </c>
      <c r="K52" s="3363"/>
      <c r="L52" s="3363"/>
      <c r="N52" s="3362" t="s">
        <v>3471</v>
      </c>
      <c r="O52" s="3362" t="s">
        <v>3466</v>
      </c>
      <c r="P52" s="3362">
        <f>E52</f>
        <v>0</v>
      </c>
      <c r="Q52" s="3362" t="s">
        <v>3142</v>
      </c>
      <c r="R52" s="3362" t="s">
        <v>3521</v>
      </c>
      <c r="S52" s="3342">
        <v>300</v>
      </c>
      <c r="T52" s="3120"/>
      <c r="U52" s="3120" t="s">
        <v>3468</v>
      </c>
      <c r="V52" s="3120" t="s">
        <v>3449</v>
      </c>
    </row>
    <row r="53" spans="3:22">
      <c r="C53" s="3621"/>
      <c r="D53" s="3119" t="s">
        <v>3272</v>
      </c>
      <c r="E53" s="3618"/>
      <c r="F53" s="3674"/>
      <c r="G53" s="3059"/>
      <c r="H53" s="3674"/>
      <c r="I53" s="3677"/>
      <c r="J53" s="3680"/>
      <c r="K53" s="3339"/>
      <c r="L53" s="3339"/>
      <c r="N53" s="3301" t="s">
        <v>3475</v>
      </c>
      <c r="O53" s="3301" t="s">
        <v>3470</v>
      </c>
      <c r="P53" s="3301">
        <f>E68</f>
        <v>55.29</v>
      </c>
      <c r="Q53" s="3301" t="s">
        <v>3142</v>
      </c>
      <c r="R53" s="3362" t="s">
        <v>3522</v>
      </c>
      <c r="S53" s="3342"/>
      <c r="T53" s="3120"/>
      <c r="U53" s="3120"/>
      <c r="V53" s="3120"/>
    </row>
    <row r="54" spans="3:22">
      <c r="C54" s="3113"/>
      <c r="D54" s="3113"/>
      <c r="E54" s="3116"/>
      <c r="F54" s="3059"/>
      <c r="G54" s="3059"/>
      <c r="H54" s="3059"/>
      <c r="I54" s="3113"/>
      <c r="J54" s="3113"/>
      <c r="K54" s="3368"/>
      <c r="L54" s="3368"/>
      <c r="N54" s="3362" t="s">
        <v>3523</v>
      </c>
      <c r="O54" s="3362" t="s">
        <v>3472</v>
      </c>
      <c r="P54" s="3362">
        <f>E59</f>
        <v>2486.1</v>
      </c>
      <c r="Q54" s="3362" t="s">
        <v>3142</v>
      </c>
      <c r="R54" s="3362" t="s">
        <v>3524</v>
      </c>
      <c r="S54" s="3342">
        <f>30*G23/100</f>
        <v>2167.8000000000002</v>
      </c>
      <c r="T54" s="3120"/>
      <c r="U54" s="3122" t="s">
        <v>3474</v>
      </c>
      <c r="V54" s="3253">
        <f>P54-S54</f>
        <v>318.29999999999973</v>
      </c>
    </row>
    <row r="55" spans="3:22">
      <c r="C55" s="3620" t="s">
        <v>3273</v>
      </c>
      <c r="D55" s="3119" t="s">
        <v>3274</v>
      </c>
      <c r="E55" s="3116">
        <f>[1]规划区综合指标!E57+[1]已建区指标!E32</f>
        <v>384.17</v>
      </c>
      <c r="F55" s="3059"/>
      <c r="G55" s="3059"/>
      <c r="H55" s="3672">
        <f>SUM(E55:E59)</f>
        <v>5827.75</v>
      </c>
      <c r="I55" s="3675">
        <f>175.5*G25/1000</f>
        <v>4058.1215999999999</v>
      </c>
      <c r="J55" s="3678" t="s">
        <v>3525</v>
      </c>
      <c r="K55" s="3363"/>
      <c r="L55" s="3363"/>
      <c r="N55" s="3362" t="s">
        <v>3526</v>
      </c>
      <c r="O55" s="3362" t="s">
        <v>3476</v>
      </c>
      <c r="P55" s="3362">
        <f>E66</f>
        <v>20.14</v>
      </c>
      <c r="Q55" s="3362" t="s">
        <v>3142</v>
      </c>
      <c r="R55" s="3362" t="s">
        <v>3527</v>
      </c>
      <c r="S55" s="3342"/>
      <c r="T55" s="3120"/>
      <c r="U55" s="3120"/>
      <c r="V55" s="3120"/>
    </row>
    <row r="56" spans="3:22">
      <c r="C56" s="3623"/>
      <c r="D56" s="3119" t="s">
        <v>3275</v>
      </c>
      <c r="E56" s="3116"/>
      <c r="F56" s="3059"/>
      <c r="G56" s="3059"/>
      <c r="H56" s="3673"/>
      <c r="I56" s="3676"/>
      <c r="J56" s="3679"/>
      <c r="K56" s="3339"/>
      <c r="L56" s="3339"/>
      <c r="N56" s="3362" t="s">
        <v>3528</v>
      </c>
      <c r="O56" s="3362" t="s">
        <v>3479</v>
      </c>
      <c r="P56" s="3362">
        <f>E67</f>
        <v>30.04</v>
      </c>
      <c r="Q56" s="3362" t="s">
        <v>3142</v>
      </c>
      <c r="R56" s="3362" t="s">
        <v>3529</v>
      </c>
      <c r="S56" s="3342"/>
      <c r="T56" s="3120"/>
      <c r="U56" s="3120"/>
      <c r="V56" s="3120"/>
    </row>
    <row r="57" spans="3:22">
      <c r="C57" s="3623"/>
      <c r="D57" s="3119" t="s">
        <v>3276</v>
      </c>
      <c r="E57" s="3116">
        <f>[1]规划区综合指标!E59+[1]已建区指标!E34</f>
        <v>323.85000000000002</v>
      </c>
      <c r="F57" s="3059"/>
      <c r="G57" s="3059"/>
      <c r="H57" s="3673"/>
      <c r="I57" s="3676"/>
      <c r="J57" s="3679"/>
      <c r="K57" s="3339"/>
      <c r="L57" s="3339"/>
      <c r="N57" s="3362" t="s">
        <v>3530</v>
      </c>
      <c r="O57" s="3362" t="s">
        <v>3289</v>
      </c>
      <c r="P57" s="3362">
        <f>E70</f>
        <v>24.41</v>
      </c>
      <c r="Q57" s="3362" t="s">
        <v>3142</v>
      </c>
      <c r="R57" s="3378" t="s">
        <v>3521</v>
      </c>
      <c r="S57" s="3120"/>
      <c r="T57" s="3120"/>
      <c r="U57" s="3120"/>
      <c r="V57" s="3120"/>
    </row>
    <row r="58" spans="3:22">
      <c r="C58" s="3623"/>
      <c r="D58" s="3119" t="s">
        <v>3277</v>
      </c>
      <c r="E58" s="3116">
        <f>[1]规划区综合指标!E60+[1]已建区指标!E35</f>
        <v>2633.63</v>
      </c>
      <c r="F58" s="3059"/>
      <c r="G58" s="3059"/>
      <c r="H58" s="3673"/>
      <c r="I58" s="3676"/>
      <c r="J58" s="3679"/>
      <c r="K58" s="3339"/>
      <c r="L58" s="3339"/>
      <c r="N58" s="3380" t="s">
        <v>3209</v>
      </c>
      <c r="O58" s="3059"/>
      <c r="P58" s="3381">
        <f>SUM(P37:P42)</f>
        <v>51624.02</v>
      </c>
      <c r="Q58" s="3362" t="s">
        <v>3142</v>
      </c>
      <c r="R58" s="3059"/>
    </row>
    <row r="59" spans="3:22">
      <c r="C59" s="3621"/>
      <c r="D59" s="3115" t="s">
        <v>3278</v>
      </c>
      <c r="E59" s="3116">
        <f>[1]规划区综合指标!E61+[1]已建区指标!E36</f>
        <v>2486.1</v>
      </c>
      <c r="F59" s="3059"/>
      <c r="G59" s="3059"/>
      <c r="H59" s="3674"/>
      <c r="I59" s="3677"/>
      <c r="J59" s="3680"/>
      <c r="K59" s="3368"/>
      <c r="L59" s="3368"/>
    </row>
    <row r="60" spans="3:22">
      <c r="C60" s="3615" t="s">
        <v>3279</v>
      </c>
      <c r="D60" s="3115" t="s">
        <v>3280</v>
      </c>
      <c r="E60" s="3116"/>
      <c r="F60" s="3059">
        <v>1650</v>
      </c>
      <c r="G60" s="3059"/>
      <c r="H60" s="3672">
        <f>SUM(E60:E70)+F60</f>
        <v>2107.6800000000003</v>
      </c>
      <c r="I60" s="3681">
        <f>85*G25/1000</f>
        <v>1965.472</v>
      </c>
      <c r="J60" s="3675" t="s">
        <v>3531</v>
      </c>
      <c r="K60" s="3339"/>
      <c r="L60" s="3339"/>
    </row>
    <row r="61" spans="3:22">
      <c r="C61" s="3615"/>
      <c r="D61" s="3119" t="s">
        <v>3281</v>
      </c>
      <c r="E61" s="3116"/>
      <c r="F61" s="3059"/>
      <c r="G61" s="3059"/>
      <c r="H61" s="3673"/>
      <c r="I61" s="3681"/>
      <c r="J61" s="3676"/>
      <c r="K61" s="3339"/>
      <c r="L61" s="3339"/>
    </row>
    <row r="62" spans="3:22">
      <c r="C62" s="3615"/>
      <c r="D62" s="3119" t="s">
        <v>3282</v>
      </c>
      <c r="E62" s="3116">
        <f>[1]规划区综合指标!E64+[1]已建区指标!E39</f>
        <v>155.35</v>
      </c>
      <c r="F62" s="3059"/>
      <c r="G62" s="3059"/>
      <c r="H62" s="3673"/>
      <c r="I62" s="3681"/>
      <c r="J62" s="3676"/>
      <c r="K62" s="3339"/>
      <c r="L62" s="3339"/>
      <c r="P62" s="3382">
        <f>P58-P40-P41</f>
        <v>35164.379999999997</v>
      </c>
    </row>
    <row r="63" spans="3:22">
      <c r="C63" s="3615"/>
      <c r="D63" s="3115" t="s">
        <v>3283</v>
      </c>
      <c r="E63" s="3116">
        <f>[1]规划区综合指标!E65+[1]已建区指标!E40</f>
        <v>64</v>
      </c>
      <c r="F63" s="3059"/>
      <c r="G63" s="3059"/>
      <c r="H63" s="3673"/>
      <c r="I63" s="3681"/>
      <c r="J63" s="3676"/>
      <c r="K63" s="3339"/>
      <c r="L63" s="3339"/>
    </row>
    <row r="64" spans="3:22">
      <c r="C64" s="3615"/>
      <c r="D64" s="3115" t="s">
        <v>3284</v>
      </c>
      <c r="E64" s="3116">
        <f>[1]规划区综合指标!E66+[1]已建区指标!E41</f>
        <v>20.88</v>
      </c>
      <c r="F64" s="3059"/>
      <c r="G64" s="3059"/>
      <c r="H64" s="3673"/>
      <c r="I64" s="3681"/>
      <c r="J64" s="3676"/>
    </row>
    <row r="65" spans="3:24">
      <c r="C65" s="3615"/>
      <c r="D65" s="3115"/>
      <c r="E65" s="3116"/>
      <c r="F65" s="3059"/>
      <c r="G65" s="3059"/>
      <c r="H65" s="3673"/>
      <c r="I65" s="3681"/>
      <c r="J65" s="3676"/>
    </row>
    <row r="66" spans="3:24" ht="14.25" thickBot="1">
      <c r="C66" s="3615"/>
      <c r="D66" s="3115" t="s">
        <v>3285</v>
      </c>
      <c r="E66" s="3116">
        <f>[1]规划区综合指标!E68+[1]已建区指标!E43</f>
        <v>20.14</v>
      </c>
      <c r="F66" s="3059"/>
      <c r="G66" s="3059"/>
      <c r="H66" s="3673"/>
      <c r="I66" s="3681"/>
      <c r="J66" s="3676"/>
    </row>
    <row r="67" spans="3:24" ht="13.5" customHeight="1" thickTop="1">
      <c r="C67" s="3615"/>
      <c r="D67" s="3115" t="s">
        <v>3286</v>
      </c>
      <c r="E67" s="3116">
        <f>[1]规划区综合指标!E69+[1]已建区指标!E44</f>
        <v>30.04</v>
      </c>
      <c r="F67" s="3059"/>
      <c r="G67" s="3059"/>
      <c r="H67" s="3673"/>
      <c r="I67" s="3681"/>
      <c r="J67" s="3676"/>
      <c r="K67" s="3339"/>
      <c r="L67" s="3339"/>
      <c r="N67" s="3683" t="s">
        <v>3532</v>
      </c>
      <c r="O67" s="3683"/>
      <c r="P67" s="3683"/>
      <c r="Q67" s="3683"/>
      <c r="R67" s="3683"/>
    </row>
    <row r="68" spans="3:24">
      <c r="C68" s="3615"/>
      <c r="D68" s="3115" t="s">
        <v>3287</v>
      </c>
      <c r="E68" s="3116">
        <f>[1]规划区综合指标!E70+[1]已建区指标!E45</f>
        <v>55.29</v>
      </c>
      <c r="F68" s="3059"/>
      <c r="G68" s="3059"/>
      <c r="H68" s="3673"/>
      <c r="I68" s="3681"/>
      <c r="J68" s="3676"/>
      <c r="K68" s="3339" t="s">
        <v>3533</v>
      </c>
      <c r="L68" s="3339" t="s">
        <v>3534</v>
      </c>
      <c r="M68" s="3044" t="s">
        <v>3535</v>
      </c>
      <c r="N68" s="3624" t="s">
        <v>3536</v>
      </c>
      <c r="O68" s="3624"/>
      <c r="P68" s="3301" t="s">
        <v>3537</v>
      </c>
      <c r="Q68" s="3301" t="s">
        <v>3538</v>
      </c>
      <c r="R68" s="3301" t="s">
        <v>3216</v>
      </c>
      <c r="S68" s="3301" t="s">
        <v>3539</v>
      </c>
      <c r="T68" s="3301"/>
      <c r="U68" s="3301" t="s">
        <v>3216</v>
      </c>
      <c r="V68" s="3301" t="s">
        <v>3540</v>
      </c>
      <c r="W68" s="3383"/>
      <c r="X68" s="3383"/>
    </row>
    <row r="69" spans="3:24">
      <c r="C69" s="3615"/>
      <c r="D69" s="3115" t="s">
        <v>3288</v>
      </c>
      <c r="E69" s="3116">
        <f>[1]规划区综合指标!E71+[1]已建区指标!E46</f>
        <v>87.57</v>
      </c>
      <c r="F69" s="3059"/>
      <c r="G69" s="3059"/>
      <c r="H69" s="3673"/>
      <c r="I69" s="3681"/>
      <c r="J69" s="3676"/>
      <c r="K69" s="3380">
        <f>G25/1000*730</f>
        <v>16879.936000000002</v>
      </c>
      <c r="L69" s="3380">
        <f>G25/1000*810</f>
        <v>18729.792000000001</v>
      </c>
      <c r="M69" s="3384">
        <f>P69</f>
        <v>6100</v>
      </c>
      <c r="N69" s="3301" t="s">
        <v>3541</v>
      </c>
      <c r="O69" s="3301" t="s">
        <v>3219</v>
      </c>
      <c r="P69" s="3385">
        <f>P38</f>
        <v>6100</v>
      </c>
      <c r="Q69" s="3362" t="s">
        <v>3142</v>
      </c>
      <c r="R69" s="3301"/>
      <c r="S69" s="3301" t="s">
        <v>3542</v>
      </c>
      <c r="T69" s="3301"/>
      <c r="U69" s="3301"/>
      <c r="V69" s="3301"/>
      <c r="W69" s="3383"/>
      <c r="X69" s="3383"/>
    </row>
    <row r="70" spans="3:24">
      <c r="C70" s="3615"/>
      <c r="D70" s="3115" t="s">
        <v>3289</v>
      </c>
      <c r="E70" s="3116">
        <f>[1]规划区综合指标!E72+[1]已建区指标!E47</f>
        <v>24.41</v>
      </c>
      <c r="F70" s="3059"/>
      <c r="G70" s="3386"/>
      <c r="H70" s="3674"/>
      <c r="I70" s="3675"/>
      <c r="J70" s="3677"/>
      <c r="K70" s="3684">
        <f>G25/1000*320</f>
        <v>7399.424</v>
      </c>
      <c r="L70" s="3684">
        <f>G25/1000*460</f>
        <v>10636.672</v>
      </c>
      <c r="M70" s="3689">
        <f>P37-P87</f>
        <v>12337.41</v>
      </c>
      <c r="N70" s="3656" t="s">
        <v>3543</v>
      </c>
      <c r="O70" s="3301" t="s">
        <v>3544</v>
      </c>
      <c r="P70" s="3362">
        <v>1500</v>
      </c>
      <c r="Q70" s="3362" t="s">
        <v>3142</v>
      </c>
      <c r="R70" s="3301"/>
      <c r="S70" s="3301">
        <v>1500</v>
      </c>
      <c r="T70" s="3301"/>
      <c r="U70" s="3301" t="s">
        <v>3545</v>
      </c>
      <c r="V70" s="3301" t="s">
        <v>3546</v>
      </c>
      <c r="W70" s="3690" t="s">
        <v>3434</v>
      </c>
      <c r="X70" s="3690" t="s">
        <v>3435</v>
      </c>
    </row>
    <row r="71" spans="3:24">
      <c r="C71" s="3058" t="s">
        <v>3209</v>
      </c>
      <c r="D71" s="3058"/>
      <c r="E71" s="3058">
        <f>SUM(E37:E70)</f>
        <v>35164.379999999997</v>
      </c>
      <c r="F71" s="3058"/>
      <c r="G71" s="3058"/>
      <c r="H71" s="3058"/>
      <c r="I71" s="3058"/>
      <c r="J71" s="3058"/>
      <c r="K71" s="3685"/>
      <c r="L71" s="3685"/>
      <c r="M71" s="3624"/>
      <c r="N71" s="3657"/>
      <c r="O71" s="3301" t="s">
        <v>3547</v>
      </c>
      <c r="P71" s="3362">
        <v>750</v>
      </c>
      <c r="Q71" s="3362" t="s">
        <v>3142</v>
      </c>
      <c r="R71" s="3301"/>
      <c r="S71" s="3301">
        <v>750</v>
      </c>
      <c r="T71" s="3301"/>
      <c r="U71" s="3301" t="s">
        <v>3548</v>
      </c>
      <c r="V71" s="3301" t="s">
        <v>3546</v>
      </c>
      <c r="W71" s="3691"/>
      <c r="X71" s="3691"/>
    </row>
    <row r="72" spans="3:24">
      <c r="K72" s="3685"/>
      <c r="L72" s="3685"/>
      <c r="M72" s="3624"/>
      <c r="N72" s="3657"/>
      <c r="O72" s="3301" t="s">
        <v>3549</v>
      </c>
      <c r="P72" s="3693">
        <f>M70-P71-P70</f>
        <v>10087.41</v>
      </c>
      <c r="Q72" s="3362" t="s">
        <v>3142</v>
      </c>
      <c r="R72" s="3301"/>
      <c r="S72" s="3301" t="s">
        <v>3542</v>
      </c>
      <c r="T72" s="3301"/>
      <c r="U72" s="3301"/>
      <c r="V72" s="3301" t="s">
        <v>3546</v>
      </c>
      <c r="W72" s="3691"/>
      <c r="X72" s="3691"/>
    </row>
    <row r="73" spans="3:24">
      <c r="J73" s="3044">
        <f>M70+S87</f>
        <v>13204.53</v>
      </c>
      <c r="K73" s="3685"/>
      <c r="L73" s="3685"/>
      <c r="M73" s="3624"/>
      <c r="N73" s="3657"/>
      <c r="O73" s="3301" t="s">
        <v>3550</v>
      </c>
      <c r="P73" s="3657"/>
      <c r="Q73" s="3362" t="s">
        <v>3142</v>
      </c>
      <c r="R73" s="3301"/>
      <c r="S73" s="3301" t="s">
        <v>3542</v>
      </c>
      <c r="T73" s="3301"/>
      <c r="U73" s="3301"/>
      <c r="V73" s="3301" t="s">
        <v>3546</v>
      </c>
      <c r="W73" s="3691"/>
      <c r="X73" s="3691"/>
    </row>
    <row r="74" spans="3:24">
      <c r="K74" s="3686"/>
      <c r="L74" s="3685"/>
      <c r="M74" s="3624"/>
      <c r="N74" s="3657"/>
      <c r="O74" s="3301" t="s">
        <v>3551</v>
      </c>
      <c r="P74" s="3657"/>
      <c r="Q74" s="3362" t="s">
        <v>3142</v>
      </c>
      <c r="R74" s="3301"/>
      <c r="S74" s="3301"/>
      <c r="T74" s="3301"/>
      <c r="U74" s="3301"/>
      <c r="V74" s="3301" t="s">
        <v>3546</v>
      </c>
      <c r="W74" s="3691"/>
      <c r="X74" s="3691"/>
    </row>
    <row r="75" spans="3:24" ht="21" customHeight="1">
      <c r="K75" s="3687"/>
      <c r="L75" s="3688"/>
      <c r="M75" s="3624"/>
      <c r="N75" s="3658"/>
      <c r="O75" s="3301" t="s">
        <v>3552</v>
      </c>
      <c r="P75" s="3658"/>
      <c r="Q75" s="3362" t="s">
        <v>3142</v>
      </c>
      <c r="R75" s="3301"/>
      <c r="S75" s="3301"/>
      <c r="T75" s="3301"/>
      <c r="U75" s="3301"/>
      <c r="V75" s="3301" t="s">
        <v>3546</v>
      </c>
      <c r="W75" s="3692"/>
      <c r="X75" s="3692"/>
    </row>
    <row r="76" spans="3:24" ht="21.75" customHeight="1">
      <c r="K76" s="3614"/>
      <c r="L76" s="3624"/>
      <c r="M76" s="3624">
        <f>SUM(P76:P78)</f>
        <v>132.85999999999999</v>
      </c>
      <c r="N76" s="3656" t="s">
        <v>3553</v>
      </c>
      <c r="O76" s="3301" t="s">
        <v>3284</v>
      </c>
      <c r="P76" s="3362">
        <f>E64</f>
        <v>20.88</v>
      </c>
      <c r="Q76" s="3362" t="s">
        <v>3142</v>
      </c>
      <c r="R76" s="3301"/>
      <c r="S76" s="3301"/>
      <c r="T76" s="3301"/>
      <c r="U76" s="3301"/>
      <c r="V76" s="3301"/>
      <c r="W76" s="3383"/>
      <c r="X76" s="3383"/>
    </row>
    <row r="77" spans="3:24" ht="20.25" customHeight="1">
      <c r="K77" s="3614"/>
      <c r="L77" s="3624"/>
      <c r="M77" s="3624"/>
      <c r="N77" s="3657"/>
      <c r="O77" s="3301" t="s">
        <v>3288</v>
      </c>
      <c r="P77" s="3362">
        <f>E69</f>
        <v>87.57</v>
      </c>
      <c r="Q77" s="3362" t="s">
        <v>3142</v>
      </c>
      <c r="R77" s="3301"/>
      <c r="S77" s="3301"/>
      <c r="T77" s="3301"/>
      <c r="U77" s="3301"/>
      <c r="V77" s="3301"/>
      <c r="W77" s="3383"/>
      <c r="X77" s="3383"/>
    </row>
    <row r="78" spans="3:24" ht="18" customHeight="1">
      <c r="K78" s="3614"/>
      <c r="L78" s="3624"/>
      <c r="M78" s="3624"/>
      <c r="N78" s="3658"/>
      <c r="O78" s="3301" t="s">
        <v>3289</v>
      </c>
      <c r="P78" s="3362">
        <f>E70</f>
        <v>24.41</v>
      </c>
      <c r="Q78" s="3362" t="s">
        <v>3142</v>
      </c>
      <c r="R78" s="3301"/>
      <c r="S78" s="3301"/>
      <c r="T78" s="3301"/>
      <c r="U78" s="3301"/>
      <c r="V78" s="3301"/>
      <c r="W78" s="3383"/>
      <c r="X78" s="3383"/>
    </row>
    <row r="79" spans="3:24" ht="18.75" customHeight="1">
      <c r="K79" s="3387"/>
      <c r="L79" s="3301"/>
      <c r="M79" s="3301"/>
      <c r="N79" s="3656" t="s">
        <v>3554</v>
      </c>
      <c r="O79" s="3301" t="s">
        <v>3555</v>
      </c>
      <c r="P79" s="3362">
        <f>P45</f>
        <v>1910.76</v>
      </c>
      <c r="Q79" s="3362" t="s">
        <v>3142</v>
      </c>
      <c r="R79" s="3301"/>
      <c r="S79" s="3301"/>
      <c r="T79" s="3301"/>
      <c r="U79" s="3301" t="s">
        <v>3556</v>
      </c>
      <c r="V79" s="3301"/>
      <c r="W79" s="3383"/>
      <c r="X79" s="3383"/>
    </row>
    <row r="80" spans="3:24" ht="20.25" customHeight="1">
      <c r="K80" s="3614">
        <f>G25/1000*1070</f>
        <v>24741.824000000001</v>
      </c>
      <c r="L80" s="3624">
        <f>G25/1000*1820</f>
        <v>42084.224000000002</v>
      </c>
      <c r="M80" s="3624">
        <f>SUM(P79:P85)</f>
        <v>12923.890000000001</v>
      </c>
      <c r="N80" s="3657"/>
      <c r="O80" s="3388" t="s">
        <v>3557</v>
      </c>
      <c r="P80" s="3378">
        <f>P50</f>
        <v>384.17</v>
      </c>
      <c r="Q80" s="3378" t="s">
        <v>3142</v>
      </c>
      <c r="R80" s="3389"/>
      <c r="S80" s="3389">
        <v>1200</v>
      </c>
      <c r="T80" s="3389"/>
      <c r="U80" s="3389" t="s">
        <v>3558</v>
      </c>
      <c r="V80" s="3389" t="s">
        <v>3546</v>
      </c>
      <c r="W80" s="3383"/>
      <c r="X80" s="3383"/>
    </row>
    <row r="81" spans="2:24" ht="18.75" customHeight="1">
      <c r="K81" s="3614"/>
      <c r="L81" s="3624"/>
      <c r="M81" s="3624"/>
      <c r="N81" s="3657"/>
      <c r="O81" s="3389" t="s">
        <v>3559</v>
      </c>
      <c r="P81" s="3378">
        <f>P44</f>
        <v>323.85000000000002</v>
      </c>
      <c r="Q81" s="3378"/>
      <c r="R81" s="3389"/>
      <c r="S81" s="3389"/>
      <c r="T81" s="3389"/>
      <c r="U81" s="3390" t="s">
        <v>3560</v>
      </c>
      <c r="V81" s="3131" t="s">
        <v>3435</v>
      </c>
      <c r="W81" s="3383"/>
      <c r="X81" s="3383"/>
    </row>
    <row r="82" spans="2:24" ht="18.75" customHeight="1">
      <c r="K82" s="3614"/>
      <c r="L82" s="3624"/>
      <c r="M82" s="3624"/>
      <c r="N82" s="3657"/>
      <c r="O82" s="3388" t="s">
        <v>3234</v>
      </c>
      <c r="P82" s="3378">
        <f>P51</f>
        <v>1525.13</v>
      </c>
      <c r="Q82" s="3378" t="s">
        <v>3142</v>
      </c>
      <c r="R82" s="3389"/>
      <c r="S82" s="3389">
        <v>725</v>
      </c>
      <c r="T82" s="3389"/>
      <c r="U82" s="3389" t="s">
        <v>3561</v>
      </c>
      <c r="V82" s="3389" t="s">
        <v>3546</v>
      </c>
      <c r="W82" s="3383"/>
      <c r="X82" s="3383"/>
    </row>
    <row r="83" spans="2:24" ht="21.75" customHeight="1">
      <c r="K83" s="3614"/>
      <c r="L83" s="3624"/>
      <c r="M83" s="3624"/>
      <c r="N83" s="3657"/>
      <c r="O83" s="3389" t="s">
        <v>3218</v>
      </c>
      <c r="P83" s="3378">
        <f>P39</f>
        <v>6138.5300000000007</v>
      </c>
      <c r="Q83" s="3378" t="s">
        <v>3142</v>
      </c>
      <c r="R83" s="3389"/>
      <c r="S83" s="3389">
        <v>6300</v>
      </c>
      <c r="T83" s="3389"/>
      <c r="U83" s="3389" t="s">
        <v>3562</v>
      </c>
      <c r="V83" s="3389" t="s">
        <v>3546</v>
      </c>
      <c r="W83" s="3383"/>
      <c r="X83" s="3383"/>
    </row>
    <row r="84" spans="2:24" ht="20.25" customHeight="1">
      <c r="K84" s="3614"/>
      <c r="L84" s="3624"/>
      <c r="M84" s="3624"/>
      <c r="N84" s="3657"/>
      <c r="O84" s="3378" t="s">
        <v>3472</v>
      </c>
      <c r="P84" s="3373">
        <f>P54</f>
        <v>2486.1</v>
      </c>
      <c r="Q84" s="3378" t="s">
        <v>3142</v>
      </c>
      <c r="R84" s="3389"/>
      <c r="S84" s="3389">
        <v>700</v>
      </c>
      <c r="T84" s="3389"/>
      <c r="U84" s="3389" t="s">
        <v>3563</v>
      </c>
      <c r="V84" s="3389" t="s">
        <v>3546</v>
      </c>
      <c r="W84" s="3131" t="s">
        <v>3474</v>
      </c>
      <c r="X84" s="3131" t="s">
        <v>3435</v>
      </c>
    </row>
    <row r="85" spans="2:24" ht="19.5" customHeight="1">
      <c r="K85" s="3614"/>
      <c r="L85" s="3624"/>
      <c r="M85" s="3624"/>
      <c r="N85" s="3658"/>
      <c r="O85" s="3389" t="s">
        <v>3282</v>
      </c>
      <c r="P85" s="3389">
        <f>P47</f>
        <v>155.35</v>
      </c>
      <c r="Q85" s="3389" t="s">
        <v>3142</v>
      </c>
      <c r="R85" s="3389"/>
      <c r="S85" s="3389">
        <v>30</v>
      </c>
      <c r="T85" s="3389"/>
      <c r="U85" s="3389" t="s">
        <v>3564</v>
      </c>
      <c r="V85" s="3389" t="s">
        <v>3546</v>
      </c>
      <c r="W85" s="3391" t="s">
        <v>3454</v>
      </c>
      <c r="X85" s="3131" t="s">
        <v>3435</v>
      </c>
    </row>
    <row r="86" spans="2:24" ht="18" customHeight="1">
      <c r="K86" s="3614">
        <f>G25/1000*80</f>
        <v>1849.856</v>
      </c>
      <c r="L86" s="3624">
        <f>G25/1000*90</f>
        <v>2081.0880000000002</v>
      </c>
      <c r="M86" s="3624">
        <f>SUM(P86:P87)</f>
        <v>3500.75</v>
      </c>
      <c r="N86" s="3656" t="s">
        <v>3565</v>
      </c>
      <c r="O86" s="3389" t="s">
        <v>3566</v>
      </c>
      <c r="P86" s="3378">
        <f>P43</f>
        <v>2633.63</v>
      </c>
      <c r="Q86" s="3378" t="s">
        <v>3142</v>
      </c>
      <c r="R86" s="3389"/>
      <c r="S86" s="3392">
        <f>G9*0.002</f>
        <v>2245.9732999999997</v>
      </c>
      <c r="T86" s="3389"/>
      <c r="U86" s="3389" t="s">
        <v>3567</v>
      </c>
      <c r="V86" s="3389" t="s">
        <v>3546</v>
      </c>
      <c r="W86" s="3301" t="s">
        <v>3568</v>
      </c>
      <c r="X86" s="3301" t="s">
        <v>3435</v>
      </c>
    </row>
    <row r="87" spans="2:24" ht="21.75" customHeight="1">
      <c r="K87" s="3614"/>
      <c r="L87" s="3624"/>
      <c r="M87" s="3624"/>
      <c r="N87" s="3658"/>
      <c r="O87" s="3388" t="s">
        <v>3569</v>
      </c>
      <c r="P87" s="3378">
        <f>S87</f>
        <v>867.12</v>
      </c>
      <c r="Q87" s="3378" t="s">
        <v>3142</v>
      </c>
      <c r="R87" s="3389"/>
      <c r="S87" s="3389">
        <f>G25/2000*75</f>
        <v>867.12</v>
      </c>
      <c r="T87" s="3389"/>
      <c r="U87" s="3389" t="s">
        <v>3570</v>
      </c>
      <c r="V87" s="3389" t="s">
        <v>3546</v>
      </c>
      <c r="W87" s="3383"/>
      <c r="X87" s="3383"/>
    </row>
    <row r="88" spans="2:24" ht="18" customHeight="1">
      <c r="N88" s="3656" t="s">
        <v>3571</v>
      </c>
      <c r="O88" s="3301" t="s">
        <v>3572</v>
      </c>
      <c r="P88" s="3362">
        <f>P40</f>
        <v>8063.96</v>
      </c>
      <c r="Q88" s="3362" t="s">
        <v>3142</v>
      </c>
      <c r="R88" s="3301"/>
      <c r="S88" s="3393">
        <f>S40</f>
        <v>7953.277</v>
      </c>
      <c r="T88" s="3301"/>
      <c r="U88" s="3131" t="s">
        <v>3439</v>
      </c>
      <c r="V88" s="3131" t="s">
        <v>3435</v>
      </c>
    </row>
    <row r="89" spans="2:24" ht="20.25" customHeight="1">
      <c r="N89" s="3658"/>
      <c r="O89" s="3301" t="s">
        <v>3573</v>
      </c>
      <c r="P89" s="3362">
        <f>P41</f>
        <v>8395.68</v>
      </c>
      <c r="Q89" s="3362" t="s">
        <v>3142</v>
      </c>
      <c r="R89" s="3301"/>
      <c r="S89" s="3393">
        <f>S41</f>
        <v>7953.277</v>
      </c>
      <c r="T89" s="3301"/>
      <c r="U89" s="3131" t="s">
        <v>3439</v>
      </c>
      <c r="V89" s="3131" t="s">
        <v>3435</v>
      </c>
    </row>
    <row r="90" spans="2:24" ht="20.25" customHeight="1"/>
    <row r="91" spans="2:24" ht="18.75" customHeight="1"/>
    <row r="92" spans="2:24" ht="22.5" customHeight="1"/>
    <row r="93" spans="2:24" ht="20.25" customHeight="1">
      <c r="B93" s="3394"/>
      <c r="C93" s="3394"/>
      <c r="J93" s="3394"/>
      <c r="K93" s="3394"/>
      <c r="L93" s="3394"/>
      <c r="M93" s="3394"/>
      <c r="N93" s="3394"/>
      <c r="O93" s="3394"/>
      <c r="P93" s="3394"/>
      <c r="Q93" s="3394"/>
      <c r="R93" s="3394"/>
      <c r="S93" s="3394"/>
      <c r="T93" s="3394"/>
      <c r="U93" s="3394"/>
      <c r="V93" s="3394"/>
      <c r="W93" s="3394"/>
    </row>
    <row r="94" spans="2:24" ht="20.25" customHeight="1">
      <c r="B94" s="3394"/>
      <c r="C94" s="3394"/>
      <c r="D94" s="3394"/>
      <c r="E94" s="3394"/>
      <c r="F94" s="3394"/>
      <c r="G94" s="3394"/>
      <c r="H94" s="3394"/>
      <c r="I94" s="3394"/>
      <c r="J94" s="3394"/>
      <c r="K94" s="3394"/>
      <c r="L94" s="3394"/>
      <c r="M94" s="3394"/>
      <c r="N94" s="3394"/>
      <c r="O94" s="3394"/>
      <c r="P94" s="3394"/>
      <c r="Q94" s="3394"/>
      <c r="R94" s="3394"/>
      <c r="S94" s="3394"/>
      <c r="T94" s="3394"/>
      <c r="U94" s="3394"/>
      <c r="V94" s="3394"/>
      <c r="W94" s="3394"/>
    </row>
    <row r="95" spans="2:24" ht="21" customHeight="1">
      <c r="B95" s="3394"/>
      <c r="C95" s="3394"/>
      <c r="D95" s="3394"/>
      <c r="E95" s="3394"/>
      <c r="F95" s="3394"/>
      <c r="G95" s="3394"/>
      <c r="H95" s="3394"/>
      <c r="I95" s="3394"/>
      <c r="J95" s="3394"/>
      <c r="K95" s="3394"/>
      <c r="L95" s="3394"/>
      <c r="M95" s="3394"/>
      <c r="N95" s="3394"/>
      <c r="U95" s="3394"/>
      <c r="V95" s="3394"/>
      <c r="W95" s="3394"/>
    </row>
    <row r="96" spans="2:24" ht="23.25" customHeight="1">
      <c r="B96" s="3394"/>
      <c r="C96" s="3394"/>
      <c r="D96" s="3394"/>
      <c r="E96" s="3394"/>
      <c r="F96" s="3394"/>
      <c r="G96" s="3394"/>
      <c r="H96" s="3394"/>
      <c r="I96" s="3394"/>
      <c r="J96" s="3394"/>
      <c r="K96" s="3394"/>
      <c r="L96" s="3394"/>
      <c r="M96" s="3394"/>
      <c r="N96" s="3394"/>
      <c r="P96" s="3694" t="s">
        <v>3574</v>
      </c>
      <c r="Q96" s="3695"/>
      <c r="R96" s="3695"/>
      <c r="S96" s="3696"/>
      <c r="U96" s="3394"/>
      <c r="V96" s="3394"/>
      <c r="W96" s="3394"/>
    </row>
    <row r="97" spans="2:23" ht="18.75" customHeight="1">
      <c r="B97" s="3394"/>
      <c r="C97" s="3394"/>
      <c r="D97" s="3394"/>
      <c r="E97" s="3394"/>
      <c r="F97" s="3394"/>
      <c r="G97" s="3394"/>
      <c r="H97" s="3394"/>
      <c r="I97" s="3394"/>
      <c r="J97" s="3394"/>
      <c r="K97" s="3394"/>
      <c r="L97" s="3394"/>
      <c r="M97" s="3394"/>
      <c r="N97" s="3394"/>
      <c r="P97" s="3697"/>
      <c r="Q97" s="3698"/>
      <c r="R97" s="3698"/>
      <c r="S97" s="3699"/>
      <c r="U97" s="3394"/>
      <c r="V97" s="3394"/>
      <c r="W97" s="3394"/>
    </row>
    <row r="98" spans="2:23" ht="18" customHeight="1">
      <c r="B98" s="3394"/>
      <c r="C98" s="3394"/>
      <c r="D98" s="3394"/>
      <c r="E98" s="3394"/>
      <c r="F98" s="3394"/>
      <c r="G98" s="3394"/>
      <c r="H98" s="3394"/>
      <c r="I98" s="3394"/>
      <c r="J98" s="3394"/>
      <c r="K98" s="3394"/>
      <c r="L98" s="3394"/>
      <c r="M98" s="3394"/>
      <c r="N98" s="3394"/>
      <c r="P98" s="3059" t="s">
        <v>3135</v>
      </c>
      <c r="Q98" s="3059" t="s">
        <v>3146</v>
      </c>
      <c r="R98" s="3059" t="s">
        <v>3575</v>
      </c>
      <c r="S98" s="3362" t="s">
        <v>3576</v>
      </c>
      <c r="U98" s="3394"/>
      <c r="V98" s="3394"/>
      <c r="W98" s="3394"/>
    </row>
    <row r="99" spans="2:23" ht="19.5" customHeight="1">
      <c r="B99" s="3394"/>
      <c r="C99" s="3394"/>
      <c r="D99" s="3394"/>
      <c r="E99" s="3394"/>
      <c r="F99" s="3394"/>
      <c r="G99" s="3394"/>
      <c r="H99" s="3394"/>
      <c r="I99" s="3394"/>
      <c r="J99" s="3394"/>
      <c r="K99" s="3394"/>
      <c r="L99" s="3394"/>
      <c r="M99" s="3394"/>
      <c r="N99" s="3394"/>
      <c r="P99" s="3059" t="s">
        <v>3577</v>
      </c>
      <c r="Q99" s="3059">
        <f>[1]已建区指标!J6</f>
        <v>99878.92</v>
      </c>
      <c r="R99" s="3059">
        <v>1293.432</v>
      </c>
      <c r="S99" s="3059"/>
      <c r="U99" s="3394"/>
      <c r="V99" s="3394"/>
      <c r="W99" s="3394"/>
    </row>
    <row r="100" spans="2:23" ht="18.75" customHeight="1">
      <c r="B100" s="3394"/>
      <c r="C100" s="3394"/>
      <c r="D100" s="3394"/>
      <c r="E100" s="3394"/>
      <c r="F100" s="3394"/>
      <c r="G100" s="3394"/>
      <c r="H100" s="3394"/>
      <c r="I100" s="3394"/>
      <c r="J100" s="3394"/>
      <c r="K100" s="3394"/>
      <c r="L100" s="3394"/>
      <c r="M100" s="3394"/>
      <c r="N100" s="3394"/>
      <c r="P100" s="3059" t="s">
        <v>3578</v>
      </c>
      <c r="Q100" s="3059">
        <f>[1]已建区指标!J7</f>
        <v>68479.700000000012</v>
      </c>
      <c r="R100" s="3059">
        <v>1954.623</v>
      </c>
      <c r="S100" s="3059"/>
      <c r="U100" s="3394"/>
      <c r="V100" s="3394"/>
      <c r="W100" s="3394"/>
    </row>
    <row r="101" spans="2:23" ht="21.75" customHeight="1">
      <c r="B101" s="3394"/>
      <c r="C101" s="3394"/>
      <c r="D101" s="3394"/>
      <c r="E101" s="3394"/>
      <c r="F101" s="3394"/>
      <c r="G101" s="3394"/>
      <c r="H101" s="3394"/>
      <c r="I101" s="3394"/>
      <c r="J101" s="3394"/>
      <c r="K101" s="3394"/>
      <c r="L101" s="3394"/>
      <c r="M101" s="3394"/>
      <c r="N101" s="3394"/>
      <c r="P101" s="3059" t="s">
        <v>3579</v>
      </c>
      <c r="Q101" s="3395">
        <f>[1]已建区指标!J8</f>
        <v>89547.88</v>
      </c>
      <c r="R101" s="3059">
        <v>4854.6764000000003</v>
      </c>
      <c r="S101" s="3059"/>
      <c r="U101" s="3394"/>
      <c r="V101" s="3394"/>
      <c r="W101" s="3394"/>
    </row>
    <row r="102" spans="2:23" ht="13.5" customHeight="1">
      <c r="B102" s="3394"/>
      <c r="C102" s="3394"/>
      <c r="D102" s="3394"/>
      <c r="E102" s="3394"/>
      <c r="F102" s="3394"/>
      <c r="G102" s="3394"/>
      <c r="H102" s="3394"/>
      <c r="I102" s="3394"/>
      <c r="J102" s="3394"/>
      <c r="K102" s="3394"/>
      <c r="L102" s="3394"/>
      <c r="M102" s="3394"/>
      <c r="N102" s="3394"/>
      <c r="P102" s="3059" t="s">
        <v>3580</v>
      </c>
      <c r="Q102" s="3395">
        <f>'[1]3.1.2期指标'!G8+'[1]3.1.1期指标'!G8</f>
        <v>143827.19999999998</v>
      </c>
      <c r="R102" s="3395">
        <f>'[1]3.1.2期指标'!W37+'[1]3.1.1期指标'!W37</f>
        <v>11407.619999999999</v>
      </c>
      <c r="S102" s="3059"/>
      <c r="U102" s="3394"/>
      <c r="V102" s="3394"/>
      <c r="W102" s="3394"/>
    </row>
    <row r="103" spans="2:23" ht="13.5" customHeight="1">
      <c r="B103" s="3394"/>
      <c r="C103" s="3394"/>
      <c r="D103" s="3394"/>
      <c r="E103" s="3394"/>
      <c r="F103" s="3394"/>
      <c r="G103" s="3394"/>
      <c r="H103" s="3394"/>
      <c r="I103" s="3394"/>
      <c r="J103" s="3394"/>
      <c r="K103" s="3394"/>
      <c r="L103" s="3394"/>
      <c r="M103" s="3394"/>
      <c r="N103" s="3394"/>
      <c r="P103" s="3059" t="s">
        <v>3581</v>
      </c>
      <c r="Q103" s="3395">
        <f>'[1]3.2.2期指标'!G9+'[1]3.2.1期指标'!G9</f>
        <v>122579.76999999999</v>
      </c>
      <c r="R103" s="3395">
        <f>'[1]3.2.2期指标'!W26+'[1]3.2.1期指标'!W26</f>
        <v>8814.84</v>
      </c>
      <c r="S103" s="3059"/>
      <c r="U103" s="3394"/>
      <c r="V103" s="3394"/>
      <c r="W103" s="3394"/>
    </row>
    <row r="104" spans="2:23" ht="14.25" customHeight="1">
      <c r="B104" s="3394"/>
      <c r="C104" s="3394"/>
      <c r="D104" s="3394"/>
      <c r="E104" s="3394"/>
      <c r="F104" s="3394"/>
      <c r="G104" s="3394"/>
      <c r="H104" s="3394"/>
      <c r="I104" s="3394"/>
      <c r="J104" s="3394"/>
      <c r="K104" s="3394"/>
      <c r="L104" s="3394"/>
      <c r="M104" s="3394"/>
      <c r="N104" s="3394"/>
      <c r="P104" s="3059" t="s">
        <v>3582</v>
      </c>
      <c r="Q104" s="3395">
        <f>'[1]3.3（三期）指标'!G8</f>
        <v>90933.229999999981</v>
      </c>
      <c r="R104" s="3395">
        <f>'[1]3.3（三期）指标'!W44</f>
        <v>14400.439999999999</v>
      </c>
      <c r="S104" s="3059"/>
      <c r="U104" s="3394"/>
      <c r="V104" s="3394"/>
      <c r="W104" s="3394"/>
    </row>
    <row r="105" spans="2:23" ht="13.5" customHeight="1">
      <c r="B105" s="3394"/>
      <c r="C105" s="3394"/>
      <c r="D105" s="3394"/>
      <c r="E105" s="3394"/>
      <c r="F105" s="3394"/>
      <c r="G105" s="3394"/>
      <c r="H105" s="3394"/>
      <c r="I105" s="3394"/>
      <c r="J105" s="3394"/>
      <c r="K105" s="3394"/>
      <c r="L105" s="3394"/>
      <c r="M105" s="3394"/>
      <c r="N105" s="3394"/>
      <c r="P105" s="3059" t="s">
        <v>3583</v>
      </c>
      <c r="Q105" s="3395">
        <f>'[1]3.4（四期）指标'!G8</f>
        <v>101558.93</v>
      </c>
      <c r="R105" s="3395">
        <f>'[1]3.4（四期）指标'!W18</f>
        <v>6305.5099999999993</v>
      </c>
      <c r="S105" s="3059"/>
      <c r="U105" s="3394"/>
      <c r="V105" s="3394"/>
      <c r="W105" s="3394"/>
    </row>
    <row r="106" spans="2:23" ht="13.5" customHeight="1">
      <c r="B106" s="3394"/>
      <c r="C106" s="3394"/>
      <c r="D106" s="3394"/>
      <c r="E106" s="3394"/>
      <c r="F106" s="3394"/>
      <c r="G106" s="3394"/>
      <c r="H106" s="3394"/>
      <c r="I106" s="3394"/>
      <c r="J106" s="3394"/>
      <c r="K106" s="3394"/>
      <c r="L106" s="3394"/>
      <c r="M106" s="3394"/>
      <c r="N106" s="3394"/>
      <c r="P106" s="3059" t="s">
        <v>3584</v>
      </c>
      <c r="Q106" s="3395">
        <f>'[1]3.5（五期）指标'!G8</f>
        <v>146190.57</v>
      </c>
      <c r="R106" s="3395">
        <f>'[1]3.5（五期）指标'!W18</f>
        <v>8804.35</v>
      </c>
      <c r="S106" s="3059"/>
      <c r="U106" s="3394"/>
      <c r="V106" s="3394"/>
      <c r="W106" s="3394"/>
    </row>
    <row r="107" spans="2:23" ht="13.5" customHeight="1">
      <c r="B107" s="3394"/>
      <c r="C107" s="3394"/>
      <c r="D107" s="3394"/>
      <c r="E107" s="3394"/>
      <c r="F107" s="3394"/>
      <c r="G107" s="3394"/>
      <c r="H107" s="3394"/>
      <c r="I107" s="3394"/>
      <c r="J107" s="3394"/>
      <c r="K107" s="3394"/>
      <c r="L107" s="3394"/>
      <c r="M107" s="3394"/>
      <c r="N107" s="3394"/>
      <c r="P107" s="3059" t="s">
        <v>3585</v>
      </c>
      <c r="Q107" s="3395">
        <f>'[1]3.6（六期）指标'!G8</f>
        <v>132471.75</v>
      </c>
      <c r="R107" s="3395">
        <f>'[1]3.6（六期）指标'!W29</f>
        <v>9322.4600000000009</v>
      </c>
      <c r="S107" s="3059"/>
      <c r="U107" s="3394"/>
      <c r="V107" s="3394"/>
      <c r="W107" s="3394"/>
    </row>
    <row r="108" spans="2:23" ht="13.5" customHeight="1">
      <c r="B108" s="3394"/>
      <c r="C108" s="3394"/>
      <c r="D108" s="3394"/>
      <c r="E108" s="3394"/>
      <c r="F108" s="3394"/>
      <c r="G108" s="3394"/>
      <c r="H108" s="3394"/>
      <c r="I108" s="3394"/>
      <c r="J108" s="3394"/>
      <c r="K108" s="3394"/>
      <c r="L108" s="3394"/>
      <c r="M108" s="3394"/>
      <c r="N108" s="3394"/>
      <c r="P108" s="3059" t="s">
        <v>3586</v>
      </c>
      <c r="Q108" s="3395">
        <f>'[1]3.7（七期）指标'!G8</f>
        <v>121413.93999999997</v>
      </c>
      <c r="R108" s="3395">
        <f>'[1]3.7（七期）指标'!W21</f>
        <v>8680.98</v>
      </c>
      <c r="S108" s="3059"/>
      <c r="U108" s="3394"/>
      <c r="V108" s="3394"/>
      <c r="W108" s="3394"/>
    </row>
    <row r="109" spans="2:23" ht="13.5" customHeight="1">
      <c r="B109" s="3394"/>
      <c r="C109" s="3394"/>
      <c r="D109" s="3394"/>
      <c r="E109" s="3394"/>
      <c r="F109" s="3394"/>
      <c r="G109" s="3394"/>
      <c r="H109" s="3394"/>
      <c r="I109" s="3394"/>
      <c r="J109" s="3394"/>
      <c r="K109" s="3394"/>
      <c r="L109" s="3394"/>
      <c r="M109" s="3394"/>
      <c r="N109" s="3394"/>
      <c r="P109" s="3360" t="s">
        <v>3219</v>
      </c>
      <c r="Q109" s="3059">
        <v>6100</v>
      </c>
      <c r="R109" s="3059">
        <v>122</v>
      </c>
      <c r="S109" s="3059"/>
      <c r="U109" s="3394"/>
      <c r="V109" s="3394"/>
      <c r="W109" s="3394"/>
    </row>
    <row r="110" spans="2:23" ht="13.5" customHeight="1">
      <c r="B110" s="3394"/>
      <c r="C110" s="3394"/>
      <c r="D110" s="3394"/>
      <c r="E110" s="3394"/>
      <c r="F110" s="3394"/>
      <c r="G110" s="3394"/>
      <c r="H110" s="3394"/>
      <c r="I110" s="3394"/>
      <c r="J110" s="3394"/>
      <c r="K110" s="3394"/>
      <c r="L110" s="3394"/>
      <c r="M110" s="3394"/>
      <c r="N110" s="3394"/>
      <c r="P110" s="3059" t="s">
        <v>3481</v>
      </c>
      <c r="Q110" s="3059">
        <f>SUM(Q99:Q109)</f>
        <v>1122981.8899999999</v>
      </c>
      <c r="R110" s="3381">
        <f>SUM(R99:R109)</f>
        <v>75960.931400000001</v>
      </c>
      <c r="S110" s="3059">
        <v>75800</v>
      </c>
      <c r="T110" s="3044">
        <f>S110-R110</f>
        <v>-160.9314000000013</v>
      </c>
      <c r="U110" s="3394"/>
      <c r="V110" s="3394"/>
      <c r="W110" s="3394"/>
    </row>
    <row r="111" spans="2:23" ht="13.5" customHeight="1">
      <c r="B111" s="3394"/>
      <c r="C111" s="3394"/>
      <c r="D111" s="3394"/>
      <c r="E111" s="3394"/>
      <c r="F111" s="3394"/>
      <c r="G111" s="3394"/>
      <c r="H111" s="3394"/>
      <c r="I111" s="3394"/>
      <c r="J111" s="3394"/>
      <c r="K111" s="3394"/>
      <c r="L111" s="3394"/>
      <c r="M111" s="3394"/>
      <c r="N111" s="3394"/>
      <c r="O111" s="3044">
        <f>'[1]3.1.1期指标'!W37+'[1]3.1.2期指标'!W37+'[1]3.2.1期指标'!W26+'[1]3.2.2期指标'!W26+'[1]3.3（三期）指标'!W44+'[1]3.4（四期）指标'!W18+'[1]3.5（五期）指标'!W18+'[1]3.6（六期）指标'!W29+'[1]3.7（七期）指标'!W21</f>
        <v>67736.2</v>
      </c>
      <c r="P111" s="3360" t="s">
        <v>3587</v>
      </c>
      <c r="R111" s="3065">
        <f>SUM(R102:R108)</f>
        <v>67736.2</v>
      </c>
      <c r="U111" s="3394"/>
      <c r="V111" s="3394"/>
      <c r="W111" s="3394"/>
    </row>
    <row r="112" spans="2:23" ht="14.25" customHeight="1">
      <c r="B112" s="3394"/>
      <c r="C112" s="3394"/>
      <c r="D112" s="3394"/>
      <c r="E112" s="3394"/>
      <c r="F112" s="3394"/>
      <c r="G112" s="3394"/>
      <c r="H112" s="3394"/>
      <c r="I112" s="3394"/>
      <c r="J112" s="3394"/>
      <c r="K112" s="3394"/>
      <c r="L112" s="3394"/>
      <c r="M112" s="3394"/>
      <c r="N112" s="3394"/>
      <c r="S112" s="3044">
        <v>75534</v>
      </c>
      <c r="U112" s="3394"/>
      <c r="V112" s="3394"/>
      <c r="W112" s="3394"/>
    </row>
    <row r="113" spans="15:20">
      <c r="O113" s="3394"/>
      <c r="P113" s="3394" t="s">
        <v>3588</v>
      </c>
      <c r="Q113" s="3394"/>
      <c r="R113" s="3394">
        <v>67713.914000000004</v>
      </c>
      <c r="S113" s="3394"/>
      <c r="T113" s="3394"/>
    </row>
    <row r="115" spans="15:20">
      <c r="R115" s="3065">
        <f>R113-R111</f>
        <v>-22.285999999992782</v>
      </c>
      <c r="S115" s="3065">
        <f>R115+R110</f>
        <v>75938.645400000009</v>
      </c>
    </row>
  </sheetData>
  <mergeCells count="92">
    <mergeCell ref="N88:N89"/>
    <mergeCell ref="P96:S97"/>
    <mergeCell ref="N79:N85"/>
    <mergeCell ref="K80:K85"/>
    <mergeCell ref="L80:L85"/>
    <mergeCell ref="M80:M85"/>
    <mergeCell ref="K86:K87"/>
    <mergeCell ref="L86:L87"/>
    <mergeCell ref="M86:M87"/>
    <mergeCell ref="N86:N87"/>
    <mergeCell ref="W70:W75"/>
    <mergeCell ref="X70:X75"/>
    <mergeCell ref="P72:P75"/>
    <mergeCell ref="K76:K78"/>
    <mergeCell ref="L76:L78"/>
    <mergeCell ref="M76:M78"/>
    <mergeCell ref="N76:N78"/>
    <mergeCell ref="N67:R67"/>
    <mergeCell ref="N68:O68"/>
    <mergeCell ref="K70:K75"/>
    <mergeCell ref="L70:L75"/>
    <mergeCell ref="M70:M75"/>
    <mergeCell ref="N70:N75"/>
    <mergeCell ref="J55:J59"/>
    <mergeCell ref="C60:C70"/>
    <mergeCell ref="H60:H70"/>
    <mergeCell ref="I60:I70"/>
    <mergeCell ref="J60:J70"/>
    <mergeCell ref="F52:F53"/>
    <mergeCell ref="H52:H53"/>
    <mergeCell ref="I52:I53"/>
    <mergeCell ref="C55:C59"/>
    <mergeCell ref="H55:H59"/>
    <mergeCell ref="I55:I59"/>
    <mergeCell ref="J52:J53"/>
    <mergeCell ref="N40:O40"/>
    <mergeCell ref="N41:O41"/>
    <mergeCell ref="N42:O42"/>
    <mergeCell ref="C48:C49"/>
    <mergeCell ref="H48:H49"/>
    <mergeCell ref="I48:I49"/>
    <mergeCell ref="J48:J49"/>
    <mergeCell ref="C40:C44"/>
    <mergeCell ref="E40:E44"/>
    <mergeCell ref="F40:F44"/>
    <mergeCell ref="H40:H44"/>
    <mergeCell ref="I40:I44"/>
    <mergeCell ref="J40:J44"/>
    <mergeCell ref="C52:C53"/>
    <mergeCell ref="E52:E53"/>
    <mergeCell ref="N36:O36"/>
    <mergeCell ref="C37:C39"/>
    <mergeCell ref="H37:H39"/>
    <mergeCell ref="I37:I39"/>
    <mergeCell ref="J37:J39"/>
    <mergeCell ref="N37:O37"/>
    <mergeCell ref="N38:O38"/>
    <mergeCell ref="N39:O39"/>
    <mergeCell ref="C29:C30"/>
    <mergeCell ref="D29:D30"/>
    <mergeCell ref="E29:F29"/>
    <mergeCell ref="E30:F30"/>
    <mergeCell ref="C35:G35"/>
    <mergeCell ref="N35:R35"/>
    <mergeCell ref="D23:F23"/>
    <mergeCell ref="D24:F24"/>
    <mergeCell ref="D25:F25"/>
    <mergeCell ref="D26:F26"/>
    <mergeCell ref="D27:F27"/>
    <mergeCell ref="D28:F28"/>
    <mergeCell ref="D22:F22"/>
    <mergeCell ref="D9:F9"/>
    <mergeCell ref="C10:C21"/>
    <mergeCell ref="D10:F10"/>
    <mergeCell ref="D11:D18"/>
    <mergeCell ref="E11:F11"/>
    <mergeCell ref="E12:E13"/>
    <mergeCell ref="E14:F14"/>
    <mergeCell ref="E15:F15"/>
    <mergeCell ref="E16:F16"/>
    <mergeCell ref="E17:F17"/>
    <mergeCell ref="E18:F18"/>
    <mergeCell ref="D19:F19"/>
    <mergeCell ref="D20:D21"/>
    <mergeCell ref="E20:F20"/>
    <mergeCell ref="E21:F21"/>
    <mergeCell ref="C6:I6"/>
    <mergeCell ref="N6:R6"/>
    <mergeCell ref="D7:F7"/>
    <mergeCell ref="N7:O7"/>
    <mergeCell ref="D8:F8"/>
    <mergeCell ref="N8:O8"/>
  </mergeCells>
  <phoneticPr fontId="142" type="noConversion"/>
  <pageMargins left="0.7" right="0.7" top="0.75" bottom="0.75" header="0.3" footer="0.3"/>
  <pageSetup paperSize="8"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3"/>
  <sheetViews>
    <sheetView zoomScale="80" zoomScaleNormal="80" workbookViewId="0">
      <selection activeCell="I45" sqref="I45"/>
    </sheetView>
  </sheetViews>
  <sheetFormatPr defaultRowHeight="13.5"/>
  <cols>
    <col min="1" max="1" width="9" style="3044"/>
    <col min="2" max="2" width="11.625" style="3044" bestFit="1" customWidth="1"/>
    <col min="3" max="3" width="9" style="3044"/>
    <col min="4" max="4" width="16.125" style="3044" customWidth="1"/>
    <col min="5" max="5" width="28" style="3044" customWidth="1"/>
    <col min="6" max="6" width="19.125" style="3044" customWidth="1"/>
    <col min="7" max="7" width="19.5" style="3044" customWidth="1"/>
    <col min="8" max="8" width="11.75" style="3044" customWidth="1"/>
    <col min="9" max="9" width="18.75" style="3044" customWidth="1"/>
    <col min="10" max="10" width="9" style="3044"/>
    <col min="11" max="11" width="9" style="3044" customWidth="1"/>
    <col min="12" max="12" width="13.875" style="3044" customWidth="1"/>
    <col min="13" max="13" width="17.875" style="3044" customWidth="1"/>
    <col min="14" max="14" width="14.875" style="3044" customWidth="1"/>
    <col min="15" max="15" width="9" style="3044"/>
    <col min="16" max="16" width="16.625" style="3044" customWidth="1"/>
    <col min="17" max="19" width="9" style="3044"/>
    <col min="20" max="20" width="27" style="3044" customWidth="1"/>
    <col min="21" max="21" width="17.5" style="3044" customWidth="1"/>
    <col min="22" max="16384" width="9" style="3044"/>
  </cols>
  <sheetData>
    <row r="1" spans="2:31">
      <c r="G1" s="3065">
        <f>G2+G9</f>
        <v>662664.82999999996</v>
      </c>
    </row>
    <row r="2" spans="2:31">
      <c r="G2" s="3044">
        <v>6100</v>
      </c>
    </row>
    <row r="4" spans="2:31" ht="14.25" thickBot="1"/>
    <row r="5" spans="2:31" ht="82.5" thickTop="1" thickBot="1">
      <c r="C5" s="3662" t="s">
        <v>3430</v>
      </c>
      <c r="D5" s="3662"/>
      <c r="E5" s="3662"/>
      <c r="F5" s="3662"/>
      <c r="G5" s="3662"/>
      <c r="H5" s="3662"/>
      <c r="I5" s="3662"/>
      <c r="J5" s="3120"/>
      <c r="L5" s="3050" t="s">
        <v>3112</v>
      </c>
      <c r="M5" s="3051" t="s">
        <v>3294</v>
      </c>
      <c r="N5" s="3051" t="s">
        <v>3295</v>
      </c>
      <c r="O5" s="3051" t="s">
        <v>3296</v>
      </c>
      <c r="P5" s="3051" t="s">
        <v>3297</v>
      </c>
      <c r="Q5" s="3052" t="s">
        <v>3117</v>
      </c>
      <c r="R5" s="3052" t="s">
        <v>3118</v>
      </c>
      <c r="S5" s="3052" t="s">
        <v>3119</v>
      </c>
      <c r="T5" s="3052" t="s">
        <v>3120</v>
      </c>
      <c r="U5" s="3053" t="s">
        <v>3121</v>
      </c>
      <c r="V5" s="3053" t="s">
        <v>3122</v>
      </c>
      <c r="W5" s="3053" t="s">
        <v>3123</v>
      </c>
      <c r="X5" s="3053" t="s">
        <v>3124</v>
      </c>
      <c r="Y5" s="3240" t="s">
        <v>3260</v>
      </c>
      <c r="Z5" s="3240" t="s">
        <v>3261</v>
      </c>
      <c r="AA5" s="3240" t="s">
        <v>3262</v>
      </c>
      <c r="AB5" s="3240" t="s">
        <v>3263</v>
      </c>
      <c r="AC5" s="3268" t="s">
        <v>3264</v>
      </c>
      <c r="AD5" s="3268" t="s">
        <v>3265</v>
      </c>
      <c r="AE5" s="3054" t="s">
        <v>3266</v>
      </c>
    </row>
    <row r="6" spans="2:31" ht="14.25" thickTop="1">
      <c r="C6" s="3055" t="s">
        <v>3134</v>
      </c>
      <c r="D6" s="3700" t="s">
        <v>3135</v>
      </c>
      <c r="E6" s="3700"/>
      <c r="F6" s="3700"/>
      <c r="G6" s="3055" t="s">
        <v>3136</v>
      </c>
      <c r="H6" s="3055" t="s">
        <v>3137</v>
      </c>
      <c r="I6" s="3055" t="s">
        <v>3110</v>
      </c>
      <c r="J6" s="3253">
        <f>J7-G7</f>
        <v>-1.8200000000651926</v>
      </c>
      <c r="L6" s="3058"/>
      <c r="M6" s="3092"/>
      <c r="N6" s="3092"/>
      <c r="O6" s="3092"/>
      <c r="P6" s="3092"/>
      <c r="Q6" s="3084"/>
      <c r="R6" s="3084"/>
      <c r="S6" s="3084"/>
      <c r="T6" s="3084"/>
      <c r="U6" s="3072"/>
      <c r="V6" s="3072"/>
      <c r="W6" s="3072"/>
      <c r="X6" s="3072"/>
      <c r="Y6" s="3251"/>
      <c r="Z6" s="3251"/>
      <c r="AA6" s="3251"/>
      <c r="AB6" s="3251"/>
      <c r="AC6" s="3288"/>
      <c r="AD6" s="3288"/>
      <c r="AE6" s="3246"/>
    </row>
    <row r="7" spans="2:31">
      <c r="B7" s="3065">
        <f>规划区综合指标!G7</f>
        <v>313230.01000000007</v>
      </c>
      <c r="C7" s="3055" t="s">
        <v>3140</v>
      </c>
      <c r="D7" s="3701" t="s">
        <v>3141</v>
      </c>
      <c r="E7" s="3702"/>
      <c r="F7" s="3703"/>
      <c r="G7" s="3066">
        <f>'[1]3.1.2期指标'!G7+'[1]3.2.2期指标'!G7+'[1]3.3（三期）指标'!G7+'[1]3.4（四期）指标'!G7+'[1]3.5（五期）指标'!G7+'[1]3.6（六期）指标'!G7+'[1]3.7（七期）指标'!G7+'[1]3.1.1期指标'!G7+'[1]3.2.1期指标'!G7</f>
        <v>313230.01000000007</v>
      </c>
      <c r="H7" s="3055" t="s">
        <v>3142</v>
      </c>
      <c r="I7" s="3055"/>
      <c r="J7" s="3120">
        <v>313228.19</v>
      </c>
      <c r="K7" s="3058" t="s">
        <v>3209</v>
      </c>
      <c r="L7" s="3058">
        <f>SUM(M7:AE7)</f>
        <v>6280</v>
      </c>
      <c r="M7" s="3186">
        <f>'[1]3.1.2期指标'!Z36+'[1]3.2.2期指标'!Z26+'[1]3.3（三期）指标'!Z44+'[1]3.4（四期）指标'!Z16+'[1]3.5（五期）指标'!Z18+'[1]3.6（六期）指标'!Z29+'[1]3.7（七期）指标'!Z21+'[1]3.2.1期指标'!Z26+'[1]3.1.1期指标'!Z36</f>
        <v>618</v>
      </c>
      <c r="N7" s="3186">
        <f>'[1]3.1.2期指标'!AA36+'[1]3.2.2期指标'!AA26+'[1]3.3（三期）指标'!AA44+'[1]3.4（四期）指标'!AA16+'[1]3.5（五期）指标'!AA18+'[1]3.6（六期）指标'!AA29+'[1]3.7（七期）指标'!AA21+'[1]3.2.1期指标'!AA26+'[1]3.1.1期指标'!AA36</f>
        <v>206</v>
      </c>
      <c r="O7" s="3186">
        <f>'[1]3.1.2期指标'!AB36+'[1]3.2.2期指标'!AB26+'[1]3.3（三期）指标'!AB44+'[1]3.4（四期）指标'!AB16+'[1]3.5（五期）指标'!AB18+'[1]3.6（六期）指标'!AB29+'[1]3.7（七期）指标'!AB21+'[1]3.2.1期指标'!AB26+'[1]3.1.1期指标'!AB36</f>
        <v>208</v>
      </c>
      <c r="P7" s="3186">
        <f>'[1]3.1.2期指标'!AC36+'[1]3.2.2期指标'!AC26+'[1]3.3（三期）指标'!AC44+'[1]3.4（四期）指标'!AC16+'[1]3.5（五期）指标'!AC18+'[1]3.6（六期）指标'!AC29+'[1]3.7（七期）指标'!AC21+'[1]3.2.1期指标'!AC26+'[1]3.1.1期指标'!AC36</f>
        <v>208</v>
      </c>
      <c r="Q7" s="3195">
        <f>'[1]3.1.2期指标'!AD36+'[1]3.2.2期指标'!AD26+'[1]3.3（三期）指标'!AD44+'[1]3.4（四期）指标'!AD16+'[1]3.5（五期）指标'!AD18+'[1]3.6（六期）指标'!AD29+'[1]3.7（七期）指标'!AD21+'[1]3.2.1期指标'!AD26+'[1]3.1.1期指标'!AD36</f>
        <v>68</v>
      </c>
      <c r="R7" s="3195">
        <f>'[1]3.1.2期指标'!AE36+'[1]3.2.2期指标'!AE26+'[1]3.3（三期）指标'!AE44+'[1]3.4（四期）指标'!AE16+'[1]3.5（五期）指标'!AE18+'[1]3.6（六期）指标'!AE29+'[1]3.7（七期）指标'!AE21+'[1]3.2.1期指标'!AE26+'[1]3.1.1期指标'!AE36</f>
        <v>670</v>
      </c>
      <c r="S7" s="3195">
        <f>'[1]3.1.2期指标'!AF36+'[1]3.2.2期指标'!AF26+'[1]3.3（三期）指标'!AF44+'[1]3.4（四期）指标'!AF16+'[1]3.5（五期）指标'!AF18+'[1]3.6（六期）指标'!AF29+'[1]3.7（七期）指标'!AF21+'[1]3.2.1期指标'!AF26+'[1]3.1.1期指标'!AF36</f>
        <v>138</v>
      </c>
      <c r="T7" s="3195">
        <f>'[1]3.1.2期指标'!AG36+'[1]3.2.2期指标'!AG26+'[1]3.3（三期）指标'!AG44+'[1]3.4（四期）指标'!AG16+'[1]3.5（五期）指标'!AG18+'[1]3.6（六期）指标'!AG29+'[1]3.7（七期）指标'!AG21+'[1]3.2.1期指标'!AG26+'[1]3.1.1期指标'!AG36</f>
        <v>90</v>
      </c>
      <c r="U7" s="3188">
        <f>'[1]3.1.2期指标'!AH36+'[1]3.2.2期指标'!AH26+'[1]3.3（三期）指标'!AH44+'[1]3.4（四期）指标'!AH16+'[1]3.5（五期）指标'!AH18+'[1]3.6（六期）指标'!AH29+'[1]3.7（七期）指标'!AH21+'[1]3.2.1期指标'!AH26+'[1]3.1.1期指标'!AH36</f>
        <v>134</v>
      </c>
      <c r="V7" s="3188">
        <f>'[1]3.1.2期指标'!AI36+'[1]3.2.2期指标'!AI26+'[1]3.3（三期）指标'!AI44+'[1]3.4（四期）指标'!AI16+'[1]3.5（五期）指标'!AI18+'[1]3.6（六期）指标'!AI29+'[1]3.7（七期）指标'!AI21+'[1]3.2.1期指标'!AI26+'[1]3.1.1期指标'!AI36</f>
        <v>1633</v>
      </c>
      <c r="W7" s="3188">
        <f>'[1]3.1.2期指标'!AJ36+'[1]3.2.2期指标'!AJ26+'[1]3.3（三期）指标'!AJ44+'[1]3.4（四期）指标'!AJ16+'[1]3.5（五期）指标'!AJ18+'[1]3.6（六期）指标'!AJ29+'[1]3.7（七期）指标'!AJ21+'[1]3.2.1期指标'!AJ26+'[1]3.1.1期指标'!AJ36</f>
        <v>801</v>
      </c>
      <c r="X7" s="3188">
        <f>'[1]3.1.2期指标'!AK36+'[1]3.2.2期指标'!AK26+'[1]3.3（三期）指标'!AK44+'[1]3.4（四期）指标'!AK16+'[1]3.5（五期）指标'!AK18+'[1]3.6（六期）指标'!AK29+'[1]3.7（七期）指标'!AK21+'[1]3.2.1期指标'!AK26+'[1]3.1.1期指标'!AK36</f>
        <v>270</v>
      </c>
      <c r="Y7" s="3251">
        <f>'[1]3.1.2期指标'!AL36+'[1]3.2.2期指标'!AL26+'[1]3.3（三期）指标'!AL44+'[1]3.4（四期）指标'!AL16+'[1]3.5（五期）指标'!AL18+'[1]3.6（六期）指标'!AL29+'[1]3.7（七期）指标'!AL21</f>
        <v>46</v>
      </c>
      <c r="Z7" s="3251">
        <f>'[1]3.1.2期指标'!AM36+'[1]3.2.2期指标'!AM26+'[1]3.3（三期）指标'!AM44+'[1]3.4（四期）指标'!AM16+'[1]3.5（五期）指标'!AM18+'[1]3.6（六期）指标'!AM29+'[1]3.7（七期）指标'!AM21</f>
        <v>414</v>
      </c>
      <c r="AA7" s="3251">
        <f>'[1]3.1.2期指标'!AN36+'[1]3.2.2期指标'!AN26+'[1]3.3（三期）指标'!AN44+'[1]3.4（四期）指标'!AN16+'[1]3.5（五期）指标'!AN18+'[1]3.6（六期）指标'!AN29+'[1]3.7（七期）指标'!AN21</f>
        <v>228</v>
      </c>
      <c r="AB7" s="3251">
        <f>'[1]3.1.2期指标'!AO36+'[1]3.2.2期指标'!AO26+'[1]3.3（三期）指标'!AO44+'[1]3.4（四期）指标'!AO16+'[1]3.5（五期）指标'!AO18+'[1]3.6（六期）指标'!AO29+'[1]3.7（七期）指标'!AO21</f>
        <v>70</v>
      </c>
      <c r="AC7" s="3288">
        <f>'[1]3.6（六期）指标'!AP29</f>
        <v>141</v>
      </c>
      <c r="AD7" s="3288">
        <f>'[1]3.6（六期）指标'!AQ29</f>
        <v>179</v>
      </c>
      <c r="AE7" s="3059">
        <f>'[1]3.3（三期）指标'!AR44</f>
        <v>158</v>
      </c>
    </row>
    <row r="8" spans="2:31">
      <c r="C8" s="3055" t="s">
        <v>3145</v>
      </c>
      <c r="D8" s="3700" t="s">
        <v>3146</v>
      </c>
      <c r="E8" s="3700"/>
      <c r="F8" s="3700"/>
      <c r="G8" s="3066">
        <f>G9+G20</f>
        <v>858980.15</v>
      </c>
      <c r="H8" s="3055" t="s">
        <v>3142</v>
      </c>
      <c r="I8" s="3055"/>
      <c r="J8" s="3120"/>
      <c r="K8" s="3058" t="s">
        <v>3210</v>
      </c>
      <c r="L8" s="3112">
        <f>SUM(M8:AE8)</f>
        <v>1.0000000000000002</v>
      </c>
      <c r="M8" s="3328">
        <f>M7/L7</f>
        <v>9.8407643312101917E-2</v>
      </c>
      <c r="N8" s="3328">
        <f>N7/L7</f>
        <v>3.2802547770700637E-2</v>
      </c>
      <c r="O8" s="3328">
        <f>O7/L7</f>
        <v>3.3121019108280254E-2</v>
      </c>
      <c r="P8" s="3328">
        <f>P7/L7</f>
        <v>3.3121019108280254E-2</v>
      </c>
      <c r="Q8" s="3329">
        <f>Q7/L7</f>
        <v>1.0828025477707006E-2</v>
      </c>
      <c r="R8" s="3329">
        <f>R7/L7</f>
        <v>0.10668789808917198</v>
      </c>
      <c r="S8" s="3329">
        <f>S7/L7</f>
        <v>2.1974522292993629E-2</v>
      </c>
      <c r="T8" s="3329">
        <f>T7/L7</f>
        <v>1.4331210191082803E-2</v>
      </c>
      <c r="U8" s="3330">
        <f>U7/L7</f>
        <v>2.1337579617834394E-2</v>
      </c>
      <c r="V8" s="3330">
        <f>V7/L7</f>
        <v>0.26003184713375799</v>
      </c>
      <c r="W8" s="3330">
        <f>W7/L7</f>
        <v>0.12754777070063694</v>
      </c>
      <c r="X8" s="3330">
        <f>X7/L7</f>
        <v>4.2993630573248405E-2</v>
      </c>
      <c r="Y8" s="3331">
        <f>Y7/L7</f>
        <v>7.3248407643312103E-3</v>
      </c>
      <c r="Z8" s="3331">
        <f>Z7/L7</f>
        <v>6.5923566878980891E-2</v>
      </c>
      <c r="AA8" s="3331">
        <f>AA7/L7</f>
        <v>3.6305732484076432E-2</v>
      </c>
      <c r="AB8" s="3331">
        <f>AB7/L7</f>
        <v>1.1146496815286623E-2</v>
      </c>
      <c r="AC8" s="3332">
        <f>AC7/L7</f>
        <v>2.2452229299363056E-2</v>
      </c>
      <c r="AD8" s="3332">
        <f>AD7/L7</f>
        <v>2.8503184713375797E-2</v>
      </c>
      <c r="AE8" s="3333">
        <f>AE7/L7</f>
        <v>2.515923566878981E-2</v>
      </c>
    </row>
    <row r="9" spans="2:31">
      <c r="C9" s="3704" t="s">
        <v>3149</v>
      </c>
      <c r="D9" s="3700" t="s">
        <v>3150</v>
      </c>
      <c r="E9" s="3700"/>
      <c r="F9" s="3700"/>
      <c r="G9" s="3066">
        <f>G10+G16+G17+G19+G18</f>
        <v>656564.82999999996</v>
      </c>
      <c r="H9" s="3055" t="s">
        <v>3142</v>
      </c>
      <c r="I9" s="3055"/>
      <c r="J9" s="3120">
        <f>G7*J23</f>
        <v>656530.10096000019</v>
      </c>
      <c r="K9" s="3044">
        <f>'[1]3.1.2期指标'!G9+'[1]3.2.2期指标'!G10+'[1]3.3（三期）指标'!G9+'[1]3.4（四期）指标'!G9+'[1]3.5（五期）指标'!G9+'[1]3.6（六期）指标'!G9+'[1]3.7（七期）指标'!G9</f>
        <v>541909.50999999989</v>
      </c>
      <c r="L9" s="3236"/>
      <c r="M9" s="3236"/>
      <c r="N9" s="3236"/>
      <c r="O9" s="3236"/>
      <c r="P9" s="3236"/>
      <c r="Q9" s="3236"/>
      <c r="R9" s="3236"/>
      <c r="S9" s="3236"/>
      <c r="T9" s="3236"/>
      <c r="U9" s="3236"/>
      <c r="V9" s="3236"/>
      <c r="W9" s="3236"/>
      <c r="X9" s="3236"/>
      <c r="Y9" s="3236"/>
      <c r="Z9" s="3236"/>
      <c r="AA9" s="3236"/>
      <c r="AB9" s="3236"/>
      <c r="AC9" s="3236"/>
      <c r="AD9" s="3236"/>
      <c r="AE9" s="3236"/>
    </row>
    <row r="10" spans="2:31">
      <c r="C10" s="3705"/>
      <c r="D10" s="3700" t="s">
        <v>3149</v>
      </c>
      <c r="E10" s="3707" t="s">
        <v>3153</v>
      </c>
      <c r="F10" s="3707"/>
      <c r="G10" s="3066">
        <f>SUM(G11:G15)</f>
        <v>628150.40999999992</v>
      </c>
      <c r="H10" s="3055" t="s">
        <v>3142</v>
      </c>
      <c r="I10" s="3055"/>
      <c r="J10" s="3253">
        <f>G9-J9</f>
        <v>34.729039999772795</v>
      </c>
      <c r="K10" s="3044">
        <f>'[1]3.1.2期指标'!G10+'[1]3.2.2期指标'!G11+'[1]3.3（三期）指标'!G10+'[1]3.4（四期）指标'!G10+'[1]3.5（五期）指标'!G10+'[1]3.6（六期）指标'!G10+'[1]3.7（七期）指标'!G10</f>
        <v>529812.87</v>
      </c>
      <c r="L10" s="3236"/>
      <c r="M10" s="3236"/>
      <c r="N10" s="3236"/>
      <c r="O10" s="3236"/>
      <c r="P10" s="3236"/>
      <c r="Q10" s="3236"/>
      <c r="R10" s="3236"/>
      <c r="S10" s="3236"/>
      <c r="T10" s="3236"/>
      <c r="U10" s="3236"/>
      <c r="V10" s="3236"/>
      <c r="W10" s="3236"/>
      <c r="X10" s="3236"/>
      <c r="Y10" s="3236"/>
      <c r="Z10" s="3236"/>
      <c r="AA10" s="3236"/>
      <c r="AB10" s="3236"/>
      <c r="AC10" s="3236"/>
      <c r="AD10" s="3236"/>
      <c r="AE10" s="3236"/>
    </row>
    <row r="11" spans="2:31">
      <c r="B11" s="3065">
        <f>规划区综合指标!G11</f>
        <v>577641.65999999992</v>
      </c>
      <c r="C11" s="3705"/>
      <c r="D11" s="3700"/>
      <c r="E11" s="3708" t="s">
        <v>3149</v>
      </c>
      <c r="F11" s="3334" t="s">
        <v>3300</v>
      </c>
      <c r="G11" s="3079">
        <f>'[1]3.1.2期指标'!G11+'[1]3.2.2期指标'!G12+'[1]3.3（三期）指标'!G11+'[1]3.4（四期）指标'!G11+'[1]3.5（五期）指标'!G11+'[1]3.6（六期）指标'!G11+'[1]3.7（七期）指标'!G11+'[1]3.1.1期指标'!G11+'[1]3.2.1期指标'!G12</f>
        <v>577641.65999999992</v>
      </c>
      <c r="H11" s="3055" t="s">
        <v>3142</v>
      </c>
      <c r="I11" s="3055"/>
      <c r="J11" s="3120"/>
      <c r="L11" s="3236"/>
      <c r="M11" s="3236"/>
      <c r="N11" s="3236"/>
      <c r="O11" s="3236"/>
      <c r="P11" s="3236"/>
      <c r="Q11" s="3236"/>
      <c r="R11" s="3236"/>
      <c r="S11" s="3236"/>
      <c r="T11" s="3236"/>
      <c r="U11" s="3236"/>
      <c r="V11" s="3236"/>
      <c r="W11" s="3236"/>
      <c r="X11" s="3236"/>
      <c r="Y11" s="3236"/>
      <c r="Z11" s="3236"/>
      <c r="AA11" s="3236"/>
      <c r="AB11" s="3236"/>
      <c r="AC11" s="3236"/>
      <c r="AD11" s="3236"/>
      <c r="AE11" s="3236"/>
    </row>
    <row r="12" spans="2:31">
      <c r="B12" s="3065">
        <f>规划区综合指标!G13</f>
        <v>28565.589999999989</v>
      </c>
      <c r="C12" s="3705"/>
      <c r="D12" s="3700"/>
      <c r="E12" s="3708"/>
      <c r="F12" s="3334" t="s">
        <v>3326</v>
      </c>
      <c r="G12" s="3079">
        <f>'[1]3.3（三期）指标'!G13+'[1]3.4（四期）指标'!G12</f>
        <v>5483.52</v>
      </c>
      <c r="H12" s="3055" t="s">
        <v>3142</v>
      </c>
      <c r="I12" s="3055"/>
      <c r="J12" s="3120">
        <f>G10*0.01</f>
        <v>6281.5040999999992</v>
      </c>
      <c r="L12" s="3236">
        <v>656564.82999999996</v>
      </c>
      <c r="M12" s="3236"/>
      <c r="N12" s="3236"/>
      <c r="O12" s="3236"/>
      <c r="P12" s="3236"/>
      <c r="Q12" s="3236"/>
      <c r="R12" s="3236"/>
      <c r="S12" s="3236"/>
      <c r="T12" s="3236"/>
      <c r="U12" s="3236"/>
      <c r="V12" s="3236"/>
      <c r="W12" s="3236"/>
      <c r="X12" s="3236"/>
      <c r="Y12" s="3236"/>
      <c r="Z12" s="3236"/>
      <c r="AA12" s="3236"/>
      <c r="AB12" s="3236"/>
      <c r="AC12" s="3236"/>
      <c r="AD12" s="3236"/>
      <c r="AE12" s="3236"/>
    </row>
    <row r="13" spans="2:31">
      <c r="C13" s="3705"/>
      <c r="D13" s="3700"/>
      <c r="E13" s="3708"/>
      <c r="F13" s="3078" t="s">
        <v>3324</v>
      </c>
      <c r="G13" s="3079">
        <f>'[1]3.3（三期）指标'!G12</f>
        <v>28565.589999999989</v>
      </c>
      <c r="H13" s="3055" t="s">
        <v>3142</v>
      </c>
      <c r="I13" s="3055"/>
      <c r="J13" s="3120"/>
      <c r="L13" s="3335">
        <f>L12-G9</f>
        <v>0</v>
      </c>
      <c r="M13" s="3236"/>
      <c r="N13" s="3236"/>
      <c r="O13" s="3236"/>
      <c r="P13" s="3236"/>
      <c r="Q13" s="3236"/>
      <c r="R13" s="3236"/>
      <c r="S13" s="3236"/>
      <c r="T13" s="3236"/>
      <c r="U13" s="3236"/>
      <c r="V13" s="3236"/>
      <c r="W13" s="3236"/>
      <c r="X13" s="3236"/>
      <c r="Y13" s="3236"/>
      <c r="Z13" s="3236"/>
      <c r="AA13" s="3236"/>
      <c r="AB13" s="3236"/>
      <c r="AC13" s="3236"/>
      <c r="AD13" s="3236"/>
      <c r="AE13" s="3236"/>
    </row>
    <row r="14" spans="2:31">
      <c r="B14" s="3065"/>
      <c r="C14" s="3705"/>
      <c r="D14" s="3700"/>
      <c r="E14" s="3708"/>
      <c r="F14" s="3078" t="s">
        <v>3395</v>
      </c>
      <c r="G14" s="3079">
        <f>'[1]3.6（六期）指标'!G12</f>
        <v>8063.96</v>
      </c>
      <c r="H14" s="3055" t="s">
        <v>3142</v>
      </c>
      <c r="I14" s="3055"/>
      <c r="J14" s="3120"/>
      <c r="L14" s="3236"/>
      <c r="M14" s="3236"/>
      <c r="N14" s="3236"/>
      <c r="O14" s="3236"/>
      <c r="P14" s="3236"/>
      <c r="Q14" s="3236"/>
      <c r="R14" s="3236"/>
      <c r="S14" s="3236"/>
      <c r="T14" s="3236"/>
      <c r="U14" s="3236"/>
      <c r="V14" s="3236"/>
      <c r="W14" s="3236"/>
      <c r="X14" s="3236"/>
      <c r="Y14" s="3236"/>
      <c r="Z14" s="3236"/>
      <c r="AA14" s="3236"/>
      <c r="AB14" s="3236"/>
      <c r="AC14" s="3236"/>
      <c r="AD14" s="3236"/>
      <c r="AE14" s="3236"/>
    </row>
    <row r="15" spans="2:31">
      <c r="C15" s="3705"/>
      <c r="D15" s="3700"/>
      <c r="E15" s="3708"/>
      <c r="F15" s="3078" t="s">
        <v>3397</v>
      </c>
      <c r="G15" s="3079">
        <f>'[1]3.6（六期）指标'!G13</f>
        <v>8395.68</v>
      </c>
      <c r="H15" s="3055" t="s">
        <v>3142</v>
      </c>
      <c r="I15" s="3055"/>
      <c r="J15" s="3120"/>
      <c r="L15" s="3236"/>
      <c r="M15" s="3236"/>
      <c r="N15" s="3236"/>
      <c r="O15" s="3236"/>
      <c r="P15" s="3236"/>
      <c r="Q15" s="3236"/>
      <c r="R15" s="3236"/>
      <c r="S15" s="3236"/>
      <c r="T15" s="3236"/>
      <c r="U15" s="3236"/>
      <c r="V15" s="3236"/>
      <c r="W15" s="3236"/>
      <c r="X15" s="3236"/>
      <c r="Y15" s="3236"/>
      <c r="Z15" s="3236"/>
      <c r="AA15" s="3236"/>
      <c r="AB15" s="3236"/>
      <c r="AC15" s="3236"/>
      <c r="AD15" s="3236"/>
      <c r="AE15" s="3236"/>
    </row>
    <row r="16" spans="2:31">
      <c r="B16" s="3065"/>
      <c r="C16" s="3705"/>
      <c r="D16" s="3700"/>
      <c r="E16" s="3700" t="s">
        <v>3161</v>
      </c>
      <c r="F16" s="3700"/>
      <c r="G16" s="3066">
        <f>'[1]3.1.1期指标'!G13</f>
        <v>6138.5300000000007</v>
      </c>
      <c r="H16" s="3055" t="s">
        <v>3142</v>
      </c>
      <c r="I16" s="3055" t="s">
        <v>3162</v>
      </c>
      <c r="J16" s="3120">
        <v>13980</v>
      </c>
      <c r="L16" s="3236"/>
      <c r="M16" s="3236"/>
      <c r="N16" s="3236"/>
      <c r="O16" s="3236"/>
      <c r="P16" s="3236"/>
      <c r="Q16" s="3236"/>
      <c r="R16" s="3236"/>
      <c r="S16" s="3236"/>
      <c r="T16" s="3236"/>
      <c r="U16" s="3236"/>
      <c r="V16" s="3236"/>
      <c r="W16" s="3236"/>
      <c r="X16" s="3236"/>
      <c r="Y16" s="3236"/>
      <c r="Z16" s="3236"/>
      <c r="AA16" s="3236"/>
      <c r="AB16" s="3236"/>
      <c r="AC16" s="3236"/>
      <c r="AD16" s="3236"/>
      <c r="AE16" s="3236"/>
    </row>
    <row r="17" spans="1:31">
      <c r="C17" s="3705"/>
      <c r="D17" s="3700"/>
      <c r="E17" s="3709" t="s">
        <v>3165</v>
      </c>
      <c r="F17" s="3710"/>
      <c r="G17" s="3066">
        <f>'[1]3.1.1期指标'!G15+'[1]3.2.1期指标'!G16+'[1]3.3（三期）指标'!G15+'[1]3.4（四期）指标'!G15+'[1]3.5（五期）指标'!G15+'[1]3.6（六期）指标'!G15+'[1]3.7（七期）指标'!G15+'[1]3.1.2期指标'!G15+'[1]3.2.2期指标'!G16</f>
        <v>12904.03</v>
      </c>
      <c r="H17" s="3055" t="s">
        <v>3142</v>
      </c>
      <c r="I17" s="3055"/>
      <c r="J17" s="3253">
        <f>J16-G16</f>
        <v>7841.4699999999993</v>
      </c>
      <c r="L17" s="3236"/>
      <c r="M17" s="3236"/>
      <c r="N17" s="3236"/>
      <c r="O17" s="3236"/>
      <c r="P17" s="3236"/>
      <c r="Q17" s="3236"/>
      <c r="R17" s="3236"/>
      <c r="S17" s="3236"/>
      <c r="T17" s="3236"/>
      <c r="U17" s="3236"/>
      <c r="V17" s="3236"/>
      <c r="W17" s="3236"/>
      <c r="X17" s="3236"/>
      <c r="Y17" s="3236"/>
      <c r="Z17" s="3236"/>
      <c r="AA17" s="3236"/>
      <c r="AB17" s="3236"/>
      <c r="AC17" s="3236"/>
      <c r="AD17" s="3236"/>
      <c r="AE17" s="3236"/>
    </row>
    <row r="18" spans="1:31">
      <c r="C18" s="3705"/>
      <c r="D18" s="3700"/>
      <c r="E18" s="3709" t="s">
        <v>3367</v>
      </c>
      <c r="F18" s="3710"/>
      <c r="G18" s="3066">
        <v>758.7</v>
      </c>
      <c r="H18" s="3055"/>
      <c r="I18" s="3055"/>
      <c r="J18" s="3253"/>
      <c r="L18" s="3236"/>
      <c r="M18" s="3236"/>
      <c r="N18" s="3236"/>
      <c r="O18" s="3236"/>
      <c r="P18" s="3236"/>
      <c r="Q18" s="3236"/>
      <c r="R18" s="3236"/>
      <c r="S18" s="3236"/>
      <c r="T18" s="3236"/>
      <c r="U18" s="3236"/>
      <c r="V18" s="3236"/>
      <c r="W18" s="3236"/>
      <c r="X18" s="3236"/>
      <c r="Y18" s="3236"/>
      <c r="Z18" s="3236"/>
      <c r="AA18" s="3236"/>
      <c r="AB18" s="3236"/>
      <c r="AC18" s="3236"/>
      <c r="AD18" s="3236"/>
      <c r="AE18" s="3236"/>
    </row>
    <row r="19" spans="1:31">
      <c r="C19" s="3705"/>
      <c r="D19" s="3700"/>
      <c r="E19" s="3700" t="s">
        <v>3168</v>
      </c>
      <c r="F19" s="3700"/>
      <c r="G19" s="3066">
        <f>'[1]3.1.1期指标'!G16+'[1]3.2.1期指标'!G17+'[1]3.3（三期）指标'!G16+'[1]3.4（四期）指标'!G16+'[1]3.5（五期）指标'!G16+'[1]3.6（六期）指标'!G16+'[1]3.7（七期）指标'!G16+'[1]3.2.2期指标'!G17+'[1]3.1.2期指标'!G16</f>
        <v>8613.16</v>
      </c>
      <c r="H19" s="3055" t="s">
        <v>3142</v>
      </c>
      <c r="I19" s="3336"/>
      <c r="J19" s="3253">
        <f>G19-R11</f>
        <v>8613.16</v>
      </c>
      <c r="L19" s="3236"/>
      <c r="M19" s="3236"/>
      <c r="N19" s="3236"/>
      <c r="O19" s="3236"/>
      <c r="P19" s="3236"/>
      <c r="Q19" s="3236"/>
      <c r="R19" s="3236"/>
      <c r="S19" s="3236"/>
      <c r="T19" s="3236"/>
      <c r="U19" s="3236"/>
      <c r="V19" s="3236"/>
      <c r="W19" s="3236"/>
      <c r="X19" s="3236"/>
      <c r="Y19" s="3236"/>
      <c r="Z19" s="3236"/>
      <c r="AA19" s="3236"/>
      <c r="AB19" s="3236"/>
      <c r="AC19" s="3236"/>
      <c r="AD19" s="3236"/>
      <c r="AE19" s="3236"/>
    </row>
    <row r="20" spans="1:31">
      <c r="C20" s="3705"/>
      <c r="D20" s="3701" t="s">
        <v>3171</v>
      </c>
      <c r="E20" s="3702"/>
      <c r="F20" s="3703"/>
      <c r="G20" s="3066">
        <f>G21+G22</f>
        <v>202415.32000000004</v>
      </c>
      <c r="H20" s="3055" t="s">
        <v>3142</v>
      </c>
      <c r="I20" s="3055"/>
      <c r="J20" s="3120"/>
      <c r="K20" s="3044">
        <f>'[1]3.1.2期指标'!G17+'[1]3.2.2期指标'!G19+'[1]3.3（三期）指标'!G17+'[1]3.4（四期）指标'!G17+'[1]3.5（五期）指标'!G17+'[1]3.6（六期）指标'!G17+'[1]3.7（七期）指标'!G17+'[1]3.1.1期指标'!G17+'[1]3.2.1期指标'!G19</f>
        <v>202415.32</v>
      </c>
      <c r="L20" s="3236">
        <v>201950.6</v>
      </c>
      <c r="M20" s="3335">
        <f>G20-L20</f>
        <v>464.72000000003027</v>
      </c>
      <c r="N20" s="3236"/>
      <c r="O20" s="3236"/>
      <c r="P20" s="3236"/>
      <c r="Q20" s="3236"/>
      <c r="R20" s="3236"/>
      <c r="S20" s="3236"/>
      <c r="T20" s="3236"/>
      <c r="U20" s="3236"/>
      <c r="V20" s="3236"/>
      <c r="W20" s="3236"/>
      <c r="X20" s="3236"/>
      <c r="Y20" s="3236"/>
      <c r="Z20" s="3236"/>
      <c r="AA20" s="3236"/>
      <c r="AB20" s="3236"/>
      <c r="AC20" s="3236"/>
      <c r="AD20" s="3236"/>
      <c r="AE20" s="3236"/>
    </row>
    <row r="21" spans="1:31">
      <c r="C21" s="3705"/>
      <c r="D21" s="3700" t="s">
        <v>3149</v>
      </c>
      <c r="E21" s="3708" t="s">
        <v>3172</v>
      </c>
      <c r="F21" s="3708"/>
      <c r="G21" s="3079">
        <f>'[1]3.1.1期指标'!G18+'[1]3.1.2期指标'!G18+'[1]3.2.1期指标'!G20+'[1]3.2.2期指标'!G20+'[1]3.3（三期）指标'!G18+'[1]3.4（四期）指标'!G18+'[1]3.5（五期）指标'!G18+'[1]3.6（六期）指标'!G18+'[1]3.7（七期）指标'!G19</f>
        <v>33952.76</v>
      </c>
      <c r="H21" s="3055" t="s">
        <v>3142</v>
      </c>
      <c r="I21" s="3055"/>
      <c r="J21" s="3120"/>
      <c r="L21" s="3236"/>
      <c r="M21" s="3236"/>
      <c r="N21" s="3236"/>
      <c r="O21" s="3236"/>
      <c r="P21" s="3236"/>
      <c r="Q21" s="3236"/>
      <c r="R21" s="3236"/>
      <c r="S21" s="3236"/>
      <c r="T21" s="3236"/>
      <c r="U21" s="3236"/>
      <c r="V21" s="3236"/>
      <c r="W21" s="3236"/>
      <c r="X21" s="3236"/>
      <c r="Y21" s="3236"/>
      <c r="Z21" s="3236"/>
      <c r="AA21" s="3236"/>
      <c r="AB21" s="3236"/>
      <c r="AC21" s="3236"/>
      <c r="AD21" s="3236"/>
      <c r="AE21" s="3236"/>
    </row>
    <row r="22" spans="1:31">
      <c r="A22" s="3044">
        <v>167902.49</v>
      </c>
      <c r="B22" s="3065">
        <f>A22-G22</f>
        <v>-560.07000000003609</v>
      </c>
      <c r="C22" s="3706"/>
      <c r="D22" s="3700"/>
      <c r="E22" s="3707" t="s">
        <v>3173</v>
      </c>
      <c r="F22" s="3707"/>
      <c r="G22" s="3066">
        <f>'[1]3.1.1期指标'!G19+'[1]3.1.2期指标'!G19+'[1]3.2.1期指标'!G21+'[1]3.2.2期指标'!G21+'[1]3.3（三期）指标'!G19+'[1]3.4（四期）指标'!G19+'[1]3.5（五期）指标'!G19+'[1]3.6（六期）指标'!G19+'[1]3.7（七期）指标'!G20</f>
        <v>168462.56000000003</v>
      </c>
      <c r="H22" s="3055" t="s">
        <v>3142</v>
      </c>
      <c r="I22" s="3055" t="s">
        <v>3174</v>
      </c>
      <c r="J22" s="3120"/>
      <c r="L22" s="3236"/>
      <c r="M22" s="3236"/>
      <c r="N22" s="3236"/>
      <c r="O22" s="3236"/>
      <c r="P22" s="3236"/>
      <c r="Q22" s="3236"/>
      <c r="R22" s="3236"/>
      <c r="S22" s="3236"/>
      <c r="T22" s="3236"/>
      <c r="U22" s="3236"/>
      <c r="V22" s="3236"/>
      <c r="W22" s="3236"/>
      <c r="X22" s="3236"/>
      <c r="Y22" s="3236"/>
      <c r="Z22" s="3236"/>
      <c r="AA22" s="3236"/>
      <c r="AB22" s="3236"/>
      <c r="AC22" s="3236"/>
      <c r="AD22" s="3236"/>
      <c r="AE22" s="3236"/>
    </row>
    <row r="23" spans="1:31">
      <c r="C23" s="3055" t="s">
        <v>3176</v>
      </c>
      <c r="D23" s="3701" t="s">
        <v>3177</v>
      </c>
      <c r="E23" s="3702"/>
      <c r="F23" s="3703"/>
      <c r="G23" s="3066">
        <f>G9/G7</f>
        <v>2.0961108739229672</v>
      </c>
      <c r="H23" s="3055"/>
      <c r="I23" s="3055"/>
      <c r="J23" s="3120">
        <v>2.0960000000000001</v>
      </c>
      <c r="L23" s="3236"/>
      <c r="M23" s="3236"/>
      <c r="N23" s="3236"/>
      <c r="O23" s="3236"/>
      <c r="P23" s="3236"/>
      <c r="Q23" s="3236"/>
      <c r="R23" s="3236"/>
      <c r="S23" s="3236"/>
      <c r="T23" s="3236"/>
      <c r="U23" s="3236"/>
      <c r="V23" s="3236"/>
      <c r="W23" s="3236"/>
      <c r="X23" s="3236"/>
      <c r="Y23" s="3236"/>
      <c r="Z23" s="3236"/>
      <c r="AA23" s="3236"/>
      <c r="AB23" s="3236"/>
      <c r="AC23" s="3236"/>
      <c r="AD23" s="3236"/>
      <c r="AE23" s="3236"/>
    </row>
    <row r="24" spans="1:31">
      <c r="C24" s="3055" t="s">
        <v>3179</v>
      </c>
      <c r="D24" s="3701" t="s">
        <v>3180</v>
      </c>
      <c r="E24" s="3702"/>
      <c r="F24" s="3703"/>
      <c r="G24" s="3093">
        <f>'[1]3.1.2期指标'!G21+'[1]3.2.2期指标'!G23+'[1]3.3（三期）指标'!G21+'[1]3.4（四期）指标'!G21+'[1]3.5（五期）指标'!G21+'[1]3.6（六期）指标'!G21+'[1]3.7（七期）指标'!G22+'[1]3.1.1期指标'!G21+'[1]3.2.1期指标'!G23</f>
        <v>6280</v>
      </c>
      <c r="H24" s="3055" t="s">
        <v>3181</v>
      </c>
      <c r="I24" s="3055"/>
      <c r="J24" s="3120"/>
      <c r="L24" s="3236"/>
      <c r="M24" s="3236"/>
      <c r="N24" s="3236"/>
      <c r="O24" s="3236"/>
      <c r="P24" s="3236"/>
      <c r="Q24" s="3236"/>
      <c r="R24" s="3236"/>
      <c r="S24" s="3236"/>
      <c r="T24" s="3236"/>
      <c r="U24" s="3236"/>
      <c r="V24" s="3236"/>
      <c r="W24" s="3236"/>
      <c r="X24" s="3236"/>
      <c r="Y24" s="3236"/>
      <c r="Z24" s="3236"/>
      <c r="AA24" s="3236"/>
      <c r="AB24" s="3236"/>
      <c r="AC24" s="3236"/>
      <c r="AD24" s="3236"/>
      <c r="AE24" s="3236"/>
    </row>
    <row r="25" spans="1:31">
      <c r="C25" s="3055" t="s">
        <v>3183</v>
      </c>
      <c r="D25" s="3701" t="s">
        <v>3184</v>
      </c>
      <c r="E25" s="3702"/>
      <c r="F25" s="3703"/>
      <c r="G25" s="3066">
        <v>3.2</v>
      </c>
      <c r="H25" s="3055" t="s">
        <v>3185</v>
      </c>
      <c r="I25" s="3055"/>
      <c r="J25" s="3120"/>
      <c r="L25" s="3236"/>
      <c r="M25" s="3236"/>
      <c r="N25" s="3236"/>
      <c r="O25" s="3236"/>
      <c r="P25" s="3236"/>
      <c r="Q25" s="3236"/>
      <c r="R25" s="3236"/>
      <c r="S25" s="3236"/>
      <c r="T25" s="3236"/>
      <c r="U25" s="3236"/>
      <c r="V25" s="3236"/>
      <c r="W25" s="3236"/>
      <c r="X25" s="3236"/>
      <c r="Y25" s="3236"/>
      <c r="Z25" s="3236"/>
      <c r="AA25" s="3236"/>
      <c r="AB25" s="3236"/>
      <c r="AC25" s="3236"/>
      <c r="AD25" s="3236"/>
      <c r="AE25" s="3236"/>
    </row>
    <row r="26" spans="1:31">
      <c r="C26" s="3055" t="s">
        <v>3187</v>
      </c>
      <c r="D26" s="3701" t="s">
        <v>3188</v>
      </c>
      <c r="E26" s="3702"/>
      <c r="F26" s="3703"/>
      <c r="G26" s="3091">
        <f>G24*G25</f>
        <v>20096</v>
      </c>
      <c r="H26" s="3055" t="s">
        <v>3189</v>
      </c>
      <c r="I26" s="3055"/>
      <c r="J26" s="3120"/>
      <c r="L26" s="3236"/>
      <c r="M26" s="3236"/>
      <c r="N26" s="3236"/>
      <c r="O26" s="3236"/>
      <c r="P26" s="3236"/>
      <c r="Q26" s="3236"/>
      <c r="R26" s="3236"/>
      <c r="S26" s="3236"/>
      <c r="T26" s="3236"/>
      <c r="U26" s="3236"/>
      <c r="V26" s="3236"/>
      <c r="W26" s="3236"/>
      <c r="X26" s="3236"/>
      <c r="Y26" s="3236"/>
      <c r="Z26" s="3236"/>
      <c r="AA26" s="3236"/>
      <c r="AB26" s="3236"/>
      <c r="AC26" s="3236"/>
      <c r="AD26" s="3236"/>
      <c r="AE26" s="3236"/>
    </row>
    <row r="27" spans="1:31">
      <c r="B27" s="3044">
        <v>19.600000000000001</v>
      </c>
      <c r="C27" s="3055" t="s">
        <v>3191</v>
      </c>
      <c r="D27" s="3701" t="s">
        <v>3192</v>
      </c>
      <c r="E27" s="3702"/>
      <c r="F27" s="3703"/>
      <c r="G27" s="3066">
        <f>('[1]3.1.2期指标'!Q37+'[1]3.1.1期指标'!Q37+'[1]3.2.1期指标'!Q26+'[1]3.2.2期指标'!Q26+'[1]3.3（三期）指标'!Q44+'[1]3.4（四期）指标'!Q18+'[1]3.5（五期）指标'!Q18+'[1]3.6（六期）指标'!Q29+'[1]3.7（七期）指标'!Q21)/规划区综合指标!G7*100</f>
        <v>24.554735352465109</v>
      </c>
      <c r="H27" s="3055" t="s">
        <v>3193</v>
      </c>
      <c r="I27" s="3055"/>
      <c r="J27" s="3120"/>
      <c r="L27" s="3236"/>
      <c r="M27" s="3236"/>
      <c r="N27" s="3236"/>
      <c r="O27" s="3236"/>
      <c r="P27" s="3236"/>
      <c r="Q27" s="3236"/>
      <c r="R27" s="3236"/>
      <c r="S27" s="3236"/>
      <c r="T27" s="3236"/>
      <c r="U27" s="3236"/>
      <c r="V27" s="3236"/>
      <c r="W27" s="3236"/>
      <c r="X27" s="3236"/>
      <c r="Y27" s="3236"/>
      <c r="Z27" s="3236"/>
      <c r="AA27" s="3236"/>
      <c r="AB27" s="3236"/>
      <c r="AC27" s="3236"/>
      <c r="AD27" s="3236"/>
      <c r="AE27" s="3236"/>
    </row>
    <row r="28" spans="1:31">
      <c r="C28" s="3055" t="s">
        <v>3195</v>
      </c>
      <c r="D28" s="3701" t="s">
        <v>3196</v>
      </c>
      <c r="E28" s="3702"/>
      <c r="F28" s="3703"/>
      <c r="G28" s="3066">
        <v>30.1</v>
      </c>
      <c r="H28" s="3055" t="s">
        <v>3193</v>
      </c>
      <c r="I28" s="3055"/>
      <c r="J28" s="3120"/>
    </row>
    <row r="29" spans="1:31">
      <c r="C29" s="3055" t="s">
        <v>3197</v>
      </c>
      <c r="D29" s="3711" t="s">
        <v>3198</v>
      </c>
      <c r="E29" s="3712"/>
      <c r="F29" s="3713"/>
      <c r="G29" s="3199">
        <f>G30+G31</f>
        <v>6372</v>
      </c>
      <c r="H29" s="3055" t="s">
        <v>3199</v>
      </c>
      <c r="I29" s="3055"/>
      <c r="J29" s="3173">
        <f>G24*1+G17/10000*65</f>
        <v>6363.8761949999998</v>
      </c>
      <c r="K29" s="3096">
        <f>G29-J29</f>
        <v>8.1238050000001749</v>
      </c>
    </row>
    <row r="30" spans="1:31">
      <c r="C30" s="3700"/>
      <c r="D30" s="3708" t="s">
        <v>3149</v>
      </c>
      <c r="E30" s="3711" t="s">
        <v>3201</v>
      </c>
      <c r="F30" s="3703"/>
      <c r="G30" s="3199">
        <f>'[1]3.1.2期指标'!G27+'[1]3.2.2期指标'!G29+'[1]3.3（三期）指标'!G27+'[1]3.4（四期）指标'!G27+'[1]3.5（五期）指标'!G27+'[1]3.6（六期）指标'!G28+'[1]3.7（七期）指标'!G28+'[1]3.1.1期指标'!G27+'[1]3.2.1期指标'!G29</f>
        <v>1097</v>
      </c>
      <c r="H30" s="3055" t="s">
        <v>3199</v>
      </c>
      <c r="I30" s="3055"/>
      <c r="J30" s="3173">
        <f>J29*0.2</f>
        <v>1272.7752390000001</v>
      </c>
    </row>
    <row r="31" spans="1:31">
      <c r="C31" s="3700"/>
      <c r="D31" s="3708"/>
      <c r="E31" s="3711" t="s">
        <v>3203</v>
      </c>
      <c r="F31" s="3703"/>
      <c r="G31" s="3199">
        <f>'[1]3.1.2期指标'!G28+'[1]3.2.2期指标'!G30+'[1]3.3（三期）指标'!G28+'[1]3.4（四期）指标'!G28+'[1]3.5（五期）指标'!G28+'[1]3.6（六期）指标'!G29+'[1]3.7（七期）指标'!G29+'[1]3.1.1期指标'!G28+'[1]3.2.1期指标'!G30</f>
        <v>5275</v>
      </c>
      <c r="H31" s="3055" t="s">
        <v>3199</v>
      </c>
      <c r="I31" s="3055"/>
      <c r="J31" s="3173">
        <f>J29-J30</f>
        <v>5091.1009560000002</v>
      </c>
    </row>
    <row r="33" spans="3:21">
      <c r="G33" s="3044">
        <f>G30/G29</f>
        <v>0.17215944758317639</v>
      </c>
    </row>
    <row r="38" spans="3:21">
      <c r="C38" s="3606" t="s">
        <v>3211</v>
      </c>
      <c r="D38" s="3607"/>
      <c r="E38" s="3607"/>
      <c r="F38" s="3607"/>
      <c r="G38" s="3607"/>
      <c r="L38" s="3608" t="s">
        <v>3431</v>
      </c>
      <c r="M38" s="3609"/>
      <c r="N38" s="3609"/>
      <c r="O38" s="3609"/>
      <c r="P38" s="3610"/>
    </row>
    <row r="39" spans="3:21">
      <c r="C39" s="3113"/>
      <c r="D39" s="3113"/>
      <c r="E39" s="3114" t="s">
        <v>3214</v>
      </c>
      <c r="F39" s="3059" t="s">
        <v>3215</v>
      </c>
      <c r="G39" s="3059" t="s">
        <v>3216</v>
      </c>
      <c r="L39" s="3611" t="s">
        <v>3135</v>
      </c>
      <c r="M39" s="3611"/>
      <c r="N39" s="3337" t="s">
        <v>3136</v>
      </c>
      <c r="O39" s="3337" t="s">
        <v>3137</v>
      </c>
      <c r="P39" s="3337" t="s">
        <v>3110</v>
      </c>
      <c r="R39" s="3338" t="s">
        <v>3432</v>
      </c>
      <c r="S39" s="3120"/>
      <c r="T39" s="3339" t="s">
        <v>3216</v>
      </c>
      <c r="U39" s="3120"/>
    </row>
    <row r="40" spans="3:21" ht="27">
      <c r="C40" s="3612" t="s">
        <v>3217</v>
      </c>
      <c r="D40" s="3115" t="s">
        <v>3218</v>
      </c>
      <c r="E40" s="3116">
        <f>'[1]3.1.1期指标'!E41</f>
        <v>6138.5300000000007</v>
      </c>
      <c r="F40" s="3059"/>
      <c r="G40" s="3059"/>
      <c r="L40" s="3611" t="s">
        <v>3433</v>
      </c>
      <c r="M40" s="3611"/>
      <c r="N40" s="3340">
        <f>G50</f>
        <v>0</v>
      </c>
      <c r="O40" s="3337" t="s">
        <v>3142</v>
      </c>
      <c r="P40" s="3341" t="s">
        <v>3143</v>
      </c>
      <c r="R40" s="3342">
        <f>450*A59/1000</f>
        <v>0</v>
      </c>
      <c r="S40" s="3120"/>
      <c r="T40" s="3343" t="s">
        <v>3434</v>
      </c>
      <c r="U40" s="3122" t="s">
        <v>3435</v>
      </c>
    </row>
    <row r="41" spans="3:21">
      <c r="C41" s="3613"/>
      <c r="D41" s="3115" t="s">
        <v>3219</v>
      </c>
      <c r="E41" s="3116"/>
      <c r="F41" s="3059"/>
      <c r="G41" s="3059"/>
      <c r="L41" s="3608" t="s">
        <v>3436</v>
      </c>
      <c r="M41" s="3614"/>
      <c r="N41" s="3344">
        <f>G49</f>
        <v>0</v>
      </c>
      <c r="O41" s="3337" t="s">
        <v>3142</v>
      </c>
      <c r="P41" s="3337" t="s">
        <v>3437</v>
      </c>
      <c r="R41" s="3342"/>
      <c r="S41" s="3120"/>
      <c r="T41" s="3120"/>
      <c r="U41" s="3120"/>
    </row>
    <row r="42" spans="3:21">
      <c r="C42" s="3615" t="s">
        <v>3221</v>
      </c>
      <c r="D42" s="3115" t="s">
        <v>3222</v>
      </c>
      <c r="E42" s="3714">
        <f>'[1]3.1.1期指标'!G15+'[1]3.1.2期指标'!G15+'[1]3.2.1期指标'!G16+'[1]3.2.2期指标'!G16+'[1]3.3（三期）指标'!G15+'[1]3.4（四期）指标'!G15+'[1]3.5（五期）指标'!G15+'[1]3.6（六期）指标'!G15+'[1]3.7（七期）指标'!G15</f>
        <v>12904.030000000002</v>
      </c>
      <c r="F42" s="3059"/>
      <c r="G42" s="3059"/>
      <c r="L42" s="3619" t="s">
        <v>3395</v>
      </c>
      <c r="M42" s="3614"/>
      <c r="N42" s="3303">
        <f>L33</f>
        <v>0</v>
      </c>
      <c r="O42" s="3337" t="s">
        <v>3142</v>
      </c>
      <c r="P42" s="3337" t="s">
        <v>3438</v>
      </c>
      <c r="R42" s="3342">
        <f>J77*0.01</f>
        <v>0</v>
      </c>
      <c r="S42" s="3120"/>
      <c r="T42" s="3122" t="s">
        <v>3439</v>
      </c>
      <c r="U42" s="3122" t="s">
        <v>3435</v>
      </c>
    </row>
    <row r="43" spans="3:21">
      <c r="C43" s="3615"/>
      <c r="D43" s="3115" t="s">
        <v>3224</v>
      </c>
      <c r="E43" s="3715"/>
      <c r="F43" s="3059"/>
      <c r="G43" s="3059"/>
      <c r="L43" s="3619" t="s">
        <v>3397</v>
      </c>
      <c r="M43" s="3614"/>
      <c r="N43" s="3303">
        <f>L34</f>
        <v>0</v>
      </c>
      <c r="O43" s="3337" t="s">
        <v>3142</v>
      </c>
      <c r="P43" s="3337" t="s">
        <v>3438</v>
      </c>
      <c r="R43" s="3342">
        <f>J77*0.01</f>
        <v>0</v>
      </c>
      <c r="S43" s="3120"/>
      <c r="T43" s="3122" t="s">
        <v>3440</v>
      </c>
      <c r="U43" s="3122" t="s">
        <v>3435</v>
      </c>
    </row>
    <row r="44" spans="3:21">
      <c r="C44" s="3615"/>
      <c r="D44" s="3115" t="s">
        <v>3226</v>
      </c>
      <c r="E44" s="3715"/>
      <c r="F44" s="3059"/>
      <c r="G44" s="3059"/>
      <c r="L44" s="3611" t="s">
        <v>3168</v>
      </c>
      <c r="M44" s="3611"/>
      <c r="N44" s="3344" t="e">
        <f>SUM(N45:N58)</f>
        <v>#REF!</v>
      </c>
      <c r="O44" s="3337" t="s">
        <v>3142</v>
      </c>
      <c r="P44" s="3337"/>
      <c r="R44" s="3342"/>
      <c r="S44" s="3120"/>
      <c r="T44" s="3120"/>
      <c r="U44" s="3120"/>
    </row>
    <row r="45" spans="3:21" ht="40.5">
      <c r="C45" s="3615"/>
      <c r="D45" s="3115" t="s">
        <v>3228</v>
      </c>
      <c r="E45" s="3715"/>
      <c r="F45" s="3059"/>
      <c r="G45" s="3059"/>
      <c r="L45" s="3337" t="s">
        <v>3441</v>
      </c>
      <c r="M45" s="3337" t="s">
        <v>3442</v>
      </c>
      <c r="N45" s="3344" t="e">
        <f>#REF!+M19+#REF!</f>
        <v>#REF!</v>
      </c>
      <c r="O45" s="3337" t="s">
        <v>3142</v>
      </c>
      <c r="P45" s="3337" t="s">
        <v>3443</v>
      </c>
      <c r="R45" s="3342">
        <f>300+(J75-100000)*0.0015</f>
        <v>150</v>
      </c>
      <c r="S45" s="3253" t="e">
        <f>O45-R45</f>
        <v>#VALUE!</v>
      </c>
      <c r="T45" s="3343" t="s">
        <v>3444</v>
      </c>
      <c r="U45" s="3122" t="s">
        <v>3435</v>
      </c>
    </row>
    <row r="46" spans="3:21" ht="27">
      <c r="C46" s="3615"/>
      <c r="D46" s="3115" t="s">
        <v>3230</v>
      </c>
      <c r="E46" s="3716"/>
      <c r="F46" s="3059"/>
      <c r="G46" s="3059"/>
      <c r="L46" s="3337"/>
      <c r="M46" s="3337"/>
      <c r="N46" s="3337"/>
      <c r="O46" s="3337"/>
      <c r="P46" s="3337"/>
      <c r="R46" s="3342">
        <f>J88/100*300</f>
        <v>0</v>
      </c>
      <c r="S46" s="3120"/>
      <c r="T46" s="3345" t="s">
        <v>3445</v>
      </c>
      <c r="U46" s="3122" t="s">
        <v>3435</v>
      </c>
    </row>
    <row r="47" spans="3:21">
      <c r="C47" s="3113"/>
      <c r="D47" s="3113"/>
      <c r="E47" s="3116"/>
      <c r="F47" s="3059"/>
      <c r="G47" s="3059"/>
      <c r="L47" s="3337" t="s">
        <v>3446</v>
      </c>
      <c r="M47" s="3337" t="s">
        <v>3232</v>
      </c>
      <c r="N47" s="3337" t="e">
        <f>#REF!</f>
        <v>#REF!</v>
      </c>
      <c r="O47" s="3337" t="s">
        <v>3142</v>
      </c>
      <c r="P47" s="3337" t="s">
        <v>3447</v>
      </c>
      <c r="R47" s="3342">
        <v>600</v>
      </c>
      <c r="S47" s="3120"/>
      <c r="T47" s="3122" t="s">
        <v>3448</v>
      </c>
      <c r="U47" s="3120" t="s">
        <v>3449</v>
      </c>
    </row>
    <row r="48" spans="3:21" ht="27">
      <c r="C48" s="3084" t="s">
        <v>3231</v>
      </c>
      <c r="D48" s="3119" t="s">
        <v>3232</v>
      </c>
      <c r="E48" s="3116">
        <f>'[1]3.1.1期指标'!E49+'[1]3.1.2期指标'!E49+'[1]3.2.1期指标'!E46+'[1]3.2.2期指标'!E46+'[1]3.3（三期）指标'!E59+'[1]3.4（四期）指标'!E44+'[1]3.5（五期）指标'!E44+'[1]3.6（六期）指标'!E47+'[1]3.7（七期）指标'!E47</f>
        <v>1910.76</v>
      </c>
      <c r="F48" s="3059"/>
      <c r="G48" s="3059"/>
      <c r="L48" s="3337"/>
      <c r="M48" s="3337"/>
      <c r="N48" s="3337"/>
      <c r="O48" s="3337"/>
      <c r="P48" s="3341"/>
      <c r="R48" s="3342"/>
      <c r="S48" s="3120"/>
      <c r="T48" s="3346" t="s">
        <v>3450</v>
      </c>
      <c r="U48" s="3120"/>
    </row>
    <row r="49" spans="3:21" ht="40.5">
      <c r="C49" s="3115"/>
      <c r="D49" s="3120"/>
      <c r="E49" s="3120"/>
      <c r="F49" s="3059"/>
      <c r="G49" s="3059"/>
      <c r="L49" s="3337" t="s">
        <v>3451</v>
      </c>
      <c r="M49" s="3337" t="s">
        <v>3452</v>
      </c>
      <c r="N49" s="3337">
        <f>30*4</f>
        <v>120</v>
      </c>
      <c r="O49" s="3337" t="s">
        <v>3142</v>
      </c>
      <c r="P49" s="3341" t="s">
        <v>3453</v>
      </c>
      <c r="R49" s="3342">
        <f>6*J90/1000</f>
        <v>0</v>
      </c>
      <c r="S49" s="3120"/>
      <c r="T49" s="3347" t="s">
        <v>3454</v>
      </c>
      <c r="U49" s="3122" t="s">
        <v>3435</v>
      </c>
    </row>
    <row r="50" spans="3:21" ht="40.5">
      <c r="C50" s="3605" t="s">
        <v>3233</v>
      </c>
      <c r="D50" s="3119" t="s">
        <v>3234</v>
      </c>
      <c r="E50" s="3116">
        <f>'[1]3.1.1期指标'!E51+'[1]3.1.2期指标'!E51+'[1]3.2.1期指标'!E48+'[1]3.2.2期指标'!E48+'[1]3.3（三期）指标'!E61+'[1]3.4（四期）指标'!E46+'[1]3.5（五期）指标'!E46+'[1]3.6（六期）指标'!E49+'[1]3.7（七期）指标'!E49</f>
        <v>1525.13</v>
      </c>
      <c r="F50" s="3059"/>
      <c r="G50" s="3059"/>
      <c r="L50" s="3337" t="s">
        <v>3455</v>
      </c>
      <c r="M50" s="3337" t="s">
        <v>3456</v>
      </c>
      <c r="N50" s="3337" t="e">
        <f>#REF!+60+60</f>
        <v>#REF!</v>
      </c>
      <c r="O50" s="3337" t="s">
        <v>3142</v>
      </c>
      <c r="P50" s="3341" t="s">
        <v>3453</v>
      </c>
      <c r="R50" s="3342"/>
      <c r="S50" s="3120"/>
      <c r="T50" s="3120"/>
      <c r="U50" s="3120"/>
    </row>
    <row r="51" spans="3:21" ht="40.5">
      <c r="C51" s="3605"/>
      <c r="D51" s="3115" t="s">
        <v>3235</v>
      </c>
      <c r="E51" s="3116"/>
      <c r="F51" s="3059"/>
      <c r="G51" s="3059"/>
      <c r="L51" s="3337" t="s">
        <v>3457</v>
      </c>
      <c r="M51" s="3337" t="s">
        <v>3458</v>
      </c>
      <c r="N51" s="3337" t="e">
        <f>#REF!</f>
        <v>#REF!</v>
      </c>
      <c r="O51" s="3337" t="s">
        <v>3142</v>
      </c>
      <c r="P51" s="3341" t="s">
        <v>3453</v>
      </c>
      <c r="R51" s="3342"/>
      <c r="S51" s="3120"/>
      <c r="T51" s="3120"/>
      <c r="U51" s="3120"/>
    </row>
    <row r="52" spans="3:21">
      <c r="C52" s="3121"/>
      <c r="D52" s="3113"/>
      <c r="E52" s="3116"/>
      <c r="F52" s="3059"/>
      <c r="G52" s="3059"/>
      <c r="L52" s="3337" t="s">
        <v>3459</v>
      </c>
      <c r="M52" s="3337" t="s">
        <v>3460</v>
      </c>
      <c r="N52" s="3337" t="e">
        <f>#REF!</f>
        <v>#REF!</v>
      </c>
      <c r="O52" s="3337" t="s">
        <v>3142</v>
      </c>
      <c r="P52" s="3337" t="s">
        <v>3447</v>
      </c>
      <c r="R52" s="3342">
        <v>300</v>
      </c>
      <c r="S52" s="3120"/>
      <c r="T52" s="3122" t="s">
        <v>3461</v>
      </c>
      <c r="U52" s="3120" t="s">
        <v>3449</v>
      </c>
    </row>
    <row r="53" spans="3:21">
      <c r="C53" s="3113"/>
      <c r="D53" s="3113"/>
      <c r="E53" s="3116"/>
      <c r="F53" s="3059"/>
      <c r="G53" s="3059"/>
      <c r="L53" s="3337" t="s">
        <v>3462</v>
      </c>
      <c r="M53" s="3337" t="s">
        <v>3234</v>
      </c>
      <c r="N53" s="3337" t="e">
        <f>#REF!</f>
        <v>#REF!</v>
      </c>
      <c r="O53" s="3337" t="s">
        <v>3142</v>
      </c>
      <c r="P53" s="3337" t="s">
        <v>3463</v>
      </c>
      <c r="R53" s="3342">
        <v>1000</v>
      </c>
      <c r="S53" s="3120"/>
      <c r="T53" s="3122" t="s">
        <v>3464</v>
      </c>
      <c r="U53" s="3120" t="s">
        <v>3449</v>
      </c>
    </row>
    <row r="54" spans="3:21">
      <c r="C54" s="3620" t="s">
        <v>3236</v>
      </c>
      <c r="D54" s="3119" t="s">
        <v>3271</v>
      </c>
      <c r="E54" s="3622">
        <f>'[1]3.1.2期指标'!E54+'[1]3.2.2期指标'!E52+'[1]3.3（三期）指标'!E65+'[1]3.4（四期）指标'!E50+'[1]3.5（五期）指标'!E50+'[1]3.6（六期）指标'!E53+'[1]3.7（七期）指标'!E53</f>
        <v>0</v>
      </c>
      <c r="F54" s="3059"/>
      <c r="G54" s="3059"/>
      <c r="L54" s="3337" t="s">
        <v>3465</v>
      </c>
      <c r="M54" s="3337" t="s">
        <v>3466</v>
      </c>
      <c r="N54" s="3337" t="e">
        <f>#REF!</f>
        <v>#REF!</v>
      </c>
      <c r="O54" s="3337" t="s">
        <v>3142</v>
      </c>
      <c r="P54" s="3337" t="s">
        <v>3467</v>
      </c>
      <c r="R54" s="3342">
        <v>300</v>
      </c>
      <c r="S54" s="3120"/>
      <c r="T54" s="3120" t="s">
        <v>3468</v>
      </c>
      <c r="U54" s="3120" t="s">
        <v>3449</v>
      </c>
    </row>
    <row r="55" spans="3:21" ht="40.5">
      <c r="C55" s="3621"/>
      <c r="D55" s="3119" t="s">
        <v>3272</v>
      </c>
      <c r="E55" s="3618"/>
      <c r="F55" s="3059"/>
      <c r="G55" s="3059"/>
      <c r="L55" s="3337" t="s">
        <v>3469</v>
      </c>
      <c r="M55" s="3337" t="s">
        <v>3470</v>
      </c>
      <c r="N55" s="3337">
        <v>30</v>
      </c>
      <c r="O55" s="3337" t="s">
        <v>3142</v>
      </c>
      <c r="P55" s="3341" t="s">
        <v>3453</v>
      </c>
      <c r="R55" s="3342"/>
      <c r="S55" s="3120"/>
      <c r="T55" s="3120"/>
      <c r="U55" s="3120"/>
    </row>
    <row r="56" spans="3:21">
      <c r="C56" s="3113"/>
      <c r="D56" s="3113"/>
      <c r="E56" s="3116"/>
      <c r="F56" s="3059"/>
      <c r="G56" s="3059"/>
      <c r="L56" s="3348" t="s">
        <v>3471</v>
      </c>
      <c r="M56" s="3349" t="s">
        <v>3472</v>
      </c>
      <c r="N56" s="3303" t="e">
        <f>M20+#REF!+#REF!</f>
        <v>#REF!</v>
      </c>
      <c r="O56" s="3337" t="s">
        <v>3142</v>
      </c>
      <c r="P56" s="3301" t="s">
        <v>3473</v>
      </c>
      <c r="R56" s="3342">
        <f>30*J88/100</f>
        <v>0</v>
      </c>
      <c r="S56" s="3120"/>
      <c r="T56" s="3122" t="s">
        <v>3474</v>
      </c>
      <c r="U56" s="3253" t="e">
        <f>O56-R56</f>
        <v>#VALUE!</v>
      </c>
    </row>
    <row r="57" spans="3:21">
      <c r="C57" s="3620" t="s">
        <v>3273</v>
      </c>
      <c r="D57" s="3119" t="s">
        <v>3274</v>
      </c>
      <c r="E57" s="3116">
        <f>'[1]3.1.2期指标'!E58+'[1]3.2.2期指标'!E55+'[1]3.3（三期）指标'!E68+'[1]3.4（四期）指标'!E53+'[1]3.5（五期）指标'!E53+'[1]3.6（六期）指标'!E56+'[1]3.7（七期）指标'!E56</f>
        <v>384.17</v>
      </c>
      <c r="F57" s="3059"/>
      <c r="G57" s="3059"/>
      <c r="L57" s="3349" t="s">
        <v>3475</v>
      </c>
      <c r="M57" s="3349" t="s">
        <v>3476</v>
      </c>
      <c r="N57" s="3350">
        <v>20</v>
      </c>
      <c r="O57" s="3337" t="s">
        <v>3142</v>
      </c>
      <c r="P57" s="3301" t="s">
        <v>3477</v>
      </c>
      <c r="R57" s="3342"/>
      <c r="S57" s="3120"/>
      <c r="T57" s="3120"/>
      <c r="U57" s="3120"/>
    </row>
    <row r="58" spans="3:21">
      <c r="C58" s="3623"/>
      <c r="D58" s="3119" t="s">
        <v>3275</v>
      </c>
      <c r="E58" s="3116"/>
      <c r="F58" s="3059"/>
      <c r="G58" s="3059"/>
      <c r="L58" s="3190" t="s">
        <v>3478</v>
      </c>
      <c r="M58" s="3190" t="s">
        <v>3479</v>
      </c>
      <c r="N58" s="3113">
        <v>30</v>
      </c>
      <c r="O58" s="3113"/>
      <c r="P58" s="3113" t="s">
        <v>3480</v>
      </c>
      <c r="R58" s="3342"/>
      <c r="S58" s="3120"/>
      <c r="T58" s="3120"/>
      <c r="U58" s="3120"/>
    </row>
    <row r="59" spans="3:21">
      <c r="C59" s="3623"/>
      <c r="D59" s="3119" t="s">
        <v>3276</v>
      </c>
      <c r="E59" s="3116">
        <f>'[1]3.1.2期指标'!E59+'[1]3.2.2期指标'!E57+'[1]3.3（三期）指标'!E70+'[1]3.4（四期）指标'!E55+'[1]3.5（五期）指标'!E55+'[1]3.6（六期）指标'!E58+'[1]3.7（七期）指标'!E58</f>
        <v>0</v>
      </c>
      <c r="F59" s="3059"/>
      <c r="G59" s="3059"/>
      <c r="L59" s="3113" t="s">
        <v>3481</v>
      </c>
      <c r="M59" s="3113"/>
      <c r="N59" s="3351" t="e">
        <f>N44+N43+N42+N41+N40</f>
        <v>#REF!</v>
      </c>
      <c r="O59" s="3113"/>
      <c r="P59" s="3113"/>
      <c r="R59" s="3120"/>
      <c r="S59" s="3120"/>
      <c r="T59" s="3120"/>
      <c r="U59" s="3120"/>
    </row>
    <row r="60" spans="3:21">
      <c r="C60" s="3623"/>
      <c r="D60" s="3119" t="s">
        <v>3277</v>
      </c>
      <c r="E60" s="3327">
        <f>'[1]3.1.1期指标'!E61+'[1]3.1.2期指标'!E61+'[1]3.2.1期指标'!E58+'[1]3.2.2期指标'!E58+'[1]3.3（三期）指标'!E71+'[1]3.4（四期）指标'!E56+'[1]3.5（五期）指标'!E56+'[1]3.6（六期）指标'!E59+'[1]3.7（七期）指标'!E59</f>
        <v>2065.29</v>
      </c>
      <c r="F60" s="3059"/>
      <c r="G60" s="3059"/>
      <c r="L60" s="3120"/>
      <c r="M60" s="3122" t="s">
        <v>3289</v>
      </c>
      <c r="N60" s="3120">
        <v>24.28</v>
      </c>
      <c r="O60" s="3120"/>
      <c r="P60" s="3120"/>
    </row>
    <row r="61" spans="3:21">
      <c r="C61" s="3621"/>
      <c r="D61" s="3115" t="s">
        <v>3278</v>
      </c>
      <c r="E61" s="3327">
        <f>'[1]3.1.2期指标'!E62+'[1]3.2.2期指标'!E59+'[1]3.3（三期）指标'!E72+'[1]3.4（四期）指标'!E57+'[1]3.5（五期）指标'!E57+'[1]3.6（六期）指标'!E60+'[1]3.7（七期）指标'!E60</f>
        <v>2486.1</v>
      </c>
      <c r="F61" s="3059"/>
      <c r="G61" s="3059"/>
      <c r="L61" s="3352" t="e">
        <f>#REF!+#REF!+#REF!+R7+#REF!+J7+J33+13</f>
        <v>#REF!</v>
      </c>
      <c r="M61" s="3122" t="s">
        <v>3482</v>
      </c>
      <c r="N61" s="3120">
        <v>25.15</v>
      </c>
      <c r="O61" s="3120"/>
      <c r="P61" s="3120"/>
    </row>
    <row r="62" spans="3:21">
      <c r="C62" s="3615" t="s">
        <v>3279</v>
      </c>
      <c r="D62" s="3115" t="s">
        <v>3280</v>
      </c>
      <c r="E62" s="3116"/>
      <c r="F62" s="3059"/>
      <c r="G62" s="3059"/>
      <c r="L62" s="3194">
        <v>1164</v>
      </c>
      <c r="M62" s="3120"/>
      <c r="N62" s="3120"/>
      <c r="O62" s="3120"/>
      <c r="P62" s="3120"/>
    </row>
    <row r="63" spans="3:21">
      <c r="C63" s="3615"/>
      <c r="D63" s="3119" t="s">
        <v>3281</v>
      </c>
      <c r="E63" s="3116"/>
      <c r="F63" s="3059"/>
      <c r="G63" s="3059"/>
      <c r="L63" s="3352" t="e">
        <f>L61-L62</f>
        <v>#REF!</v>
      </c>
      <c r="M63" s="3120"/>
      <c r="N63" s="3120"/>
      <c r="O63" s="3120"/>
      <c r="P63" s="3120"/>
    </row>
    <row r="64" spans="3:21">
      <c r="C64" s="3615"/>
      <c r="D64" s="3119" t="s">
        <v>3282</v>
      </c>
      <c r="E64" s="3116">
        <f>'[1]3.1.1期指标'!E65+'[1]3.1.2期指标'!E65+'[1]3.2.1期指标'!E62+'[1]3.2.2期指标'!E62+'[1]3.3（三期）指标'!E75+'[1]3.4（四期）指标'!E60+'[1]3.5（五期）指标'!E60+'[1]3.6（六期）指标'!E63+'[1]3.7（七期）指标'!E63</f>
        <v>125.35</v>
      </c>
      <c r="F64" s="3059"/>
      <c r="G64" s="3059"/>
    </row>
    <row r="65" spans="3:7">
      <c r="C65" s="3615"/>
      <c r="D65" s="3115" t="s">
        <v>3283</v>
      </c>
      <c r="E65" s="3116"/>
      <c r="F65" s="3059"/>
      <c r="G65" s="3059"/>
    </row>
    <row r="66" spans="3:7">
      <c r="C66" s="3615"/>
      <c r="D66" s="3115" t="s">
        <v>3284</v>
      </c>
      <c r="E66" s="3116">
        <f>'[1]3.1.1期指标'!E67</f>
        <v>20.88</v>
      </c>
      <c r="F66" s="3059"/>
      <c r="G66" s="3059"/>
    </row>
    <row r="67" spans="3:7">
      <c r="C67" s="3615"/>
      <c r="D67" s="3115"/>
      <c r="E67" s="3116"/>
      <c r="F67" s="3059"/>
      <c r="G67" s="3059"/>
    </row>
    <row r="68" spans="3:7">
      <c r="C68" s="3615"/>
      <c r="D68" s="3115" t="s">
        <v>3285</v>
      </c>
      <c r="E68" s="3116">
        <f>'[1]3.1.2期指标'!E68+'[1]3.2.2期指标'!E66+'[1]3.3（三期）指标'!E79+'[1]3.4（四期）指标'!E64+'[1]3.5（五期）指标'!E64+'[1]3.6（六期）指标'!E67+'[1]3.7（七期）指标'!E67</f>
        <v>20.14</v>
      </c>
      <c r="F68" s="3059"/>
      <c r="G68" s="3059"/>
    </row>
    <row r="69" spans="3:7">
      <c r="C69" s="3615"/>
      <c r="D69" s="3115" t="s">
        <v>3286</v>
      </c>
      <c r="E69" s="3116">
        <f>'[1]3.1.1期指标'!E70</f>
        <v>30.04</v>
      </c>
      <c r="F69" s="3059"/>
      <c r="G69" s="3059"/>
    </row>
    <row r="70" spans="3:7">
      <c r="C70" s="3615"/>
      <c r="D70" s="3115" t="s">
        <v>3287</v>
      </c>
      <c r="E70" s="3116">
        <f>'[1]3.1.1期指标'!E71</f>
        <v>20.89</v>
      </c>
      <c r="F70" s="3059">
        <v>23.63</v>
      </c>
      <c r="G70" s="3059"/>
    </row>
    <row r="71" spans="3:7">
      <c r="C71" s="3615"/>
      <c r="D71" s="3115" t="s">
        <v>3288</v>
      </c>
      <c r="E71" s="3116"/>
      <c r="F71" s="3059">
        <f>'[1]3.1.2期指标'!F72+'[1]3.2.2期指标'!F69+'[1]3.3（三期）指标'!F82+'[1]3.4（四期）指标'!F67+'[1]3.5（五期）指标'!F67+'[1]3.6（六期）指标'!F70+'[1]3.7（七期）指标'!F70</f>
        <v>0</v>
      </c>
      <c r="G71" s="3059"/>
    </row>
    <row r="72" spans="3:7">
      <c r="C72" s="3615"/>
      <c r="D72" s="3115" t="s">
        <v>3289</v>
      </c>
      <c r="E72" s="3116">
        <f>'[1]3.1.1期指标'!E73</f>
        <v>24.41</v>
      </c>
      <c r="F72" s="3059"/>
      <c r="G72" s="3059"/>
    </row>
    <row r="73" spans="3:7">
      <c r="C73" s="3058" t="s">
        <v>3209</v>
      </c>
      <c r="D73" s="3058"/>
      <c r="E73" s="3058">
        <f>SUM(E40:E72)</f>
        <v>27655.72</v>
      </c>
      <c r="F73" s="3058"/>
      <c r="G73" s="3059"/>
    </row>
  </sheetData>
  <mergeCells count="44">
    <mergeCell ref="C50:C51"/>
    <mergeCell ref="C54:C55"/>
    <mergeCell ref="E54:E55"/>
    <mergeCell ref="C57:C61"/>
    <mergeCell ref="C62:C72"/>
    <mergeCell ref="L38:P38"/>
    <mergeCell ref="L39:M39"/>
    <mergeCell ref="C40:C41"/>
    <mergeCell ref="L40:M40"/>
    <mergeCell ref="L41:M41"/>
    <mergeCell ref="C38:G38"/>
    <mergeCell ref="C42:C46"/>
    <mergeCell ref="E42:E46"/>
    <mergeCell ref="L42:M42"/>
    <mergeCell ref="L43:M43"/>
    <mergeCell ref="L44:M44"/>
    <mergeCell ref="D29:F29"/>
    <mergeCell ref="C30:C31"/>
    <mergeCell ref="D30:D31"/>
    <mergeCell ref="E30:F30"/>
    <mergeCell ref="E31:F31"/>
    <mergeCell ref="D28:F28"/>
    <mergeCell ref="E17:F17"/>
    <mergeCell ref="E18:F18"/>
    <mergeCell ref="E19:F19"/>
    <mergeCell ref="D20:F20"/>
    <mergeCell ref="D21:D22"/>
    <mergeCell ref="E21:F21"/>
    <mergeCell ref="E22:F22"/>
    <mergeCell ref="D23:F23"/>
    <mergeCell ref="D24:F24"/>
    <mergeCell ref="D25:F25"/>
    <mergeCell ref="D26:F26"/>
    <mergeCell ref="D27:F27"/>
    <mergeCell ref="C5:I5"/>
    <mergeCell ref="D6:F6"/>
    <mergeCell ref="D7:F7"/>
    <mergeCell ref="D8:F8"/>
    <mergeCell ref="C9:C22"/>
    <mergeCell ref="D9:F9"/>
    <mergeCell ref="D10:D19"/>
    <mergeCell ref="E10:F10"/>
    <mergeCell ref="E11:E15"/>
    <mergeCell ref="E16:F16"/>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S72"/>
  <sheetViews>
    <sheetView zoomScaleNormal="100" workbookViewId="0">
      <selection activeCell="I30" sqref="I30"/>
    </sheetView>
  </sheetViews>
  <sheetFormatPr defaultRowHeight="13.5"/>
  <cols>
    <col min="1" max="3" width="9" style="3044"/>
    <col min="4" max="4" width="15.5" style="3044" customWidth="1"/>
    <col min="5" max="5" width="15.75" style="3044" customWidth="1"/>
    <col min="6" max="6" width="15.125" style="3044" customWidth="1"/>
    <col min="7" max="7" width="12.125" style="3044" customWidth="1"/>
    <col min="8" max="8" width="9.25" style="3044" customWidth="1"/>
    <col min="9" max="9" width="9" style="3044"/>
    <col min="10" max="10" width="10.5" style="3044" bestFit="1" customWidth="1"/>
    <col min="11" max="12" width="9" style="3044"/>
    <col min="13" max="13" width="15.375" style="3044" customWidth="1"/>
    <col min="14" max="14" width="15" style="3044" customWidth="1"/>
    <col min="15" max="15" width="13.625" style="3044" customWidth="1"/>
    <col min="16" max="17" width="9.5" style="3044" bestFit="1" customWidth="1"/>
    <col min="18" max="21" width="9" style="3044"/>
    <col min="22" max="22" width="14.25" style="3044" customWidth="1"/>
    <col min="23" max="23" width="9.5" style="3044" bestFit="1" customWidth="1"/>
    <col min="24" max="16384" width="9" style="3044"/>
  </cols>
  <sheetData>
    <row r="4" spans="3:44" ht="14.25" thickBot="1">
      <c r="K4" s="3719" t="s">
        <v>3292</v>
      </c>
      <c r="L4" s="3720"/>
      <c r="M4" s="3720"/>
      <c r="N4" s="3720"/>
      <c r="O4" s="3720"/>
      <c r="P4" s="3720"/>
      <c r="Q4" s="3720"/>
      <c r="R4" s="3720"/>
      <c r="S4" s="3720"/>
      <c r="T4" s="3720"/>
      <c r="U4" s="3720"/>
      <c r="V4" s="3721"/>
      <c r="W4" s="3120"/>
      <c r="Y4" s="3044" t="s">
        <v>3071</v>
      </c>
    </row>
    <row r="5" spans="3:44" ht="81">
      <c r="C5" s="3722" t="s">
        <v>3413</v>
      </c>
      <c r="D5" s="3723"/>
      <c r="E5" s="3723"/>
      <c r="F5" s="3723"/>
      <c r="G5" s="3723"/>
      <c r="H5" s="3723"/>
      <c r="I5" s="3724"/>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051"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240" t="s">
        <v>3260</v>
      </c>
      <c r="AM5" s="3240" t="s">
        <v>3261</v>
      </c>
      <c r="AN5" s="3240" t="s">
        <v>3262</v>
      </c>
      <c r="AO5" s="3240" t="s">
        <v>3263</v>
      </c>
      <c r="AP5" s="3054" t="s">
        <v>3264</v>
      </c>
      <c r="AQ5" s="3054" t="s">
        <v>3265</v>
      </c>
      <c r="AR5" s="3054" t="s">
        <v>3266</v>
      </c>
    </row>
    <row r="6" spans="3:44">
      <c r="C6" s="3055" t="s">
        <v>3134</v>
      </c>
      <c r="D6" s="3700" t="s">
        <v>3135</v>
      </c>
      <c r="E6" s="3700"/>
      <c r="F6" s="3700"/>
      <c r="G6" s="3055" t="s">
        <v>3136</v>
      </c>
      <c r="H6" s="3055" t="s">
        <v>3137</v>
      </c>
      <c r="I6" s="3055" t="s">
        <v>3110</v>
      </c>
      <c r="J6" s="3120"/>
      <c r="L6" s="3717" t="s">
        <v>3414</v>
      </c>
      <c r="M6" s="3718"/>
      <c r="N6" s="3304">
        <f t="shared" ref="N6:N15" si="0">O6+P6</f>
        <v>8722.2100000000009</v>
      </c>
      <c r="O6" s="3304">
        <v>8449.92</v>
      </c>
      <c r="P6" s="3304">
        <v>272.29000000000002</v>
      </c>
      <c r="Q6" s="3305">
        <v>781.26</v>
      </c>
      <c r="R6" s="3306">
        <f>11*2*3</f>
        <v>66</v>
      </c>
      <c r="S6" s="3306">
        <f t="shared" ref="S6:S15" si="1">R6*3.2</f>
        <v>211.20000000000002</v>
      </c>
      <c r="T6" s="3307" t="s">
        <v>3360</v>
      </c>
      <c r="U6" s="3308">
        <v>34.799999999999997</v>
      </c>
      <c r="V6" s="3182"/>
      <c r="W6" s="3309">
        <v>750.08</v>
      </c>
      <c r="X6" s="3310"/>
      <c r="Y6" s="3058">
        <f>SUM(Z6:AR6)</f>
        <v>66</v>
      </c>
      <c r="Z6" s="3275"/>
      <c r="AA6" s="3275"/>
      <c r="AB6" s="3275"/>
      <c r="AC6" s="3275"/>
      <c r="AD6" s="3246"/>
      <c r="AE6" s="3246"/>
      <c r="AF6" s="3246"/>
      <c r="AG6" s="3246"/>
      <c r="AH6" s="3252"/>
      <c r="AI6" s="3252"/>
      <c r="AJ6" s="3252"/>
      <c r="AK6" s="3252"/>
      <c r="AL6" s="3251">
        <v>3</v>
      </c>
      <c r="AM6" s="3251">
        <v>37</v>
      </c>
      <c r="AN6" s="3251">
        <v>20</v>
      </c>
      <c r="AO6" s="3251">
        <v>6</v>
      </c>
      <c r="AP6" s="3246"/>
      <c r="AQ6" s="3246"/>
      <c r="AR6" s="3246"/>
    </row>
    <row r="7" spans="3:44">
      <c r="C7" s="3055" t="s">
        <v>3140</v>
      </c>
      <c r="D7" s="3701" t="s">
        <v>3141</v>
      </c>
      <c r="E7" s="3702"/>
      <c r="F7" s="3703"/>
      <c r="G7" s="3066">
        <f>313230.01-'[1]3.1.2期指标'!G7-'[1]3.2.2期指标'!G7-'[1]3.3（三期）指标'!G7-'[1]3.4（四期）指标'!G7-'[1]3.5（五期）指标'!G7-'[1]3.6（六期）指标'!G7-'[1]3.1.1期指标'!G7-'[1]3.2.1期指标'!G7</f>
        <v>42342.870000000024</v>
      </c>
      <c r="H7" s="3055" t="s">
        <v>3142</v>
      </c>
      <c r="I7" s="3055"/>
      <c r="J7" s="3253">
        <f>'3.7（七期）指标'!G7</f>
        <v>42342.870000000024</v>
      </c>
      <c r="L7" s="3717" t="s">
        <v>3415</v>
      </c>
      <c r="M7" s="3718"/>
      <c r="N7" s="3304">
        <f t="shared" si="0"/>
        <v>10457.49</v>
      </c>
      <c r="O7" s="3311">
        <v>10219.379999999999</v>
      </c>
      <c r="P7" s="3311">
        <v>238.11</v>
      </c>
      <c r="Q7" s="3308">
        <v>924.36</v>
      </c>
      <c r="R7" s="3306">
        <f>11*4+12*6</f>
        <v>116</v>
      </c>
      <c r="S7" s="3306">
        <f t="shared" si="1"/>
        <v>371.20000000000005</v>
      </c>
      <c r="T7" s="3307" t="s">
        <v>3360</v>
      </c>
      <c r="U7" s="3308">
        <v>34.799999999999997</v>
      </c>
      <c r="V7" s="3182"/>
      <c r="W7" s="3304">
        <v>884.1</v>
      </c>
      <c r="X7" s="3310"/>
      <c r="Y7" s="3058">
        <f>SUM(Z7:AR7)</f>
        <v>116</v>
      </c>
      <c r="Z7" s="3186">
        <v>36</v>
      </c>
      <c r="AA7" s="3186">
        <v>12</v>
      </c>
      <c r="AB7" s="3186">
        <v>12</v>
      </c>
      <c r="AC7" s="3186">
        <v>12</v>
      </c>
      <c r="AD7" s="3280"/>
      <c r="AE7" s="3280"/>
      <c r="AF7" s="3280"/>
      <c r="AG7" s="3280"/>
      <c r="AH7" s="3187"/>
      <c r="AI7" s="3187"/>
      <c r="AJ7" s="3187"/>
      <c r="AK7" s="3187"/>
      <c r="AL7" s="3251">
        <v>4</v>
      </c>
      <c r="AM7" s="3251">
        <v>28</v>
      </c>
      <c r="AN7" s="3251">
        <v>8</v>
      </c>
      <c r="AO7" s="3251">
        <v>4</v>
      </c>
      <c r="AP7" s="3113"/>
      <c r="AQ7" s="3113"/>
      <c r="AR7" s="3113"/>
    </row>
    <row r="8" spans="3:44">
      <c r="C8" s="3055" t="s">
        <v>3145</v>
      </c>
      <c r="D8" s="3700" t="s">
        <v>3146</v>
      </c>
      <c r="E8" s="3700"/>
      <c r="F8" s="3700"/>
      <c r="G8" s="3066">
        <f>G9+G17</f>
        <v>121413.93999999997</v>
      </c>
      <c r="H8" s="3055" t="s">
        <v>3142</v>
      </c>
      <c r="I8" s="3055"/>
      <c r="J8" s="3120"/>
      <c r="L8" s="3717" t="s">
        <v>3416</v>
      </c>
      <c r="M8" s="3718"/>
      <c r="N8" s="3304">
        <f t="shared" si="0"/>
        <v>5934.53</v>
      </c>
      <c r="O8" s="3304">
        <v>5760.33</v>
      </c>
      <c r="P8" s="3304">
        <v>174.2</v>
      </c>
      <c r="Q8" s="3308">
        <v>531.25</v>
      </c>
      <c r="R8" s="3306">
        <f>11*2*2</f>
        <v>44</v>
      </c>
      <c r="S8" s="3306">
        <f t="shared" si="1"/>
        <v>140.80000000000001</v>
      </c>
      <c r="T8" s="3307" t="s">
        <v>3360</v>
      </c>
      <c r="U8" s="3308">
        <v>34.799999999999997</v>
      </c>
      <c r="V8" s="3182"/>
      <c r="W8" s="3304">
        <v>510.6</v>
      </c>
      <c r="X8" s="3310"/>
      <c r="Y8" s="3058">
        <f t="shared" ref="Y8:Y21" si="2">SUM(Z8:AR8)</f>
        <v>44</v>
      </c>
      <c r="Z8" s="3059"/>
      <c r="AA8" s="3059"/>
      <c r="AB8" s="3059"/>
      <c r="AC8" s="3059"/>
      <c r="AD8" s="3280"/>
      <c r="AE8" s="3280"/>
      <c r="AF8" s="3280"/>
      <c r="AG8" s="3280"/>
      <c r="AH8" s="3187"/>
      <c r="AI8" s="3187"/>
      <c r="AJ8" s="3187"/>
      <c r="AK8" s="3187"/>
      <c r="AL8" s="3251">
        <v>2</v>
      </c>
      <c r="AM8" s="3251">
        <v>18</v>
      </c>
      <c r="AN8" s="3251">
        <v>20</v>
      </c>
      <c r="AO8" s="3251">
        <v>4</v>
      </c>
      <c r="AP8" s="3113"/>
      <c r="AQ8" s="3113"/>
      <c r="AR8" s="3113"/>
    </row>
    <row r="9" spans="3:44">
      <c r="C9" s="3704" t="s">
        <v>3149</v>
      </c>
      <c r="D9" s="3700" t="s">
        <v>3150</v>
      </c>
      <c r="E9" s="3700"/>
      <c r="F9" s="3700"/>
      <c r="G9" s="3066">
        <f>G10+G13+G14+G15+G16</f>
        <v>96796.819999999978</v>
      </c>
      <c r="H9" s="3055" t="s">
        <v>3142</v>
      </c>
      <c r="I9" s="3055"/>
      <c r="J9" s="3120"/>
      <c r="L9" s="3717" t="s">
        <v>3417</v>
      </c>
      <c r="M9" s="3718"/>
      <c r="N9" s="3304">
        <f t="shared" si="0"/>
        <v>11292.01</v>
      </c>
      <c r="O9" s="3304">
        <v>10741.02</v>
      </c>
      <c r="P9" s="3311">
        <v>550.99</v>
      </c>
      <c r="Q9" s="3305">
        <v>993.78</v>
      </c>
      <c r="R9" s="3306">
        <f>11*6+12*6</f>
        <v>138</v>
      </c>
      <c r="S9" s="3306">
        <f t="shared" si="1"/>
        <v>441.6</v>
      </c>
      <c r="T9" s="3307" t="s">
        <v>3360</v>
      </c>
      <c r="U9" s="3308">
        <v>34.799999999999997</v>
      </c>
      <c r="V9" s="3182"/>
      <c r="W9" s="3309">
        <v>948.94</v>
      </c>
      <c r="X9" s="3310"/>
      <c r="Y9" s="3058">
        <f t="shared" si="2"/>
        <v>138</v>
      </c>
      <c r="Z9" s="3186">
        <v>36</v>
      </c>
      <c r="AA9" s="3186">
        <v>12</v>
      </c>
      <c r="AB9" s="3186">
        <v>12</v>
      </c>
      <c r="AC9" s="3186">
        <v>12</v>
      </c>
      <c r="AD9" s="3195">
        <v>7</v>
      </c>
      <c r="AE9" s="3195">
        <v>45</v>
      </c>
      <c r="AF9" s="3195">
        <v>8</v>
      </c>
      <c r="AG9" s="3195">
        <v>6</v>
      </c>
      <c r="AH9" s="3252"/>
      <c r="AI9" s="3252"/>
      <c r="AJ9" s="3252"/>
      <c r="AK9" s="3252"/>
      <c r="AL9" s="3247"/>
      <c r="AM9" s="3247"/>
      <c r="AN9" s="3247"/>
      <c r="AO9" s="3247"/>
      <c r="AP9" s="3246"/>
      <c r="AQ9" s="3246"/>
      <c r="AR9" s="3246"/>
    </row>
    <row r="10" spans="3:44">
      <c r="C10" s="3705"/>
      <c r="D10" s="3700" t="s">
        <v>3149</v>
      </c>
      <c r="E10" s="3707" t="s">
        <v>3153</v>
      </c>
      <c r="F10" s="3707"/>
      <c r="G10" s="3066">
        <f>G11+G12</f>
        <v>94461.709999999977</v>
      </c>
      <c r="H10" s="3055" t="s">
        <v>3142</v>
      </c>
      <c r="I10" s="3055"/>
      <c r="J10" s="3120"/>
      <c r="L10" s="3717" t="s">
        <v>3418</v>
      </c>
      <c r="M10" s="3718"/>
      <c r="N10" s="3304">
        <f t="shared" si="0"/>
        <v>8722.2100000000009</v>
      </c>
      <c r="O10" s="3304">
        <f>O6</f>
        <v>8449.92</v>
      </c>
      <c r="P10" s="3304">
        <v>272.29000000000002</v>
      </c>
      <c r="Q10" s="3305">
        <v>781.26</v>
      </c>
      <c r="R10" s="3306">
        <f>11*2*3</f>
        <v>66</v>
      </c>
      <c r="S10" s="3306">
        <f t="shared" si="1"/>
        <v>211.20000000000002</v>
      </c>
      <c r="T10" s="3307" t="s">
        <v>3360</v>
      </c>
      <c r="U10" s="3308">
        <v>34.799999999999997</v>
      </c>
      <c r="V10" s="3182"/>
      <c r="W10" s="3309">
        <f>W6</f>
        <v>750.08</v>
      </c>
      <c r="X10" s="3310"/>
      <c r="Y10" s="3058">
        <f t="shared" si="2"/>
        <v>66</v>
      </c>
      <c r="Z10" s="3279"/>
      <c r="AA10" s="3279"/>
      <c r="AB10" s="3279"/>
      <c r="AC10" s="3279"/>
      <c r="AD10" s="3280"/>
      <c r="AE10" s="3280"/>
      <c r="AF10" s="3280"/>
      <c r="AG10" s="3280"/>
      <c r="AH10" s="3187"/>
      <c r="AI10" s="3187"/>
      <c r="AJ10" s="3187"/>
      <c r="AK10" s="3187"/>
      <c r="AL10" s="3251">
        <v>3</v>
      </c>
      <c r="AM10" s="3251">
        <v>37</v>
      </c>
      <c r="AN10" s="3251">
        <v>20</v>
      </c>
      <c r="AO10" s="3251">
        <v>6</v>
      </c>
      <c r="AP10" s="3113"/>
      <c r="AQ10" s="3113"/>
      <c r="AR10" s="3113"/>
    </row>
    <row r="11" spans="3:44">
      <c r="C11" s="3705"/>
      <c r="D11" s="3700"/>
      <c r="E11" s="3727" t="s">
        <v>3149</v>
      </c>
      <c r="F11" s="3078" t="s">
        <v>3300</v>
      </c>
      <c r="G11" s="3079">
        <f>SUM(O6:O14)+O16+O20</f>
        <v>94461.709999999977</v>
      </c>
      <c r="H11" s="3055" t="s">
        <v>3142</v>
      </c>
      <c r="I11" s="3055"/>
      <c r="J11" s="3120"/>
      <c r="L11" s="3717" t="s">
        <v>3419</v>
      </c>
      <c r="M11" s="3718"/>
      <c r="N11" s="3304">
        <f t="shared" si="0"/>
        <v>10457.49</v>
      </c>
      <c r="O11" s="3311">
        <f>O7</f>
        <v>10219.379999999999</v>
      </c>
      <c r="P11" s="3311">
        <v>238.11</v>
      </c>
      <c r="Q11" s="3308">
        <v>924.36</v>
      </c>
      <c r="R11" s="3306">
        <f>11*2*2+12*6</f>
        <v>116</v>
      </c>
      <c r="S11" s="3306">
        <f t="shared" si="1"/>
        <v>371.20000000000005</v>
      </c>
      <c r="T11" s="3307" t="s">
        <v>3360</v>
      </c>
      <c r="U11" s="3308">
        <v>34.799999999999997</v>
      </c>
      <c r="V11" s="3182"/>
      <c r="W11" s="3304">
        <v>884.1</v>
      </c>
      <c r="X11" s="3310"/>
      <c r="Y11" s="3058">
        <f t="shared" si="2"/>
        <v>116</v>
      </c>
      <c r="Z11" s="3186">
        <v>36</v>
      </c>
      <c r="AA11" s="3186">
        <v>12</v>
      </c>
      <c r="AB11" s="3186">
        <v>12</v>
      </c>
      <c r="AC11" s="3186">
        <v>12</v>
      </c>
      <c r="AD11" s="3280"/>
      <c r="AE11" s="3280"/>
      <c r="AF11" s="3280"/>
      <c r="AG11" s="3280"/>
      <c r="AH11" s="3187"/>
      <c r="AI11" s="3187"/>
      <c r="AJ11" s="3187"/>
      <c r="AK11" s="3187"/>
      <c r="AL11" s="3251">
        <v>2</v>
      </c>
      <c r="AM11" s="3251">
        <v>28</v>
      </c>
      <c r="AN11" s="3251">
        <v>10</v>
      </c>
      <c r="AO11" s="3251">
        <v>4</v>
      </c>
      <c r="AP11" s="3113"/>
      <c r="AQ11" s="3113"/>
      <c r="AR11" s="3113"/>
    </row>
    <row r="12" spans="3:44">
      <c r="C12" s="3705"/>
      <c r="D12" s="3700"/>
      <c r="E12" s="3706"/>
      <c r="F12" s="3078"/>
      <c r="G12" s="3079"/>
      <c r="H12" s="3055" t="s">
        <v>3142</v>
      </c>
      <c r="I12" s="3055"/>
      <c r="J12" s="3120"/>
      <c r="L12" s="3717" t="s">
        <v>3420</v>
      </c>
      <c r="M12" s="3718"/>
      <c r="N12" s="3304">
        <f t="shared" si="0"/>
        <v>5938.1200000000008</v>
      </c>
      <c r="O12" s="3311">
        <v>5763.31</v>
      </c>
      <c r="P12" s="3311">
        <v>174.81</v>
      </c>
      <c r="Q12" s="3308">
        <v>531.25</v>
      </c>
      <c r="R12" s="3306">
        <f>11*4</f>
        <v>44</v>
      </c>
      <c r="S12" s="3306">
        <f t="shared" si="1"/>
        <v>140.80000000000001</v>
      </c>
      <c r="T12" s="3307" t="s">
        <v>3360</v>
      </c>
      <c r="U12" s="3308">
        <v>34.799999999999997</v>
      </c>
      <c r="V12" s="3182"/>
      <c r="W12" s="3304">
        <v>510.6</v>
      </c>
      <c r="X12" s="3310"/>
      <c r="Y12" s="3058">
        <f t="shared" si="2"/>
        <v>44</v>
      </c>
      <c r="Z12" s="3279"/>
      <c r="AA12" s="3279"/>
      <c r="AB12" s="3279"/>
      <c r="AC12" s="3279"/>
      <c r="AD12" s="3280"/>
      <c r="AE12" s="3280"/>
      <c r="AF12" s="3280"/>
      <c r="AG12" s="3280"/>
      <c r="AH12" s="3187"/>
      <c r="AI12" s="3187"/>
      <c r="AJ12" s="3187"/>
      <c r="AK12" s="3187"/>
      <c r="AL12" s="3251">
        <v>5</v>
      </c>
      <c r="AM12" s="3251">
        <v>17</v>
      </c>
      <c r="AN12" s="3251">
        <v>18</v>
      </c>
      <c r="AO12" s="3251">
        <v>4</v>
      </c>
      <c r="AP12" s="3113"/>
      <c r="AQ12" s="3113"/>
      <c r="AR12" s="3113"/>
    </row>
    <row r="13" spans="3:44">
      <c r="C13" s="3705"/>
      <c r="D13" s="3700"/>
      <c r="E13" s="3700"/>
      <c r="F13" s="3700"/>
      <c r="G13" s="3066"/>
      <c r="H13" s="3055" t="s">
        <v>3142</v>
      </c>
      <c r="I13" s="3055" t="s">
        <v>3162</v>
      </c>
      <c r="J13" s="3120"/>
      <c r="L13" s="3717" t="s">
        <v>3421</v>
      </c>
      <c r="M13" s="3718"/>
      <c r="N13" s="3304">
        <f t="shared" si="0"/>
        <v>11292.01</v>
      </c>
      <c r="O13" s="3304">
        <f>O9</f>
        <v>10741.02</v>
      </c>
      <c r="P13" s="3311">
        <v>550.99</v>
      </c>
      <c r="Q13" s="3305">
        <v>993.78</v>
      </c>
      <c r="R13" s="3306">
        <f>11*6+12*6</f>
        <v>138</v>
      </c>
      <c r="S13" s="3306">
        <f t="shared" si="1"/>
        <v>441.6</v>
      </c>
      <c r="T13" s="3307" t="s">
        <v>3360</v>
      </c>
      <c r="U13" s="3308">
        <v>34.799999999999997</v>
      </c>
      <c r="V13" s="3182"/>
      <c r="W13" s="3309">
        <v>948.94</v>
      </c>
      <c r="X13" s="3310"/>
      <c r="Y13" s="3058">
        <f>SUM(Z13:AR13)</f>
        <v>138</v>
      </c>
      <c r="Z13" s="3186">
        <v>36</v>
      </c>
      <c r="AA13" s="3186">
        <v>12</v>
      </c>
      <c r="AB13" s="3186">
        <v>12</v>
      </c>
      <c r="AC13" s="3186">
        <v>12</v>
      </c>
      <c r="AD13" s="3195">
        <v>5</v>
      </c>
      <c r="AE13" s="3195">
        <v>47</v>
      </c>
      <c r="AF13" s="3195">
        <v>8</v>
      </c>
      <c r="AG13" s="3195">
        <v>6</v>
      </c>
      <c r="AH13" s="3252"/>
      <c r="AI13" s="3252"/>
      <c r="AJ13" s="3252"/>
      <c r="AK13" s="3252"/>
      <c r="AL13" s="3247"/>
      <c r="AM13" s="3247"/>
      <c r="AN13" s="3247"/>
      <c r="AO13" s="3247"/>
      <c r="AP13" s="3246"/>
      <c r="AQ13" s="3246"/>
      <c r="AR13" s="3246"/>
    </row>
    <row r="14" spans="3:44">
      <c r="C14" s="3705"/>
      <c r="D14" s="3700"/>
      <c r="E14" s="3701" t="s">
        <v>3422</v>
      </c>
      <c r="F14" s="3703"/>
      <c r="G14" s="3066">
        <f>O19</f>
        <v>0</v>
      </c>
      <c r="H14" s="3055"/>
      <c r="I14" s="3055"/>
      <c r="J14" s="3120"/>
      <c r="L14" s="3717" t="s">
        <v>3423</v>
      </c>
      <c r="M14" s="3718"/>
      <c r="N14" s="3304">
        <f t="shared" si="0"/>
        <v>8738.3200000000015</v>
      </c>
      <c r="O14" s="3304">
        <v>8455.8700000000008</v>
      </c>
      <c r="P14" s="3304">
        <v>282.45</v>
      </c>
      <c r="Q14" s="3308">
        <v>781.26</v>
      </c>
      <c r="R14" s="3306">
        <f>11*2*3</f>
        <v>66</v>
      </c>
      <c r="S14" s="3306">
        <f t="shared" si="1"/>
        <v>211.20000000000002</v>
      </c>
      <c r="T14" s="3307" t="s">
        <v>3360</v>
      </c>
      <c r="U14" s="3308">
        <v>34.799999999999997</v>
      </c>
      <c r="V14" s="3182"/>
      <c r="W14" s="3304">
        <v>750.08</v>
      </c>
      <c r="X14" s="3310"/>
      <c r="Y14" s="3058">
        <f t="shared" si="2"/>
        <v>66</v>
      </c>
      <c r="Z14" s="3059"/>
      <c r="AA14" s="3059"/>
      <c r="AB14" s="3059"/>
      <c r="AC14" s="3059"/>
      <c r="AD14" s="3059"/>
      <c r="AE14" s="3059"/>
      <c r="AF14" s="3059"/>
      <c r="AG14" s="3059"/>
      <c r="AH14" s="3252"/>
      <c r="AI14" s="3252"/>
      <c r="AJ14" s="3252"/>
      <c r="AK14" s="3252"/>
      <c r="AL14" s="3251">
        <v>12</v>
      </c>
      <c r="AM14" s="3251">
        <v>32</v>
      </c>
      <c r="AN14" s="3251">
        <v>16</v>
      </c>
      <c r="AO14" s="3251">
        <v>6</v>
      </c>
      <c r="AP14" s="3246"/>
      <c r="AQ14" s="3246"/>
      <c r="AR14" s="3246"/>
    </row>
    <row r="15" spans="3:44">
      <c r="C15" s="3705"/>
      <c r="D15" s="3700"/>
      <c r="E15" s="3709" t="s">
        <v>3165</v>
      </c>
      <c r="F15" s="3710"/>
      <c r="G15" s="3066">
        <f>O17</f>
        <v>1143.3800000000001</v>
      </c>
      <c r="H15" s="3055" t="s">
        <v>3142</v>
      </c>
      <c r="I15" s="3055"/>
      <c r="J15" s="3120"/>
      <c r="L15" s="3733" t="s">
        <v>3424</v>
      </c>
      <c r="M15" s="3718"/>
      <c r="N15" s="3304">
        <f t="shared" si="0"/>
        <v>8616.24</v>
      </c>
      <c r="O15" s="3304">
        <f>O16+O17+O18</f>
        <v>8443.65</v>
      </c>
      <c r="P15" s="3304">
        <v>172.59</v>
      </c>
      <c r="Q15" s="3308">
        <v>1264.28</v>
      </c>
      <c r="R15" s="3306">
        <f>6*9</f>
        <v>54</v>
      </c>
      <c r="S15" s="3306">
        <f t="shared" si="1"/>
        <v>172.8</v>
      </c>
      <c r="T15" s="3307" t="s">
        <v>3360</v>
      </c>
      <c r="U15" s="3308">
        <v>34.950000000000003</v>
      </c>
      <c r="V15" s="3182"/>
      <c r="W15" s="3284">
        <v>743.08</v>
      </c>
      <c r="X15" s="3310"/>
      <c r="Y15" s="3058">
        <f t="shared" si="2"/>
        <v>54</v>
      </c>
      <c r="Z15" s="3092"/>
      <c r="AA15" s="3092"/>
      <c r="AB15" s="3092"/>
      <c r="AC15" s="3092"/>
      <c r="AD15" s="3246"/>
      <c r="AE15" s="3246"/>
      <c r="AF15" s="3246"/>
      <c r="AG15" s="3246"/>
      <c r="AH15" s="3072"/>
      <c r="AI15" s="3072">
        <v>32</v>
      </c>
      <c r="AJ15" s="3072">
        <v>16</v>
      </c>
      <c r="AK15" s="3072">
        <v>6</v>
      </c>
      <c r="AL15" s="3247"/>
      <c r="AM15" s="3247"/>
      <c r="AN15" s="3247"/>
      <c r="AO15" s="3247"/>
      <c r="AP15" s="3246"/>
      <c r="AQ15" s="3246"/>
      <c r="AR15" s="3246"/>
    </row>
    <row r="16" spans="3:44">
      <c r="C16" s="3705"/>
      <c r="D16" s="3700"/>
      <c r="E16" s="3700" t="s">
        <v>3168</v>
      </c>
      <c r="F16" s="3700"/>
      <c r="G16" s="3066">
        <f>O18</f>
        <v>1191.73</v>
      </c>
      <c r="H16" s="3055" t="s">
        <v>3142</v>
      </c>
      <c r="I16" s="3055"/>
      <c r="J16" s="3120"/>
      <c r="L16" s="3728" t="s">
        <v>3149</v>
      </c>
      <c r="M16" s="3312" t="s">
        <v>3163</v>
      </c>
      <c r="N16" s="3309"/>
      <c r="O16" s="3313">
        <v>6108.54</v>
      </c>
      <c r="P16" s="3309"/>
      <c r="Q16" s="3314"/>
      <c r="R16" s="3306"/>
      <c r="S16" s="3306"/>
      <c r="T16" s="3314"/>
      <c r="U16" s="3314"/>
      <c r="V16" s="3182"/>
      <c r="W16" s="3309"/>
      <c r="Y16" s="3058">
        <f t="shared" si="2"/>
        <v>0</v>
      </c>
      <c r="Z16" s="3279"/>
      <c r="AA16" s="3279"/>
      <c r="AB16" s="3279"/>
      <c r="AC16" s="3279"/>
      <c r="AD16" s="3280"/>
      <c r="AE16" s="3280"/>
      <c r="AF16" s="3280"/>
      <c r="AG16" s="3280"/>
      <c r="AH16" s="3187"/>
      <c r="AI16" s="3187"/>
      <c r="AJ16" s="3187"/>
      <c r="AK16" s="3187"/>
      <c r="AL16" s="3247"/>
      <c r="AM16" s="3247"/>
      <c r="AN16" s="3247"/>
      <c r="AO16" s="3247"/>
      <c r="AP16" s="3113"/>
      <c r="AQ16" s="3113"/>
      <c r="AR16" s="3113"/>
    </row>
    <row r="17" spans="3:45">
      <c r="C17" s="3705"/>
      <c r="D17" s="3701" t="s">
        <v>3171</v>
      </c>
      <c r="E17" s="3702"/>
      <c r="F17" s="3703"/>
      <c r="G17" s="3066">
        <f>G19+G20</f>
        <v>24617.120000000003</v>
      </c>
      <c r="H17" s="3055" t="s">
        <v>3142</v>
      </c>
      <c r="I17" s="3055"/>
      <c r="J17" s="3120"/>
      <c r="L17" s="3728"/>
      <c r="M17" s="3312" t="s">
        <v>1343</v>
      </c>
      <c r="N17" s="3314"/>
      <c r="O17" s="3315">
        <v>1143.3800000000001</v>
      </c>
      <c r="P17" s="3314"/>
      <c r="Q17" s="3314"/>
      <c r="R17" s="3306"/>
      <c r="S17" s="3306"/>
      <c r="T17" s="3314"/>
      <c r="U17" s="3314"/>
      <c r="V17" s="3182"/>
      <c r="W17" s="3309"/>
      <c r="Y17" s="3058">
        <f t="shared" si="2"/>
        <v>0</v>
      </c>
      <c r="Z17" s="3279"/>
      <c r="AA17" s="3279"/>
      <c r="AB17" s="3279"/>
      <c r="AC17" s="3279"/>
      <c r="AD17" s="3280"/>
      <c r="AE17" s="3280"/>
      <c r="AF17" s="3280"/>
      <c r="AG17" s="3280"/>
      <c r="AH17" s="3187"/>
      <c r="AI17" s="3187"/>
      <c r="AJ17" s="3187"/>
      <c r="AK17" s="3187"/>
      <c r="AL17" s="3247"/>
      <c r="AM17" s="3247"/>
      <c r="AN17" s="3247"/>
      <c r="AO17" s="3247"/>
      <c r="AP17" s="3113"/>
      <c r="AQ17" s="3113"/>
      <c r="AR17" s="3113"/>
    </row>
    <row r="18" spans="3:45" ht="67.5">
      <c r="C18" s="3705"/>
      <c r="D18" s="3150"/>
      <c r="E18" s="3151"/>
      <c r="F18" s="3152"/>
      <c r="G18" s="3066"/>
      <c r="H18" s="3055"/>
      <c r="I18" s="3055"/>
      <c r="J18" s="3120"/>
      <c r="L18" s="3728"/>
      <c r="M18" s="3316" t="s">
        <v>3157</v>
      </c>
      <c r="N18" s="3314"/>
      <c r="O18" s="3314">
        <v>1191.73</v>
      </c>
      <c r="P18" s="3314"/>
      <c r="Q18" s="3314"/>
      <c r="R18" s="3306"/>
      <c r="S18" s="3306"/>
      <c r="T18" s="3314"/>
      <c r="U18" s="3314"/>
      <c r="V18" s="3286" t="s">
        <v>3425</v>
      </c>
      <c r="W18" s="3309"/>
      <c r="Y18" s="3058"/>
      <c r="Z18" s="3279"/>
      <c r="AA18" s="3279"/>
      <c r="AB18" s="3279"/>
      <c r="AC18" s="3279"/>
      <c r="AD18" s="3280"/>
      <c r="AE18" s="3280"/>
      <c r="AF18" s="3280"/>
      <c r="AG18" s="3280"/>
      <c r="AH18" s="3187"/>
      <c r="AI18" s="3187"/>
      <c r="AJ18" s="3187"/>
      <c r="AK18" s="3187"/>
      <c r="AL18" s="3247"/>
      <c r="AM18" s="3247"/>
      <c r="AN18" s="3247"/>
      <c r="AO18" s="3247"/>
      <c r="AP18" s="3113"/>
      <c r="AQ18" s="3113"/>
      <c r="AR18" s="3113"/>
    </row>
    <row r="19" spans="3:45">
      <c r="C19" s="3705"/>
      <c r="D19" s="3700" t="s">
        <v>3149</v>
      </c>
      <c r="E19" s="3708" t="s">
        <v>3172</v>
      </c>
      <c r="F19" s="3708"/>
      <c r="G19" s="3079">
        <f>P21</f>
        <v>2926.83</v>
      </c>
      <c r="H19" s="3055" t="s">
        <v>3142</v>
      </c>
      <c r="I19" s="3055"/>
      <c r="J19" s="3120"/>
      <c r="L19" s="3728"/>
      <c r="M19" s="3316" t="s">
        <v>3426</v>
      </c>
      <c r="N19" s="3314"/>
      <c r="O19" s="3314">
        <v>0</v>
      </c>
      <c r="P19" s="3314"/>
      <c r="Q19" s="3314"/>
      <c r="R19" s="3306"/>
      <c r="S19" s="3306"/>
      <c r="T19" s="3314"/>
      <c r="U19" s="3314"/>
      <c r="V19" s="3182"/>
      <c r="W19" s="3309"/>
      <c r="Y19" s="3058">
        <f t="shared" si="2"/>
        <v>0</v>
      </c>
      <c r="Z19" s="3275"/>
      <c r="AA19" s="3275"/>
      <c r="AB19" s="3275"/>
      <c r="AC19" s="3275"/>
      <c r="AD19" s="3246"/>
      <c r="AE19" s="3246"/>
      <c r="AF19" s="3246"/>
      <c r="AG19" s="3246"/>
      <c r="AH19" s="3252"/>
      <c r="AI19" s="3252"/>
      <c r="AJ19" s="3252"/>
      <c r="AK19" s="3252"/>
      <c r="AL19" s="3247"/>
      <c r="AM19" s="3247"/>
      <c r="AN19" s="3247"/>
      <c r="AO19" s="3247"/>
      <c r="AP19" s="3246"/>
      <c r="AQ19" s="3246"/>
      <c r="AR19" s="3246"/>
    </row>
    <row r="20" spans="3:45" ht="16.5">
      <c r="C20" s="3706"/>
      <c r="D20" s="3700"/>
      <c r="E20" s="3707" t="s">
        <v>3173</v>
      </c>
      <c r="F20" s="3707"/>
      <c r="G20" s="3066">
        <f>N37</f>
        <v>21690.29</v>
      </c>
      <c r="H20" s="3055" t="s">
        <v>3142</v>
      </c>
      <c r="I20" s="3055" t="s">
        <v>3174</v>
      </c>
      <c r="J20" s="3120"/>
      <c r="L20" s="3729" t="s">
        <v>3427</v>
      </c>
      <c r="M20" s="3730"/>
      <c r="N20" s="3314">
        <f>O20+P20</f>
        <v>9553.02</v>
      </c>
      <c r="O20" s="3317">
        <v>9553.02</v>
      </c>
      <c r="P20" s="3317">
        <v>0</v>
      </c>
      <c r="Q20" s="3308">
        <v>1029.6400000000001</v>
      </c>
      <c r="R20" s="3306">
        <f>9*6+10*6</f>
        <v>114</v>
      </c>
      <c r="S20" s="3306">
        <f>R20*3.2</f>
        <v>364.8</v>
      </c>
      <c r="T20" s="3307" t="s">
        <v>3428</v>
      </c>
      <c r="U20" s="3308">
        <v>29.1</v>
      </c>
      <c r="V20" s="3182"/>
      <c r="W20" s="3318">
        <v>1000.38</v>
      </c>
      <c r="X20" s="3310"/>
      <c r="Y20" s="3058">
        <f t="shared" si="2"/>
        <v>114</v>
      </c>
      <c r="Z20" s="3092">
        <v>30</v>
      </c>
      <c r="AA20" s="3092">
        <v>10</v>
      </c>
      <c r="AB20" s="3092">
        <v>10</v>
      </c>
      <c r="AC20" s="3092">
        <v>10</v>
      </c>
      <c r="AD20" s="3246"/>
      <c r="AE20" s="3246"/>
      <c r="AF20" s="3246"/>
      <c r="AG20" s="3246"/>
      <c r="AH20" s="3072">
        <v>7</v>
      </c>
      <c r="AI20" s="3072">
        <v>35</v>
      </c>
      <c r="AJ20" s="3072">
        <v>6</v>
      </c>
      <c r="AK20" s="3072">
        <v>6</v>
      </c>
      <c r="AL20" s="3247"/>
      <c r="AM20" s="3247"/>
      <c r="AN20" s="3247"/>
      <c r="AO20" s="3247"/>
      <c r="AP20" s="3246"/>
      <c r="AQ20" s="3246"/>
      <c r="AR20" s="3246"/>
    </row>
    <row r="21" spans="3:45">
      <c r="C21" s="3055" t="s">
        <v>3176</v>
      </c>
      <c r="D21" s="3701" t="s">
        <v>3177</v>
      </c>
      <c r="E21" s="3702"/>
      <c r="F21" s="3703"/>
      <c r="G21" s="3066">
        <f>G9/G7</f>
        <v>2.2860240696957934</v>
      </c>
      <c r="H21" s="3055"/>
      <c r="I21" s="3055"/>
      <c r="J21" s="3120"/>
      <c r="L21" s="3731" t="s">
        <v>3209</v>
      </c>
      <c r="M21" s="3732"/>
      <c r="N21" s="3319">
        <f t="shared" ref="N21" si="3">SUM(N6:N20)</f>
        <v>99723.650000000009</v>
      </c>
      <c r="O21" s="3319">
        <f>O6+O7+O8+O9+O10+O11+O12+O13+O14+O15+O20</f>
        <v>96796.819999999978</v>
      </c>
      <c r="P21" s="3319">
        <f t="shared" ref="P21" si="4">SUM(P6:P20)</f>
        <v>2926.83</v>
      </c>
      <c r="Q21" s="3319">
        <f t="shared" ref="Q21" si="5">SUM(Q6:Q20)</f>
        <v>9536.48</v>
      </c>
      <c r="R21" s="3320">
        <f>SUM(R6:R20)</f>
        <v>962</v>
      </c>
      <c r="S21" s="3320">
        <f t="shared" ref="S21:W21" si="6">SUM(S6:S20)</f>
        <v>3078.4000000000005</v>
      </c>
      <c r="T21" s="3320"/>
      <c r="U21" s="3320"/>
      <c r="V21" s="3320"/>
      <c r="W21" s="3319">
        <f t="shared" si="6"/>
        <v>8680.98</v>
      </c>
      <c r="X21" s="3044" t="s">
        <v>3209</v>
      </c>
      <c r="Y21" s="3058">
        <f t="shared" si="2"/>
        <v>962</v>
      </c>
      <c r="Z21" s="3058">
        <f>SUM(Z6:Z20)</f>
        <v>174</v>
      </c>
      <c r="AA21" s="3058">
        <f t="shared" ref="AA21:AR21" si="7">SUM(AA6:AA20)</f>
        <v>58</v>
      </c>
      <c r="AB21" s="3058">
        <f t="shared" si="7"/>
        <v>58</v>
      </c>
      <c r="AC21" s="3058">
        <f t="shared" si="7"/>
        <v>58</v>
      </c>
      <c r="AD21" s="3058">
        <f t="shared" si="7"/>
        <v>12</v>
      </c>
      <c r="AE21" s="3058">
        <f t="shared" si="7"/>
        <v>92</v>
      </c>
      <c r="AF21" s="3058">
        <f t="shared" si="7"/>
        <v>16</v>
      </c>
      <c r="AG21" s="3058">
        <f t="shared" si="7"/>
        <v>12</v>
      </c>
      <c r="AH21" s="3058">
        <f t="shared" si="7"/>
        <v>7</v>
      </c>
      <c r="AI21" s="3058">
        <f t="shared" si="7"/>
        <v>67</v>
      </c>
      <c r="AJ21" s="3058">
        <f t="shared" si="7"/>
        <v>22</v>
      </c>
      <c r="AK21" s="3058">
        <f t="shared" si="7"/>
        <v>12</v>
      </c>
      <c r="AL21" s="3058">
        <f t="shared" si="7"/>
        <v>31</v>
      </c>
      <c r="AM21" s="3058">
        <f t="shared" si="7"/>
        <v>197</v>
      </c>
      <c r="AN21" s="3058">
        <f t="shared" si="7"/>
        <v>112</v>
      </c>
      <c r="AO21" s="3058">
        <f t="shared" si="7"/>
        <v>34</v>
      </c>
      <c r="AP21" s="3058">
        <f t="shared" si="7"/>
        <v>0</v>
      </c>
      <c r="AQ21" s="3058">
        <f t="shared" si="7"/>
        <v>0</v>
      </c>
      <c r="AR21" s="3058">
        <f t="shared" si="7"/>
        <v>0</v>
      </c>
    </row>
    <row r="22" spans="3:45">
      <c r="C22" s="3055" t="s">
        <v>3179</v>
      </c>
      <c r="D22" s="3701" t="s">
        <v>3180</v>
      </c>
      <c r="E22" s="3702"/>
      <c r="F22" s="3703"/>
      <c r="G22" s="3093">
        <f>R21</f>
        <v>962</v>
      </c>
      <c r="H22" s="3055" t="s">
        <v>3181</v>
      </c>
      <c r="I22" s="3055"/>
      <c r="J22" s="3120"/>
      <c r="Y22" s="3058" t="s">
        <v>3210</v>
      </c>
      <c r="Z22" s="3112">
        <f>Z21/Y21</f>
        <v>0.18087318087318088</v>
      </c>
      <c r="AA22" s="3112">
        <f>AA21/Y21</f>
        <v>6.0291060291060294E-2</v>
      </c>
      <c r="AB22" s="3112">
        <f>AB21/Y21</f>
        <v>6.0291060291060294E-2</v>
      </c>
      <c r="AC22" s="3112">
        <f>AC21/Y21</f>
        <v>6.0291060291060294E-2</v>
      </c>
      <c r="AD22" s="3112">
        <f>AD21/Y21</f>
        <v>1.2474012474012475E-2</v>
      </c>
      <c r="AE22" s="3112">
        <f>AE21/Y21</f>
        <v>9.5634095634095639E-2</v>
      </c>
      <c r="AF22" s="3112">
        <f>AF21/Y21</f>
        <v>1.6632016632016633E-2</v>
      </c>
      <c r="AG22" s="3112">
        <f>AG21/Y21</f>
        <v>1.2474012474012475E-2</v>
      </c>
      <c r="AH22" s="3112">
        <f>AH21/Y21</f>
        <v>7.2765072765072769E-3</v>
      </c>
      <c r="AI22" s="3112">
        <f>AI21/Y21</f>
        <v>6.964656964656965E-2</v>
      </c>
      <c r="AJ22" s="3112">
        <f>AJ21/Y21</f>
        <v>2.286902286902287E-2</v>
      </c>
      <c r="AK22" s="3112">
        <f>AK21/Y21</f>
        <v>1.2474012474012475E-2</v>
      </c>
      <c r="AL22" s="3112">
        <f>AL21/Y21</f>
        <v>3.2224532224532226E-2</v>
      </c>
      <c r="AM22" s="3112">
        <f>AM21/Y21</f>
        <v>0.20478170478170479</v>
      </c>
      <c r="AN22" s="3112">
        <f>AN21/Y21</f>
        <v>0.11642411642411643</v>
      </c>
      <c r="AO22" s="3112">
        <f>AO21/Y21</f>
        <v>3.5343035343035345E-2</v>
      </c>
      <c r="AP22" s="3112"/>
      <c r="AQ22" s="3112"/>
      <c r="AR22" s="3112"/>
    </row>
    <row r="23" spans="3:45">
      <c r="C23" s="3055" t="s">
        <v>3183</v>
      </c>
      <c r="D23" s="3701" t="s">
        <v>3184</v>
      </c>
      <c r="E23" s="3702"/>
      <c r="F23" s="3703"/>
      <c r="G23" s="3066">
        <v>3.2</v>
      </c>
      <c r="H23" s="3055" t="s">
        <v>3185</v>
      </c>
      <c r="I23" s="3055"/>
      <c r="J23" s="3120"/>
      <c r="Y23" s="3236"/>
      <c r="Z23" s="3236"/>
      <c r="AA23" s="3236"/>
      <c r="AB23" s="3236"/>
      <c r="AC23" s="3236"/>
      <c r="AD23" s="3236"/>
      <c r="AE23" s="3236"/>
      <c r="AF23" s="3236"/>
      <c r="AG23" s="3236"/>
      <c r="AH23" s="3236"/>
      <c r="AI23" s="3236"/>
      <c r="AJ23" s="3236"/>
      <c r="AK23" s="3236"/>
      <c r="AL23" s="3236"/>
      <c r="AM23" s="3236"/>
      <c r="AN23" s="3236"/>
      <c r="AO23" s="3236"/>
      <c r="AP23" s="3236"/>
      <c r="AQ23" s="3236"/>
      <c r="AR23" s="3236"/>
      <c r="AS23" s="3236"/>
    </row>
    <row r="24" spans="3:45">
      <c r="C24" s="3055" t="s">
        <v>3187</v>
      </c>
      <c r="D24" s="3701" t="s">
        <v>3188</v>
      </c>
      <c r="E24" s="3702"/>
      <c r="F24" s="3703"/>
      <c r="G24" s="3091">
        <f>G22*G23</f>
        <v>3078.4</v>
      </c>
      <c r="H24" s="3055" t="s">
        <v>3189</v>
      </c>
      <c r="I24" s="3055"/>
      <c r="J24" s="3120"/>
      <c r="Y24" s="3236"/>
      <c r="Z24" s="3236"/>
      <c r="AA24" s="3236"/>
      <c r="AB24" s="3236"/>
      <c r="AC24" s="3236"/>
      <c r="AD24" s="3236"/>
      <c r="AE24" s="3236"/>
      <c r="AF24" s="3236"/>
      <c r="AG24" s="3236"/>
      <c r="AH24" s="3236"/>
      <c r="AI24" s="3236"/>
      <c r="AJ24" s="3236"/>
      <c r="AK24" s="3236"/>
      <c r="AL24" s="3236"/>
      <c r="AM24" s="3236"/>
      <c r="AN24" s="3236"/>
      <c r="AO24" s="3236"/>
      <c r="AP24" s="3236"/>
      <c r="AQ24" s="3236"/>
      <c r="AR24" s="3236"/>
      <c r="AS24" s="3236"/>
    </row>
    <row r="25" spans="3:45">
      <c r="C25" s="3055" t="s">
        <v>3191</v>
      </c>
      <c r="D25" s="3701" t="s">
        <v>3192</v>
      </c>
      <c r="E25" s="3702"/>
      <c r="F25" s="3703"/>
      <c r="G25" s="3066">
        <f>Q21/G7</f>
        <v>0.22522044443373807</v>
      </c>
      <c r="H25" s="3055" t="s">
        <v>3193</v>
      </c>
      <c r="I25" s="3055"/>
      <c r="J25" s="3120"/>
      <c r="Y25" s="3236"/>
      <c r="Z25" s="3236"/>
      <c r="AA25" s="3236"/>
      <c r="AB25" s="3236"/>
      <c r="AC25" s="3236"/>
      <c r="AD25" s="3236"/>
      <c r="AE25" s="3236"/>
      <c r="AF25" s="3236"/>
      <c r="AG25" s="3236"/>
      <c r="AH25" s="3236"/>
      <c r="AI25" s="3236"/>
      <c r="AJ25" s="3236"/>
      <c r="AK25" s="3236"/>
      <c r="AL25" s="3236"/>
      <c r="AM25" s="3236"/>
      <c r="AN25" s="3236"/>
      <c r="AO25" s="3236"/>
      <c r="AP25" s="3236"/>
      <c r="AQ25" s="3236"/>
      <c r="AR25" s="3236"/>
      <c r="AS25" s="3236"/>
    </row>
    <row r="26" spans="3:45">
      <c r="C26" s="3055" t="s">
        <v>3195</v>
      </c>
      <c r="D26" s="3701" t="s">
        <v>3196</v>
      </c>
      <c r="E26" s="3702"/>
      <c r="F26" s="3703"/>
      <c r="G26" s="3066">
        <v>30.1</v>
      </c>
      <c r="H26" s="3055" t="s">
        <v>3193</v>
      </c>
      <c r="I26" s="3055"/>
      <c r="J26" s="3120"/>
      <c r="Y26" s="3236"/>
      <c r="Z26" s="3236"/>
      <c r="AA26" s="3236"/>
      <c r="AB26" s="3236"/>
      <c r="AC26" s="3236"/>
      <c r="AD26" s="3236"/>
      <c r="AE26" s="3236"/>
      <c r="AF26" s="3236"/>
      <c r="AG26" s="3236"/>
      <c r="AH26" s="3236"/>
      <c r="AI26" s="3236"/>
      <c r="AJ26" s="3236"/>
      <c r="AK26" s="3236"/>
      <c r="AL26" s="3236"/>
      <c r="AM26" s="3236"/>
      <c r="AN26" s="3236"/>
      <c r="AO26" s="3236"/>
      <c r="AP26" s="3236"/>
      <c r="AQ26" s="3236"/>
      <c r="AR26" s="3236"/>
      <c r="AS26" s="3236"/>
    </row>
    <row r="27" spans="3:45">
      <c r="C27" s="3055" t="s">
        <v>3197</v>
      </c>
      <c r="D27" s="3711" t="s">
        <v>3198</v>
      </c>
      <c r="E27" s="3712"/>
      <c r="F27" s="3713"/>
      <c r="G27" s="3199">
        <f>G28+G29</f>
        <v>1006</v>
      </c>
      <c r="H27" s="3055" t="s">
        <v>3199</v>
      </c>
      <c r="I27" s="3055"/>
      <c r="J27" s="3173">
        <f>G22*1+G15/10000*65</f>
        <v>969.43196999999998</v>
      </c>
    </row>
    <row r="28" spans="3:45">
      <c r="C28" s="3700"/>
      <c r="D28" s="3708" t="s">
        <v>3149</v>
      </c>
      <c r="E28" s="3711" t="s">
        <v>3201</v>
      </c>
      <c r="F28" s="3703"/>
      <c r="G28" s="3199">
        <v>233</v>
      </c>
      <c r="H28" s="3055" t="s">
        <v>3199</v>
      </c>
      <c r="I28" s="3055"/>
      <c r="J28" s="3173">
        <f>J27*0.2</f>
        <v>193.886394</v>
      </c>
    </row>
    <row r="29" spans="3:45">
      <c r="C29" s="3700"/>
      <c r="D29" s="3708"/>
      <c r="E29" s="3711" t="s">
        <v>3203</v>
      </c>
      <c r="F29" s="3703"/>
      <c r="G29" s="3199">
        <v>773</v>
      </c>
      <c r="H29" s="3055" t="s">
        <v>3199</v>
      </c>
      <c r="I29" s="3055"/>
      <c r="J29" s="3173">
        <f>J27-J28</f>
        <v>775.54557599999998</v>
      </c>
    </row>
    <row r="37" spans="3:21">
      <c r="C37" s="3606" t="s">
        <v>3211</v>
      </c>
      <c r="D37" s="3607"/>
      <c r="E37" s="3607"/>
      <c r="F37" s="3607"/>
      <c r="G37" s="3607"/>
      <c r="L37" s="3734" t="s">
        <v>3429</v>
      </c>
      <c r="M37" s="3735"/>
      <c r="N37" s="3321">
        <f>SUM(N38:N40)</f>
        <v>21690.29</v>
      </c>
      <c r="O37" s="3321"/>
      <c r="P37" s="3321"/>
      <c r="Q37" s="3321"/>
      <c r="R37" s="3322"/>
      <c r="S37" s="3322"/>
      <c r="T37" s="3321"/>
      <c r="U37" s="3321"/>
    </row>
    <row r="38" spans="3:21">
      <c r="C38" s="3113"/>
      <c r="D38" s="3113"/>
      <c r="E38" s="3114" t="s">
        <v>3214</v>
      </c>
      <c r="F38" s="3059" t="s">
        <v>3215</v>
      </c>
      <c r="G38" s="3059" t="s">
        <v>3216</v>
      </c>
      <c r="L38" s="3736" t="s">
        <v>3149</v>
      </c>
      <c r="M38" s="3323" t="s">
        <v>3355</v>
      </c>
      <c r="N38" s="3323"/>
      <c r="O38" s="3323"/>
      <c r="P38" s="3321"/>
      <c r="Q38" s="3321"/>
      <c r="R38" s="3322"/>
      <c r="S38" s="3322"/>
      <c r="T38" s="3321"/>
      <c r="U38" s="3321"/>
    </row>
    <row r="39" spans="3:21">
      <c r="C39" s="3612" t="s">
        <v>3217</v>
      </c>
      <c r="D39" s="3115" t="s">
        <v>3218</v>
      </c>
      <c r="E39" s="3116"/>
      <c r="F39" s="3059"/>
      <c r="G39" s="3059"/>
      <c r="L39" s="3737"/>
      <c r="M39" s="3323" t="s">
        <v>3223</v>
      </c>
      <c r="N39" s="3321"/>
      <c r="O39" s="3321"/>
      <c r="P39" s="3321"/>
      <c r="Q39" s="3321"/>
      <c r="R39" s="3322"/>
      <c r="S39" s="3322"/>
      <c r="T39" s="3321"/>
      <c r="U39" s="3321"/>
    </row>
    <row r="40" spans="3:21">
      <c r="C40" s="3613"/>
      <c r="D40" s="3115" t="s">
        <v>3219</v>
      </c>
      <c r="E40" s="3116"/>
      <c r="F40" s="3059"/>
      <c r="G40" s="3059"/>
      <c r="L40" s="3738"/>
      <c r="M40" s="3323" t="s">
        <v>48</v>
      </c>
      <c r="N40" s="3321">
        <v>21690.29</v>
      </c>
      <c r="O40" s="3321"/>
      <c r="P40" s="3321"/>
      <c r="Q40" s="3321"/>
      <c r="R40" s="3322"/>
      <c r="S40" s="3322"/>
      <c r="T40" s="3321"/>
      <c r="U40" s="3321"/>
    </row>
    <row r="41" spans="3:21" ht="14.25" thickBot="1">
      <c r="C41" s="3615" t="s">
        <v>3221</v>
      </c>
      <c r="D41" s="3115" t="s">
        <v>3222</v>
      </c>
      <c r="E41" s="3616">
        <f>G15</f>
        <v>1143.3800000000001</v>
      </c>
      <c r="F41" s="3059"/>
      <c r="G41" s="3059"/>
      <c r="L41" s="3324"/>
      <c r="M41" s="3324"/>
      <c r="N41" s="3325"/>
      <c r="O41" s="3325"/>
      <c r="P41" s="3325"/>
      <c r="Q41" s="3325"/>
      <c r="R41" s="3326"/>
      <c r="S41" s="3326"/>
      <c r="T41" s="3325"/>
      <c r="U41" s="3325"/>
    </row>
    <row r="42" spans="3:21">
      <c r="C42" s="3615"/>
      <c r="D42" s="3115" t="s">
        <v>3224</v>
      </c>
      <c r="E42" s="3617"/>
      <c r="F42" s="3059"/>
      <c r="G42" s="3059"/>
    </row>
    <row r="43" spans="3:21">
      <c r="C43" s="3615"/>
      <c r="D43" s="3115" t="s">
        <v>3226</v>
      </c>
      <c r="E43" s="3617"/>
      <c r="F43" s="3059"/>
      <c r="G43" s="3059"/>
    </row>
    <row r="44" spans="3:21">
      <c r="C44" s="3615"/>
      <c r="D44" s="3115" t="s">
        <v>3228</v>
      </c>
      <c r="E44" s="3617"/>
      <c r="F44" s="3059"/>
      <c r="G44" s="3059"/>
      <c r="N44" s="3044">
        <v>8000</v>
      </c>
      <c r="O44" s="3044">
        <f>N44/N37</f>
        <v>0.36882863253557235</v>
      </c>
    </row>
    <row r="45" spans="3:21">
      <c r="C45" s="3615"/>
      <c r="D45" s="3115" t="s">
        <v>3230</v>
      </c>
      <c r="E45" s="3618"/>
      <c r="F45" s="3059"/>
      <c r="G45" s="3059"/>
    </row>
    <row r="46" spans="3:21">
      <c r="C46" s="3113"/>
      <c r="D46" s="3113"/>
      <c r="E46" s="3116"/>
      <c r="F46" s="3059"/>
      <c r="G46" s="3059"/>
    </row>
    <row r="47" spans="3:21">
      <c r="C47" s="3084" t="s">
        <v>3231</v>
      </c>
      <c r="D47" s="3119" t="s">
        <v>3232</v>
      </c>
      <c r="E47" s="3116"/>
      <c r="F47" s="3059"/>
      <c r="G47" s="3059"/>
    </row>
    <row r="48" spans="3:21">
      <c r="C48" s="3115"/>
      <c r="D48" s="3120"/>
      <c r="E48" s="3120"/>
      <c r="F48" s="3059"/>
      <c r="G48" s="3059"/>
    </row>
    <row r="49" spans="3:7">
      <c r="C49" s="3605" t="s">
        <v>3233</v>
      </c>
      <c r="D49" s="3119" t="s">
        <v>3234</v>
      </c>
      <c r="E49" s="3116"/>
      <c r="F49" s="3059"/>
      <c r="G49" s="3059"/>
    </row>
    <row r="50" spans="3:7">
      <c r="C50" s="3605"/>
      <c r="D50" s="3115" t="s">
        <v>3235</v>
      </c>
      <c r="E50" s="3116"/>
      <c r="F50" s="3059"/>
      <c r="G50" s="3059"/>
    </row>
    <row r="51" spans="3:7">
      <c r="C51" s="3121"/>
      <c r="D51" s="3113"/>
      <c r="E51" s="3116"/>
      <c r="F51" s="3059"/>
      <c r="G51" s="3059"/>
    </row>
    <row r="52" spans="3:7">
      <c r="C52" s="3113"/>
      <c r="D52" s="3113"/>
      <c r="E52" s="3116"/>
      <c r="F52" s="3059"/>
      <c r="G52" s="3059"/>
    </row>
    <row r="53" spans="3:7">
      <c r="C53" s="3620" t="s">
        <v>3236</v>
      </c>
      <c r="D53" s="3119" t="s">
        <v>3271</v>
      </c>
      <c r="E53" s="3622"/>
      <c r="F53" s="3059"/>
      <c r="G53" s="3059"/>
    </row>
    <row r="54" spans="3:7">
      <c r="C54" s="3621"/>
      <c r="D54" s="3119" t="s">
        <v>3272</v>
      </c>
      <c r="E54" s="3618"/>
      <c r="F54" s="3059"/>
      <c r="G54" s="3059"/>
    </row>
    <row r="55" spans="3:7">
      <c r="C55" s="3113"/>
      <c r="D55" s="3113"/>
      <c r="E55" s="3116"/>
      <c r="F55" s="3059"/>
      <c r="G55" s="3059"/>
    </row>
    <row r="56" spans="3:7">
      <c r="C56" s="3620" t="s">
        <v>3273</v>
      </c>
      <c r="D56" s="3119" t="s">
        <v>3274</v>
      </c>
      <c r="E56" s="3116"/>
      <c r="F56" s="3059"/>
      <c r="G56" s="3059"/>
    </row>
    <row r="57" spans="3:7">
      <c r="C57" s="3623"/>
      <c r="D57" s="3119" t="s">
        <v>3275</v>
      </c>
      <c r="E57" s="3116"/>
      <c r="F57" s="3059"/>
      <c r="G57" s="3059"/>
    </row>
    <row r="58" spans="3:7">
      <c r="C58" s="3623"/>
      <c r="D58" s="3119" t="s">
        <v>3276</v>
      </c>
      <c r="E58" s="3116"/>
      <c r="F58" s="3059"/>
      <c r="G58" s="3059"/>
    </row>
    <row r="59" spans="3:7">
      <c r="C59" s="3623"/>
      <c r="D59" s="3119" t="s">
        <v>3277</v>
      </c>
      <c r="E59" s="3327">
        <v>318.39</v>
      </c>
      <c r="F59" s="3059"/>
      <c r="G59" s="3059"/>
    </row>
    <row r="60" spans="3:7">
      <c r="C60" s="3621"/>
      <c r="D60" s="3115" t="s">
        <v>3278</v>
      </c>
      <c r="E60" s="3116">
        <v>873.34</v>
      </c>
      <c r="F60" s="3059"/>
      <c r="G60" s="3059"/>
    </row>
    <row r="61" spans="3:7">
      <c r="C61" s="3615" t="s">
        <v>3279</v>
      </c>
      <c r="D61" s="3115" t="s">
        <v>3280</v>
      </c>
      <c r="E61" s="3116"/>
      <c r="F61" s="3059"/>
      <c r="G61" s="3059"/>
    </row>
    <row r="62" spans="3:7">
      <c r="C62" s="3615"/>
      <c r="D62" s="3119" t="s">
        <v>3281</v>
      </c>
      <c r="E62" s="3116"/>
      <c r="F62" s="3059"/>
      <c r="G62" s="3059"/>
    </row>
    <row r="63" spans="3:7">
      <c r="C63" s="3615"/>
      <c r="D63" s="3119" t="s">
        <v>3282</v>
      </c>
      <c r="E63" s="3116"/>
      <c r="F63" s="3059"/>
      <c r="G63" s="3059"/>
    </row>
    <row r="64" spans="3:7">
      <c r="C64" s="3615"/>
      <c r="D64" s="3115" t="s">
        <v>3283</v>
      </c>
      <c r="E64" s="3116"/>
      <c r="F64" s="3059"/>
      <c r="G64" s="3059"/>
    </row>
    <row r="65" spans="3:7">
      <c r="C65" s="3615"/>
      <c r="D65" s="3115" t="s">
        <v>3284</v>
      </c>
      <c r="E65" s="3116"/>
      <c r="F65" s="3059"/>
      <c r="G65" s="3059"/>
    </row>
    <row r="66" spans="3:7">
      <c r="C66" s="3615"/>
      <c r="D66" s="3115"/>
      <c r="E66" s="3116"/>
      <c r="F66" s="3059"/>
      <c r="G66" s="3059"/>
    </row>
    <row r="67" spans="3:7">
      <c r="C67" s="3615"/>
      <c r="D67" s="3115" t="s">
        <v>3285</v>
      </c>
      <c r="E67" s="3116"/>
      <c r="F67" s="3059"/>
      <c r="G67" s="3059"/>
    </row>
    <row r="68" spans="3:7">
      <c r="C68" s="3615"/>
      <c r="D68" s="3115" t="s">
        <v>3286</v>
      </c>
      <c r="E68" s="3116"/>
      <c r="F68" s="3059"/>
      <c r="G68" s="3059"/>
    </row>
    <row r="69" spans="3:7">
      <c r="C69" s="3615"/>
      <c r="D69" s="3115" t="s">
        <v>3287</v>
      </c>
      <c r="E69" s="3116"/>
      <c r="F69" s="3059"/>
      <c r="G69" s="3059"/>
    </row>
    <row r="70" spans="3:7">
      <c r="C70" s="3615"/>
      <c r="D70" s="3115" t="s">
        <v>3288</v>
      </c>
      <c r="E70" s="3116"/>
      <c r="F70" s="3059"/>
      <c r="G70" s="3059"/>
    </row>
    <row r="71" spans="3:7">
      <c r="C71" s="3615"/>
      <c r="D71" s="3115" t="s">
        <v>3289</v>
      </c>
      <c r="E71" s="3116"/>
      <c r="F71" s="3059"/>
      <c r="G71" s="3059"/>
    </row>
    <row r="72" spans="3:7">
      <c r="C72" s="3058" t="s">
        <v>3209</v>
      </c>
      <c r="D72" s="3058"/>
      <c r="E72" s="3058">
        <f>SUM(E39:E71)</f>
        <v>2335.11</v>
      </c>
      <c r="F72" s="3058"/>
      <c r="G72" s="3059"/>
    </row>
  </sheetData>
  <mergeCells count="54">
    <mergeCell ref="C49:C50"/>
    <mergeCell ref="C53:C54"/>
    <mergeCell ref="E53:E54"/>
    <mergeCell ref="C56:C60"/>
    <mergeCell ref="C61:C71"/>
    <mergeCell ref="C37:G37"/>
    <mergeCell ref="L37:M37"/>
    <mergeCell ref="L38:L40"/>
    <mergeCell ref="C39:C40"/>
    <mergeCell ref="C41:C45"/>
    <mergeCell ref="E41:E45"/>
    <mergeCell ref="L15:M15"/>
    <mergeCell ref="D26:F26"/>
    <mergeCell ref="D27:F27"/>
    <mergeCell ref="C28:C29"/>
    <mergeCell ref="D28:D29"/>
    <mergeCell ref="E28:F28"/>
    <mergeCell ref="E29:F29"/>
    <mergeCell ref="D25:F25"/>
    <mergeCell ref="E16:F16"/>
    <mergeCell ref="L16:L19"/>
    <mergeCell ref="D17:F17"/>
    <mergeCell ref="D19:D20"/>
    <mergeCell ref="E19:F19"/>
    <mergeCell ref="E20:F20"/>
    <mergeCell ref="L20:M20"/>
    <mergeCell ref="D21:F21"/>
    <mergeCell ref="L21:M21"/>
    <mergeCell ref="D22:F22"/>
    <mergeCell ref="D23:F23"/>
    <mergeCell ref="D24:F24"/>
    <mergeCell ref="D8:F8"/>
    <mergeCell ref="L8:M8"/>
    <mergeCell ref="C9:C20"/>
    <mergeCell ref="D9:F9"/>
    <mergeCell ref="L9:M9"/>
    <mergeCell ref="D10:D16"/>
    <mergeCell ref="E10:F10"/>
    <mergeCell ref="L10:M10"/>
    <mergeCell ref="E11:E12"/>
    <mergeCell ref="L11:M11"/>
    <mergeCell ref="L12:M12"/>
    <mergeCell ref="E13:F13"/>
    <mergeCell ref="L13:M13"/>
    <mergeCell ref="E14:F14"/>
    <mergeCell ref="L14:M14"/>
    <mergeCell ref="E15:F15"/>
    <mergeCell ref="D7:F7"/>
    <mergeCell ref="L7:M7"/>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R74"/>
  <sheetViews>
    <sheetView zoomScaleNormal="100" workbookViewId="0">
      <selection activeCell="Q5" sqref="Q5:Q28"/>
    </sheetView>
  </sheetViews>
  <sheetFormatPr defaultRowHeight="13.5"/>
  <cols>
    <col min="1" max="3" width="9" style="3044"/>
    <col min="4" max="4" width="14.125" style="3044" customWidth="1"/>
    <col min="5" max="6" width="9" style="3044"/>
    <col min="7" max="7" width="17.625" style="3044" customWidth="1"/>
    <col min="8" max="12" width="9" style="3044"/>
    <col min="13" max="13" width="12.375" style="3044" customWidth="1"/>
    <col min="14" max="14" width="12.625" style="3044" customWidth="1"/>
    <col min="15" max="15" width="11.625" style="3044" customWidth="1"/>
    <col min="16" max="16" width="9.5" style="3044" bestFit="1" customWidth="1"/>
    <col min="17" max="17" width="11.625" style="3044" customWidth="1"/>
    <col min="18" max="21" width="9" style="3044"/>
    <col min="22" max="22" width="15.125" style="3044" customWidth="1"/>
    <col min="23" max="23" width="9.5" style="3044" bestFit="1" customWidth="1"/>
    <col min="24" max="16384" width="9" style="3044"/>
  </cols>
  <sheetData>
    <row r="4" spans="3:44" ht="14.25" thickBot="1">
      <c r="K4" s="3719" t="s">
        <v>3292</v>
      </c>
      <c r="L4" s="3720"/>
      <c r="M4" s="3720"/>
      <c r="N4" s="3720"/>
      <c r="O4" s="3720"/>
      <c r="P4" s="3720"/>
      <c r="Q4" s="3720"/>
      <c r="R4" s="3720"/>
      <c r="S4" s="3720"/>
      <c r="T4" s="3720"/>
      <c r="U4" s="3720"/>
      <c r="V4" s="3721"/>
      <c r="W4" s="3120"/>
      <c r="Y4" s="3044" t="s">
        <v>3068</v>
      </c>
    </row>
    <row r="5" spans="3:44" ht="81">
      <c r="C5" s="3741" t="s">
        <v>3388</v>
      </c>
      <c r="D5" s="3742"/>
      <c r="E5" s="3742"/>
      <c r="F5" s="3742"/>
      <c r="G5" s="3742"/>
      <c r="H5" s="3742"/>
      <c r="I5" s="3743"/>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266"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240" t="s">
        <v>3260</v>
      </c>
      <c r="AM5" s="3240" t="s">
        <v>3261</v>
      </c>
      <c r="AN5" s="3240" t="s">
        <v>3262</v>
      </c>
      <c r="AO5" s="3240" t="s">
        <v>3263</v>
      </c>
      <c r="AP5" s="3267" t="s">
        <v>3264</v>
      </c>
      <c r="AQ5" s="3268" t="s">
        <v>3265</v>
      </c>
      <c r="AR5" s="3054" t="s">
        <v>3266</v>
      </c>
    </row>
    <row r="6" spans="3:44">
      <c r="C6" s="3055" t="s">
        <v>3134</v>
      </c>
      <c r="D6" s="3700" t="s">
        <v>3135</v>
      </c>
      <c r="E6" s="3700"/>
      <c r="F6" s="3700"/>
      <c r="G6" s="3055" t="s">
        <v>3136</v>
      </c>
      <c r="H6" s="3055" t="s">
        <v>3137</v>
      </c>
      <c r="I6" s="3055" t="s">
        <v>3110</v>
      </c>
      <c r="J6" s="3120"/>
      <c r="L6" s="3739" t="s">
        <v>3389</v>
      </c>
      <c r="M6" s="3740"/>
      <c r="N6" s="3269">
        <f t="shared" ref="N6:N28" si="0">O6+P6</f>
        <v>7867.63</v>
      </c>
      <c r="O6" s="3269">
        <v>7320.2</v>
      </c>
      <c r="P6" s="3269">
        <v>547.42999999999995</v>
      </c>
      <c r="Q6" s="3270">
        <v>681.43</v>
      </c>
      <c r="R6" s="3271">
        <f>11*2*3</f>
        <v>66</v>
      </c>
      <c r="S6" s="3271">
        <f t="shared" ref="S6:S12" si="1">R6*3.2</f>
        <v>211.20000000000002</v>
      </c>
      <c r="T6" s="3272" t="s">
        <v>3360</v>
      </c>
      <c r="U6" s="3273">
        <v>34.799999999999997</v>
      </c>
      <c r="V6" s="3182"/>
      <c r="W6" s="3270">
        <v>652.79</v>
      </c>
      <c r="X6" s="3270"/>
      <c r="Y6" s="3058">
        <f>SUM(Z6:AR6)</f>
        <v>66</v>
      </c>
      <c r="Z6" s="3274"/>
      <c r="AA6" s="3275"/>
      <c r="AB6" s="3275"/>
      <c r="AC6" s="3275"/>
      <c r="AD6" s="3246"/>
      <c r="AE6" s="3246"/>
      <c r="AF6" s="3246"/>
      <c r="AG6" s="3246"/>
      <c r="AH6" s="3072">
        <v>3</v>
      </c>
      <c r="AI6" s="3072">
        <v>37</v>
      </c>
      <c r="AJ6" s="3072">
        <v>20</v>
      </c>
      <c r="AK6" s="3072">
        <v>6</v>
      </c>
      <c r="AL6" s="3247"/>
      <c r="AM6" s="3247"/>
      <c r="AN6" s="3247"/>
      <c r="AO6" s="3247"/>
      <c r="AP6" s="3276"/>
      <c r="AQ6" s="3276"/>
      <c r="AR6" s="3246"/>
    </row>
    <row r="7" spans="3:44">
      <c r="C7" s="3055" t="s">
        <v>3140</v>
      </c>
      <c r="D7" s="3701" t="s">
        <v>3141</v>
      </c>
      <c r="E7" s="3702"/>
      <c r="F7" s="3703"/>
      <c r="G7" s="3066">
        <v>43315.55</v>
      </c>
      <c r="H7" s="3055" t="s">
        <v>3142</v>
      </c>
      <c r="I7" s="3055"/>
      <c r="J7" s="3120"/>
      <c r="L7" s="3739" t="s">
        <v>3390</v>
      </c>
      <c r="M7" s="3740"/>
      <c r="N7" s="3269">
        <f t="shared" si="0"/>
        <v>9072.02</v>
      </c>
      <c r="O7" s="3277">
        <v>8449.92</v>
      </c>
      <c r="P7" s="3277">
        <v>622.1</v>
      </c>
      <c r="Q7" s="3273">
        <v>781.26</v>
      </c>
      <c r="R7" s="3271">
        <f>11*6</f>
        <v>66</v>
      </c>
      <c r="S7" s="3271">
        <f t="shared" si="1"/>
        <v>211.20000000000002</v>
      </c>
      <c r="T7" s="3272" t="s">
        <v>3360</v>
      </c>
      <c r="U7" s="3273">
        <v>34.799999999999997</v>
      </c>
      <c r="V7" s="3182"/>
      <c r="W7" s="3270">
        <v>750.08</v>
      </c>
      <c r="X7" s="3270"/>
      <c r="Y7" s="3058">
        <f t="shared" ref="Y7:Y29" si="2">SUM(Z7:AR7)</f>
        <v>66</v>
      </c>
      <c r="Z7" s="3278"/>
      <c r="AA7" s="3279"/>
      <c r="AB7" s="3279"/>
      <c r="AC7" s="3279"/>
      <c r="AD7" s="3280"/>
      <c r="AE7" s="3280"/>
      <c r="AF7" s="3280"/>
      <c r="AG7" s="3280"/>
      <c r="AH7" s="3187"/>
      <c r="AI7" s="3187"/>
      <c r="AJ7" s="3187"/>
      <c r="AK7" s="3187"/>
      <c r="AL7" s="3251">
        <v>3</v>
      </c>
      <c r="AM7" s="3251">
        <v>37</v>
      </c>
      <c r="AN7" s="3251">
        <v>20</v>
      </c>
      <c r="AO7" s="3251">
        <v>6</v>
      </c>
      <c r="AP7" s="3276"/>
      <c r="AQ7" s="3276"/>
      <c r="AR7" s="3113"/>
    </row>
    <row r="8" spans="3:44">
      <c r="C8" s="3055" t="s">
        <v>3145</v>
      </c>
      <c r="D8" s="3700" t="s">
        <v>3146</v>
      </c>
      <c r="E8" s="3700"/>
      <c r="F8" s="3700"/>
      <c r="G8" s="3066">
        <f>G9+G17</f>
        <v>132471.75</v>
      </c>
      <c r="H8" s="3055" t="s">
        <v>3142</v>
      </c>
      <c r="I8" s="3055"/>
      <c r="J8" s="3120"/>
      <c r="L8" s="3739" t="s">
        <v>3391</v>
      </c>
      <c r="M8" s="3740"/>
      <c r="N8" s="3269">
        <f t="shared" si="0"/>
        <v>7867.63</v>
      </c>
      <c r="O8" s="3281">
        <f>O6</f>
        <v>7320.2</v>
      </c>
      <c r="P8" s="3269">
        <f>P6</f>
        <v>547.42999999999995</v>
      </c>
      <c r="Q8" s="3270">
        <v>681.43</v>
      </c>
      <c r="R8" s="3271">
        <f>11*2*3</f>
        <v>66</v>
      </c>
      <c r="S8" s="3271">
        <f t="shared" si="1"/>
        <v>211.20000000000002</v>
      </c>
      <c r="T8" s="3272" t="s">
        <v>3360</v>
      </c>
      <c r="U8" s="3273">
        <v>34.799999999999997</v>
      </c>
      <c r="V8" s="3182"/>
      <c r="W8" s="3270">
        <v>652.79</v>
      </c>
      <c r="X8" s="3270"/>
      <c r="Y8" s="3058">
        <f t="shared" si="2"/>
        <v>66</v>
      </c>
      <c r="Z8" s="3278"/>
      <c r="AA8" s="3279"/>
      <c r="AB8" s="3279"/>
      <c r="AC8" s="3279"/>
      <c r="AD8" s="3280"/>
      <c r="AE8" s="3280"/>
      <c r="AF8" s="3280"/>
      <c r="AG8" s="3280"/>
      <c r="AH8" s="3072">
        <v>3</v>
      </c>
      <c r="AI8" s="3072">
        <v>37</v>
      </c>
      <c r="AJ8" s="3072">
        <v>20</v>
      </c>
      <c r="AK8" s="3072">
        <v>6</v>
      </c>
      <c r="AL8" s="3247"/>
      <c r="AM8" s="3247"/>
      <c r="AN8" s="3247"/>
      <c r="AO8" s="3247"/>
      <c r="AP8" s="3276"/>
      <c r="AQ8" s="3276"/>
      <c r="AR8" s="3113"/>
    </row>
    <row r="9" spans="3:44">
      <c r="C9" s="3704" t="s">
        <v>3149</v>
      </c>
      <c r="D9" s="3700" t="s">
        <v>3150</v>
      </c>
      <c r="E9" s="3700"/>
      <c r="F9" s="3700"/>
      <c r="G9" s="3066">
        <f>G10+G15+G16+G14</f>
        <v>105554.61</v>
      </c>
      <c r="H9" s="3055" t="s">
        <v>3142</v>
      </c>
      <c r="I9" s="3055"/>
      <c r="J9" s="3120"/>
      <c r="L9" s="3739" t="s">
        <v>3392</v>
      </c>
      <c r="M9" s="3740"/>
      <c r="N9" s="3269">
        <f t="shared" si="0"/>
        <v>11704.19</v>
      </c>
      <c r="O9" s="3269">
        <v>10741.02</v>
      </c>
      <c r="P9" s="3277">
        <v>963.17</v>
      </c>
      <c r="Q9" s="3273">
        <v>993.78</v>
      </c>
      <c r="R9" s="3271">
        <f>11*6+12*6</f>
        <v>138</v>
      </c>
      <c r="S9" s="3271">
        <f t="shared" si="1"/>
        <v>441.6</v>
      </c>
      <c r="T9" s="3272" t="s">
        <v>3360</v>
      </c>
      <c r="U9" s="3273">
        <v>34.799999999999997</v>
      </c>
      <c r="V9" s="3182"/>
      <c r="W9" s="3270">
        <v>948.94</v>
      </c>
      <c r="X9" s="3270"/>
      <c r="Y9" s="3058">
        <f t="shared" si="2"/>
        <v>138</v>
      </c>
      <c r="Z9" s="3186">
        <v>36</v>
      </c>
      <c r="AA9" s="3186">
        <v>12</v>
      </c>
      <c r="AB9" s="3186">
        <v>12</v>
      </c>
      <c r="AC9" s="3186">
        <v>12</v>
      </c>
      <c r="AD9" s="3195">
        <v>7</v>
      </c>
      <c r="AE9" s="3195">
        <v>45</v>
      </c>
      <c r="AF9" s="3195">
        <v>8</v>
      </c>
      <c r="AG9" s="3195">
        <v>6</v>
      </c>
      <c r="AH9" s="3252"/>
      <c r="AI9" s="3252"/>
      <c r="AJ9" s="3252"/>
      <c r="AK9" s="3252"/>
      <c r="AL9" s="3247"/>
      <c r="AM9" s="3247"/>
      <c r="AN9" s="3247"/>
      <c r="AO9" s="3247"/>
      <c r="AP9" s="3276"/>
      <c r="AQ9" s="3276"/>
      <c r="AR9" s="3246"/>
    </row>
    <row r="10" spans="3:44">
      <c r="C10" s="3705"/>
      <c r="D10" s="3700" t="s">
        <v>3149</v>
      </c>
      <c r="E10" s="3707" t="s">
        <v>3153</v>
      </c>
      <c r="F10" s="3707"/>
      <c r="G10" s="3066">
        <f>G11+G12+G13</f>
        <v>99063.57</v>
      </c>
      <c r="H10" s="3055" t="s">
        <v>3142</v>
      </c>
      <c r="I10" s="3055"/>
      <c r="J10" s="3120"/>
      <c r="L10" s="3739" t="s">
        <v>3393</v>
      </c>
      <c r="M10" s="3740"/>
      <c r="N10" s="3269">
        <f t="shared" si="0"/>
        <v>5358.74</v>
      </c>
      <c r="O10" s="3282">
        <v>4991.37</v>
      </c>
      <c r="P10" s="3269">
        <v>367.37</v>
      </c>
      <c r="Q10" s="3270">
        <v>462.26</v>
      </c>
      <c r="R10" s="3271">
        <f>11*2*2</f>
        <v>44</v>
      </c>
      <c r="S10" s="3271">
        <f t="shared" si="1"/>
        <v>140.80000000000001</v>
      </c>
      <c r="T10" s="3272" t="s">
        <v>3360</v>
      </c>
      <c r="U10" s="3273">
        <v>34.799999999999997</v>
      </c>
      <c r="V10" s="3182"/>
      <c r="W10" s="3269">
        <v>443.34</v>
      </c>
      <c r="X10" s="3270"/>
      <c r="Y10" s="3058">
        <f t="shared" si="2"/>
        <v>44</v>
      </c>
      <c r="Z10" s="3278"/>
      <c r="AA10" s="3279"/>
      <c r="AB10" s="3279"/>
      <c r="AC10" s="3279"/>
      <c r="AD10" s="3280"/>
      <c r="AE10" s="3280"/>
      <c r="AF10" s="3280"/>
      <c r="AG10" s="3280"/>
      <c r="AH10" s="3072">
        <v>2</v>
      </c>
      <c r="AI10" s="3072">
        <v>18</v>
      </c>
      <c r="AJ10" s="3072">
        <v>20</v>
      </c>
      <c r="AK10" s="3072">
        <v>4</v>
      </c>
      <c r="AL10" s="3247"/>
      <c r="AM10" s="3247"/>
      <c r="AN10" s="3247"/>
      <c r="AO10" s="3247"/>
      <c r="AP10" s="3276"/>
      <c r="AQ10" s="3276"/>
      <c r="AR10" s="3113"/>
    </row>
    <row r="11" spans="3:44">
      <c r="C11" s="3705"/>
      <c r="D11" s="3700"/>
      <c r="E11" s="3727" t="s">
        <v>3149</v>
      </c>
      <c r="F11" s="3078" t="s">
        <v>3300</v>
      </c>
      <c r="G11" s="3079">
        <f>O6+O7+O8+O9+O10+O11+O13+O21+O24+O27+O28</f>
        <v>82603.929999999993</v>
      </c>
      <c r="H11" s="3055" t="s">
        <v>3142</v>
      </c>
      <c r="I11" s="3055"/>
      <c r="J11" s="3120"/>
      <c r="L11" s="3739" t="s">
        <v>3394</v>
      </c>
      <c r="M11" s="3740"/>
      <c r="N11" s="3269">
        <f t="shared" si="0"/>
        <v>9071.98</v>
      </c>
      <c r="O11" s="3269">
        <f>O7</f>
        <v>8449.92</v>
      </c>
      <c r="P11" s="3277">
        <v>622.05999999999995</v>
      </c>
      <c r="Q11" s="3273">
        <v>781.26</v>
      </c>
      <c r="R11" s="3271">
        <f>11*2*3</f>
        <v>66</v>
      </c>
      <c r="S11" s="3271">
        <f t="shared" si="1"/>
        <v>211.20000000000002</v>
      </c>
      <c r="T11" s="3272" t="s">
        <v>3360</v>
      </c>
      <c r="U11" s="3273">
        <v>34.799999999999997</v>
      </c>
      <c r="V11" s="3182"/>
      <c r="W11" s="3270">
        <f>W7</f>
        <v>750.08</v>
      </c>
      <c r="X11" s="3270"/>
      <c r="Y11" s="3058">
        <f t="shared" si="2"/>
        <v>66</v>
      </c>
      <c r="Z11" s="3278"/>
      <c r="AA11" s="3279"/>
      <c r="AB11" s="3279"/>
      <c r="AC11" s="3279"/>
      <c r="AD11" s="3280"/>
      <c r="AE11" s="3280"/>
      <c r="AF11" s="3280"/>
      <c r="AG11" s="3280"/>
      <c r="AH11" s="3187"/>
      <c r="AI11" s="3187"/>
      <c r="AJ11" s="3187"/>
      <c r="AK11" s="3187"/>
      <c r="AL11" s="3251">
        <v>3</v>
      </c>
      <c r="AM11" s="3251">
        <v>37</v>
      </c>
      <c r="AN11" s="3251">
        <v>20</v>
      </c>
      <c r="AO11" s="3251">
        <v>6</v>
      </c>
      <c r="AP11" s="3276"/>
      <c r="AQ11" s="3276"/>
      <c r="AR11" s="3113"/>
    </row>
    <row r="12" spans="3:44">
      <c r="C12" s="3705"/>
      <c r="D12" s="3700"/>
      <c r="E12" s="3744"/>
      <c r="F12" s="3078" t="s">
        <v>3395</v>
      </c>
      <c r="G12" s="3079">
        <f>O17</f>
        <v>8063.96</v>
      </c>
      <c r="H12" s="3055"/>
      <c r="I12" s="3055"/>
      <c r="J12" s="3120"/>
      <c r="L12" s="3746" t="s">
        <v>3396</v>
      </c>
      <c r="M12" s="3747"/>
      <c r="N12" s="3269">
        <f t="shared" si="0"/>
        <v>9657.9599999999991</v>
      </c>
      <c r="O12" s="3269">
        <f>O13+O14+O15</f>
        <v>9485.369999999999</v>
      </c>
      <c r="P12" s="3269">
        <v>172.59</v>
      </c>
      <c r="Q12" s="3283">
        <v>1751.38</v>
      </c>
      <c r="R12" s="3271">
        <v>54</v>
      </c>
      <c r="S12" s="3271">
        <f t="shared" si="1"/>
        <v>172.8</v>
      </c>
      <c r="T12" s="3272" t="s">
        <v>3360</v>
      </c>
      <c r="U12" s="3283">
        <v>34.950000000000003</v>
      </c>
      <c r="V12" s="3120"/>
      <c r="W12" s="3284">
        <v>763.66</v>
      </c>
      <c r="X12" s="3270"/>
      <c r="Y12" s="3058">
        <f t="shared" si="2"/>
        <v>54</v>
      </c>
      <c r="Z12" s="3278"/>
      <c r="AA12" s="3279"/>
      <c r="AB12" s="3279"/>
      <c r="AC12" s="3279"/>
      <c r="AD12" s="3280"/>
      <c r="AE12" s="3280"/>
      <c r="AF12" s="3280"/>
      <c r="AG12" s="3280"/>
      <c r="AH12" s="3188"/>
      <c r="AI12" s="3188">
        <v>32</v>
      </c>
      <c r="AJ12" s="3188">
        <v>16</v>
      </c>
      <c r="AK12" s="3188">
        <v>6</v>
      </c>
      <c r="AL12" s="3247"/>
      <c r="AM12" s="3247"/>
      <c r="AN12" s="3247"/>
      <c r="AO12" s="3247"/>
      <c r="AP12" s="3276"/>
      <c r="AQ12" s="3276"/>
      <c r="AR12" s="3113"/>
    </row>
    <row r="13" spans="3:44">
      <c r="C13" s="3705"/>
      <c r="D13" s="3700"/>
      <c r="E13" s="3745"/>
      <c r="F13" s="3055" t="s">
        <v>3397</v>
      </c>
      <c r="G13" s="3066">
        <f>O18</f>
        <v>8395.68</v>
      </c>
      <c r="H13" s="3055" t="s">
        <v>3142</v>
      </c>
      <c r="I13" s="3055" t="s">
        <v>3162</v>
      </c>
      <c r="J13" s="3120"/>
      <c r="L13" s="3748" t="s">
        <v>3149</v>
      </c>
      <c r="M13" s="3285" t="s">
        <v>3163</v>
      </c>
      <c r="N13" s="3269"/>
      <c r="O13" s="3269">
        <v>6293.48</v>
      </c>
      <c r="P13" s="3269"/>
      <c r="Q13" s="3283"/>
      <c r="R13" s="3271"/>
      <c r="S13" s="3271"/>
      <c r="T13" s="3283"/>
      <c r="U13" s="3283"/>
      <c r="V13" s="3182"/>
      <c r="W13" s="3270"/>
      <c r="Y13" s="3058">
        <f t="shared" si="2"/>
        <v>0</v>
      </c>
      <c r="Z13" s="3274"/>
      <c r="AA13" s="3275"/>
      <c r="AB13" s="3275"/>
      <c r="AC13" s="3275"/>
      <c r="AD13" s="3246"/>
      <c r="AE13" s="3246"/>
      <c r="AF13" s="3246"/>
      <c r="AG13" s="3246"/>
      <c r="AH13" s="3252"/>
      <c r="AI13" s="3252"/>
      <c r="AJ13" s="3252"/>
      <c r="AK13" s="3252"/>
      <c r="AL13" s="3247"/>
      <c r="AM13" s="3247"/>
      <c r="AN13" s="3247"/>
      <c r="AO13" s="3247"/>
      <c r="AP13" s="3276"/>
      <c r="AQ13" s="3276"/>
      <c r="AR13" s="3246"/>
    </row>
    <row r="14" spans="3:44">
      <c r="C14" s="3705"/>
      <c r="D14" s="3700"/>
      <c r="E14" s="3701" t="s">
        <v>3367</v>
      </c>
      <c r="F14" s="3703"/>
      <c r="G14" s="3066">
        <f>O30</f>
        <v>234.5</v>
      </c>
      <c r="H14" s="3055"/>
      <c r="I14" s="3055"/>
      <c r="J14" s="3120"/>
      <c r="L14" s="3748"/>
      <c r="M14" s="3285" t="s">
        <v>1343</v>
      </c>
      <c r="N14" s="3269"/>
      <c r="O14" s="3270">
        <v>2663.98</v>
      </c>
      <c r="P14" s="3270"/>
      <c r="Q14" s="3270"/>
      <c r="R14" s="3271"/>
      <c r="S14" s="3271"/>
      <c r="T14" s="3270"/>
      <c r="U14" s="3270"/>
      <c r="V14" s="3182"/>
      <c r="W14" s="3270"/>
      <c r="Y14" s="3058">
        <f t="shared" si="2"/>
        <v>0</v>
      </c>
      <c r="Z14" s="3274"/>
      <c r="AA14" s="3275"/>
      <c r="AB14" s="3275"/>
      <c r="AC14" s="3275"/>
      <c r="AD14" s="3246"/>
      <c r="AE14" s="3246"/>
      <c r="AF14" s="3246"/>
      <c r="AG14" s="3246"/>
      <c r="AH14" s="3252"/>
      <c r="AI14" s="3252"/>
      <c r="AJ14" s="3252"/>
      <c r="AK14" s="3252"/>
      <c r="AL14" s="3247"/>
      <c r="AM14" s="3247"/>
      <c r="AN14" s="3247"/>
      <c r="AO14" s="3247"/>
      <c r="AP14" s="3276"/>
      <c r="AQ14" s="3276"/>
      <c r="AR14" s="3246"/>
    </row>
    <row r="15" spans="3:44" ht="40.5">
      <c r="C15" s="3705"/>
      <c r="D15" s="3700"/>
      <c r="E15" s="3709" t="s">
        <v>3165</v>
      </c>
      <c r="F15" s="3710"/>
      <c r="G15" s="3066">
        <f>O14+O22+O25</f>
        <v>4712.29</v>
      </c>
      <c r="H15" s="3055" t="s">
        <v>3142</v>
      </c>
      <c r="I15" s="3055"/>
      <c r="J15" s="3120"/>
      <c r="L15" s="3748"/>
      <c r="M15" s="3285" t="s">
        <v>3157</v>
      </c>
      <c r="N15" s="3269"/>
      <c r="O15" s="3270">
        <v>527.91</v>
      </c>
      <c r="P15" s="3270"/>
      <c r="Q15" s="3270"/>
      <c r="R15" s="3271"/>
      <c r="S15" s="3271"/>
      <c r="T15" s="3270"/>
      <c r="U15" s="3270"/>
      <c r="V15" s="3286" t="s">
        <v>3398</v>
      </c>
      <c r="W15" s="3270"/>
      <c r="Y15" s="3058">
        <f t="shared" si="2"/>
        <v>0</v>
      </c>
      <c r="Z15" s="3274"/>
      <c r="AA15" s="3275"/>
      <c r="AB15" s="3275"/>
      <c r="AC15" s="3275"/>
      <c r="AD15" s="3246"/>
      <c r="AE15" s="3246"/>
      <c r="AF15" s="3246"/>
      <c r="AG15" s="3246"/>
      <c r="AH15" s="3252"/>
      <c r="AI15" s="3252"/>
      <c r="AJ15" s="3252"/>
      <c r="AK15" s="3252"/>
      <c r="AL15" s="3247"/>
      <c r="AM15" s="3247"/>
      <c r="AN15" s="3247"/>
      <c r="AO15" s="3247"/>
      <c r="AP15" s="3276"/>
      <c r="AQ15" s="3276"/>
      <c r="AR15" s="3246"/>
    </row>
    <row r="16" spans="3:44">
      <c r="C16" s="3705"/>
      <c r="D16" s="3700"/>
      <c r="E16" s="3700" t="s">
        <v>3168</v>
      </c>
      <c r="F16" s="3700"/>
      <c r="G16" s="3066">
        <f>O15+O19+O26</f>
        <v>1544.25</v>
      </c>
      <c r="H16" s="3055" t="s">
        <v>3142</v>
      </c>
      <c r="I16" s="3055"/>
      <c r="J16" s="3120"/>
      <c r="L16" s="3739" t="s">
        <v>3399</v>
      </c>
      <c r="M16" s="3740"/>
      <c r="N16" s="3269">
        <f t="shared" si="0"/>
        <v>18067.47</v>
      </c>
      <c r="O16" s="3270">
        <f>O17+O18+O19</f>
        <v>16562.32</v>
      </c>
      <c r="P16" s="3283">
        <v>1505.15</v>
      </c>
      <c r="Q16" s="3283">
        <v>1439.87</v>
      </c>
      <c r="R16" s="3271">
        <v>320</v>
      </c>
      <c r="S16" s="3271">
        <v>101</v>
      </c>
      <c r="T16" s="3287" t="s">
        <v>3400</v>
      </c>
      <c r="U16" s="3283">
        <v>34.799999999999997</v>
      </c>
      <c r="V16" s="3182"/>
      <c r="W16" s="3270">
        <v>1384.92</v>
      </c>
      <c r="X16" s="3270"/>
      <c r="Y16" s="3058">
        <f t="shared" si="2"/>
        <v>320</v>
      </c>
      <c r="Z16" s="3278"/>
      <c r="AA16" s="3279"/>
      <c r="AB16" s="3279"/>
      <c r="AC16" s="3279"/>
      <c r="AD16" s="3280"/>
      <c r="AE16" s="3280"/>
      <c r="AF16" s="3280"/>
      <c r="AG16" s="3280"/>
      <c r="AH16" s="3187"/>
      <c r="AI16" s="3187"/>
      <c r="AJ16" s="3187"/>
      <c r="AK16" s="3187"/>
      <c r="AL16" s="3247"/>
      <c r="AM16" s="3247"/>
      <c r="AN16" s="3247"/>
      <c r="AO16" s="3247"/>
      <c r="AP16" s="3288">
        <v>141</v>
      </c>
      <c r="AQ16" s="3288">
        <v>179</v>
      </c>
      <c r="AR16" s="3113"/>
    </row>
    <row r="17" spans="3:44">
      <c r="C17" s="3705"/>
      <c r="D17" s="3701" t="s">
        <v>3171</v>
      </c>
      <c r="E17" s="3702"/>
      <c r="F17" s="3703"/>
      <c r="G17" s="3066">
        <f>G18+G19</f>
        <v>26917.140000000003</v>
      </c>
      <c r="H17" s="3055" t="s">
        <v>3142</v>
      </c>
      <c r="I17" s="3055"/>
      <c r="J17" s="3120"/>
      <c r="L17" s="3748" t="s">
        <v>3149</v>
      </c>
      <c r="M17" s="3270" t="s">
        <v>3395</v>
      </c>
      <c r="N17" s="3269" t="s">
        <v>3164</v>
      </c>
      <c r="O17" s="3270">
        <v>8063.96</v>
      </c>
      <c r="P17" s="3270"/>
      <c r="Q17" s="3270"/>
      <c r="R17" s="3271"/>
      <c r="S17" s="3271"/>
      <c r="T17" s="3270"/>
      <c r="U17" s="3270"/>
      <c r="V17" s="3182"/>
      <c r="W17" s="3270"/>
      <c r="Y17" s="3058">
        <f t="shared" si="2"/>
        <v>0</v>
      </c>
      <c r="Z17" s="3278"/>
      <c r="AA17" s="3279"/>
      <c r="AB17" s="3279"/>
      <c r="AC17" s="3279"/>
      <c r="AD17" s="3280"/>
      <c r="AE17" s="3280"/>
      <c r="AF17" s="3280"/>
      <c r="AG17" s="3280"/>
      <c r="AH17" s="3187"/>
      <c r="AI17" s="3187"/>
      <c r="AJ17" s="3187"/>
      <c r="AK17" s="3187"/>
      <c r="AL17" s="3247"/>
      <c r="AM17" s="3247"/>
      <c r="AN17" s="3247"/>
      <c r="AO17" s="3247"/>
      <c r="AP17" s="3276"/>
      <c r="AQ17" s="3276"/>
      <c r="AR17" s="3113"/>
    </row>
    <row r="18" spans="3:44">
      <c r="C18" s="3705"/>
      <c r="D18" s="3700" t="s">
        <v>3149</v>
      </c>
      <c r="E18" s="3708" t="s">
        <v>3172</v>
      </c>
      <c r="F18" s="3708"/>
      <c r="G18" s="3079">
        <f>P29</f>
        <v>5895.06</v>
      </c>
      <c r="H18" s="3055" t="s">
        <v>3142</v>
      </c>
      <c r="I18" s="3055"/>
      <c r="J18" s="3120"/>
      <c r="L18" s="3748"/>
      <c r="M18" s="3270" t="s">
        <v>3397</v>
      </c>
      <c r="N18" s="3269" t="s">
        <v>3164</v>
      </c>
      <c r="O18" s="3270">
        <v>8395.68</v>
      </c>
      <c r="P18" s="3270"/>
      <c r="Q18" s="3270"/>
      <c r="R18" s="3271"/>
      <c r="S18" s="3271"/>
      <c r="T18" s="3270"/>
      <c r="U18" s="3270"/>
      <c r="V18" s="3182"/>
      <c r="W18" s="3270"/>
      <c r="Y18" s="3058">
        <f t="shared" si="2"/>
        <v>0</v>
      </c>
      <c r="Z18" s="3274"/>
      <c r="AA18" s="3275"/>
      <c r="AB18" s="3275"/>
      <c r="AC18" s="3275"/>
      <c r="AD18" s="3246"/>
      <c r="AE18" s="3246"/>
      <c r="AF18" s="3246"/>
      <c r="AG18" s="3246"/>
      <c r="AH18" s="3252"/>
      <c r="AI18" s="3252"/>
      <c r="AJ18" s="3252"/>
      <c r="AK18" s="3252"/>
      <c r="AL18" s="3247"/>
      <c r="AM18" s="3247"/>
      <c r="AN18" s="3247"/>
      <c r="AO18" s="3247"/>
      <c r="AP18" s="3276"/>
      <c r="AQ18" s="3276"/>
      <c r="AR18" s="3246"/>
    </row>
    <row r="19" spans="3:44" ht="40.5">
      <c r="C19" s="3706"/>
      <c r="D19" s="3700"/>
      <c r="E19" s="3707" t="s">
        <v>3173</v>
      </c>
      <c r="F19" s="3707"/>
      <c r="G19" s="3066">
        <f>N37</f>
        <v>21022.080000000002</v>
      </c>
      <c r="H19" s="3055" t="s">
        <v>3142</v>
      </c>
      <c r="I19" s="3055" t="s">
        <v>3174</v>
      </c>
      <c r="J19" s="3120"/>
      <c r="L19" s="3748"/>
      <c r="M19" s="3270" t="s">
        <v>3166</v>
      </c>
      <c r="N19" s="3269"/>
      <c r="O19" s="3270">
        <v>102.68</v>
      </c>
      <c r="P19" s="3270"/>
      <c r="Q19" s="3289"/>
      <c r="R19" s="3271"/>
      <c r="S19" s="3271"/>
      <c r="T19" s="3270"/>
      <c r="U19" s="3270"/>
      <c r="V19" s="3286" t="s">
        <v>3401</v>
      </c>
      <c r="W19" s="3270"/>
      <c r="Y19" s="3058">
        <f t="shared" si="2"/>
        <v>54</v>
      </c>
      <c r="Z19" s="3274"/>
      <c r="AA19" s="3275"/>
      <c r="AB19" s="3275"/>
      <c r="AC19" s="3275"/>
      <c r="AD19" s="3246"/>
      <c r="AE19" s="3246"/>
      <c r="AF19" s="3246"/>
      <c r="AG19" s="3246"/>
      <c r="AH19" s="3252"/>
      <c r="AI19" s="3252"/>
      <c r="AJ19" s="3252"/>
      <c r="AK19" s="3252"/>
      <c r="AL19" s="3251"/>
      <c r="AM19" s="3251">
        <v>32</v>
      </c>
      <c r="AN19" s="3251">
        <v>16</v>
      </c>
      <c r="AO19" s="3251">
        <v>6</v>
      </c>
      <c r="AP19" s="3276"/>
      <c r="AQ19" s="3276"/>
      <c r="AR19" s="3246"/>
    </row>
    <row r="20" spans="3:44">
      <c r="C20" s="3055" t="s">
        <v>3176</v>
      </c>
      <c r="D20" s="3701" t="s">
        <v>3177</v>
      </c>
      <c r="E20" s="3702"/>
      <c r="F20" s="3703"/>
      <c r="G20" s="3066">
        <f>G9/G7</f>
        <v>2.4368756716698736</v>
      </c>
      <c r="H20" s="3055"/>
      <c r="I20" s="3055"/>
      <c r="J20" s="3120"/>
      <c r="L20" s="3746" t="s">
        <v>3402</v>
      </c>
      <c r="M20" s="3747"/>
      <c r="N20" s="3269">
        <f t="shared" si="0"/>
        <v>7953.93</v>
      </c>
      <c r="O20" s="3269">
        <f>O21+O22</f>
        <v>7953.93</v>
      </c>
      <c r="P20" s="3269">
        <v>0</v>
      </c>
      <c r="Q20" s="3273">
        <v>1134.07</v>
      </c>
      <c r="R20" s="3271">
        <f>9*2*3</f>
        <v>54</v>
      </c>
      <c r="S20" s="3271">
        <f>R20*3.2</f>
        <v>172.8</v>
      </c>
      <c r="T20" s="3287" t="s">
        <v>3160</v>
      </c>
      <c r="U20" s="3283">
        <v>32.1</v>
      </c>
      <c r="V20" s="3182"/>
      <c r="W20" s="3284">
        <v>796.13</v>
      </c>
      <c r="X20" s="3269"/>
      <c r="Y20" s="3058">
        <f t="shared" si="2"/>
        <v>0</v>
      </c>
      <c r="Z20" s="3274"/>
      <c r="AA20" s="3275"/>
      <c r="AB20" s="3275"/>
      <c r="AC20" s="3275"/>
      <c r="AD20" s="3246"/>
      <c r="AE20" s="3246"/>
      <c r="AF20" s="3246"/>
      <c r="AG20" s="3246"/>
      <c r="AH20" s="3252"/>
      <c r="AI20" s="3252"/>
      <c r="AJ20" s="3252"/>
      <c r="AK20" s="3252"/>
      <c r="AL20" s="3247"/>
      <c r="AM20" s="3247"/>
      <c r="AN20" s="3247"/>
      <c r="AO20" s="3247"/>
      <c r="AP20" s="3276"/>
      <c r="AQ20" s="3276"/>
      <c r="AR20" s="3246"/>
    </row>
    <row r="21" spans="3:44">
      <c r="C21" s="3055" t="s">
        <v>3179</v>
      </c>
      <c r="D21" s="3701" t="s">
        <v>3180</v>
      </c>
      <c r="E21" s="3702"/>
      <c r="F21" s="3703"/>
      <c r="G21" s="3093">
        <f>R29</f>
        <v>1110</v>
      </c>
      <c r="H21" s="3055" t="s">
        <v>3181</v>
      </c>
      <c r="I21" s="3055"/>
      <c r="J21" s="3120"/>
      <c r="L21" s="3749" t="s">
        <v>3149</v>
      </c>
      <c r="M21" s="3270" t="s">
        <v>3163</v>
      </c>
      <c r="N21" s="3269"/>
      <c r="O21" s="3270">
        <v>7003.63</v>
      </c>
      <c r="P21" s="3270"/>
      <c r="Q21" s="3270"/>
      <c r="R21" s="3271"/>
      <c r="S21" s="3271"/>
      <c r="T21" s="3270"/>
      <c r="U21" s="3270"/>
      <c r="V21" s="3182"/>
      <c r="W21" s="3270"/>
      <c r="Y21" s="3058">
        <f t="shared" si="2"/>
        <v>0</v>
      </c>
      <c r="Z21" s="3274"/>
      <c r="AA21" s="3275"/>
      <c r="AB21" s="3275"/>
      <c r="AC21" s="3275"/>
      <c r="AD21" s="3246"/>
      <c r="AE21" s="3246"/>
      <c r="AF21" s="3246"/>
      <c r="AG21" s="3246"/>
      <c r="AH21" s="3252"/>
      <c r="AI21" s="3252"/>
      <c r="AJ21" s="3252"/>
      <c r="AK21" s="3252"/>
      <c r="AL21" s="3247"/>
      <c r="AM21" s="3247"/>
      <c r="AN21" s="3247"/>
      <c r="AO21" s="3247"/>
      <c r="AP21" s="3276"/>
      <c r="AQ21" s="3276"/>
      <c r="AR21" s="3246"/>
    </row>
    <row r="22" spans="3:44">
      <c r="C22" s="3055" t="s">
        <v>3183</v>
      </c>
      <c r="D22" s="3701" t="s">
        <v>3184</v>
      </c>
      <c r="E22" s="3702"/>
      <c r="F22" s="3703"/>
      <c r="G22" s="3066">
        <v>3.2</v>
      </c>
      <c r="H22" s="3055" t="s">
        <v>3185</v>
      </c>
      <c r="I22" s="3055"/>
      <c r="J22" s="3120"/>
      <c r="L22" s="3750"/>
      <c r="M22" s="3270" t="s">
        <v>1343</v>
      </c>
      <c r="N22" s="3269" t="s">
        <v>3164</v>
      </c>
      <c r="O22" s="3270">
        <v>950.3</v>
      </c>
      <c r="P22" s="3270"/>
      <c r="Q22" s="3270"/>
      <c r="R22" s="3271"/>
      <c r="S22" s="3271"/>
      <c r="T22" s="3270"/>
      <c r="U22" s="3270"/>
      <c r="V22" s="3182"/>
      <c r="W22" s="3270"/>
      <c r="Y22" s="3058">
        <f t="shared" si="2"/>
        <v>0</v>
      </c>
      <c r="Z22" s="3274"/>
      <c r="AA22" s="3275"/>
      <c r="AB22" s="3275"/>
      <c r="AC22" s="3275"/>
      <c r="AD22" s="3246"/>
      <c r="AE22" s="3246"/>
      <c r="AF22" s="3246"/>
      <c r="AG22" s="3246"/>
      <c r="AH22" s="3252"/>
      <c r="AI22" s="3252"/>
      <c r="AJ22" s="3252"/>
      <c r="AK22" s="3252"/>
      <c r="AL22" s="3247"/>
      <c r="AM22" s="3247"/>
      <c r="AN22" s="3247"/>
      <c r="AO22" s="3247"/>
      <c r="AP22" s="3276"/>
      <c r="AQ22" s="3276"/>
      <c r="AR22" s="3246"/>
    </row>
    <row r="23" spans="3:44">
      <c r="C23" s="3055" t="s">
        <v>3187</v>
      </c>
      <c r="D23" s="3701" t="s">
        <v>3188</v>
      </c>
      <c r="E23" s="3702"/>
      <c r="F23" s="3703"/>
      <c r="G23" s="3091">
        <f>G21*G22</f>
        <v>3552</v>
      </c>
      <c r="H23" s="3055" t="s">
        <v>3189</v>
      </c>
      <c r="I23" s="3055"/>
      <c r="J23" s="3120"/>
      <c r="L23" s="3739" t="s">
        <v>3403</v>
      </c>
      <c r="M23" s="3740"/>
      <c r="N23" s="3269">
        <f t="shared" si="0"/>
        <v>8486.0600000000013</v>
      </c>
      <c r="O23" s="3269">
        <f>O24+O25+O26</f>
        <v>8313.4700000000012</v>
      </c>
      <c r="P23" s="3269">
        <v>172.59</v>
      </c>
      <c r="Q23" s="3283">
        <v>1162.4000000000001</v>
      </c>
      <c r="R23" s="3271">
        <v>54</v>
      </c>
      <c r="S23" s="3271">
        <f>R23*3.2</f>
        <v>172.8</v>
      </c>
      <c r="T23" s="3272" t="s">
        <v>3360</v>
      </c>
      <c r="U23" s="3283">
        <v>34.950000000000003</v>
      </c>
      <c r="V23" s="3182"/>
      <c r="W23" s="3290">
        <v>787.45</v>
      </c>
      <c r="X23" s="3269"/>
      <c r="Y23" s="3058">
        <f t="shared" si="2"/>
        <v>54</v>
      </c>
      <c r="Z23" s="3274"/>
      <c r="AA23" s="3275"/>
      <c r="AB23" s="3275"/>
      <c r="AC23" s="3275"/>
      <c r="AD23" s="3246"/>
      <c r="AE23" s="3246"/>
      <c r="AF23" s="3246"/>
      <c r="AG23" s="3246"/>
      <c r="AH23" s="3072"/>
      <c r="AI23" s="3188">
        <v>32</v>
      </c>
      <c r="AJ23" s="3188">
        <v>16</v>
      </c>
      <c r="AK23" s="3188">
        <v>6</v>
      </c>
      <c r="AL23" s="3247"/>
      <c r="AM23" s="3247"/>
      <c r="AN23" s="3247"/>
      <c r="AO23" s="3247"/>
      <c r="AP23" s="3276"/>
      <c r="AQ23" s="3276"/>
      <c r="AR23" s="3246"/>
    </row>
    <row r="24" spans="3:44">
      <c r="C24" s="3055" t="s">
        <v>3191</v>
      </c>
      <c r="D24" s="3701" t="s">
        <v>3192</v>
      </c>
      <c r="E24" s="3702"/>
      <c r="F24" s="3703"/>
      <c r="G24" s="3066">
        <f>Q29/G7*100</f>
        <v>26.49598123537621</v>
      </c>
      <c r="H24" s="3055" t="s">
        <v>3193</v>
      </c>
      <c r="I24" s="3055"/>
      <c r="J24" s="3120"/>
      <c r="L24" s="3749" t="s">
        <v>3149</v>
      </c>
      <c r="M24" s="3270" t="s">
        <v>3163</v>
      </c>
      <c r="N24" s="3269"/>
      <c r="O24" s="3270">
        <v>6301.8</v>
      </c>
      <c r="P24" s="3270"/>
      <c r="Q24" s="3270"/>
      <c r="R24" s="3271"/>
      <c r="S24" s="3271"/>
      <c r="T24" s="3270"/>
      <c r="U24" s="3270"/>
      <c r="V24" s="3182"/>
      <c r="W24" s="3270"/>
      <c r="Y24" s="3058">
        <f t="shared" si="2"/>
        <v>0</v>
      </c>
      <c r="Z24" s="3274"/>
      <c r="AA24" s="3275"/>
      <c r="AB24" s="3275"/>
      <c r="AC24" s="3275"/>
      <c r="AD24" s="3246"/>
      <c r="AE24" s="3246"/>
      <c r="AF24" s="3246"/>
      <c r="AG24" s="3246"/>
      <c r="AH24" s="3252"/>
      <c r="AI24" s="3252"/>
      <c r="AJ24" s="3252"/>
      <c r="AK24" s="3252"/>
      <c r="AL24" s="3247"/>
      <c r="AM24" s="3247"/>
      <c r="AN24" s="3247"/>
      <c r="AO24" s="3247"/>
      <c r="AP24" s="3276"/>
      <c r="AQ24" s="3276"/>
      <c r="AR24" s="3260"/>
    </row>
    <row r="25" spans="3:44">
      <c r="C25" s="3055"/>
      <c r="D25" s="3150"/>
      <c r="E25" s="3151"/>
      <c r="F25" s="3152"/>
      <c r="G25" s="3066"/>
      <c r="H25" s="3055"/>
      <c r="I25" s="3055"/>
      <c r="J25" s="3120"/>
      <c r="L25" s="3750"/>
      <c r="M25" s="3291" t="s">
        <v>3154</v>
      </c>
      <c r="N25" s="3269"/>
      <c r="O25" s="3292">
        <v>1098.01</v>
      </c>
      <c r="P25" s="3270"/>
      <c r="Q25" s="3270"/>
      <c r="R25" s="3271"/>
      <c r="S25" s="3271"/>
      <c r="T25" s="3270"/>
      <c r="U25" s="3270"/>
      <c r="V25" s="3182"/>
      <c r="W25" s="3270"/>
      <c r="Y25" s="3058"/>
      <c r="Z25" s="3293"/>
      <c r="AA25" s="3294"/>
      <c r="AB25" s="3294"/>
      <c r="AC25" s="3294"/>
      <c r="AD25" s="3295"/>
      <c r="AE25" s="3295"/>
      <c r="AF25" s="3295"/>
      <c r="AG25" s="3295"/>
      <c r="AH25" s="3296"/>
      <c r="AI25" s="3296"/>
      <c r="AJ25" s="3296"/>
      <c r="AK25" s="3296"/>
      <c r="AL25" s="3247"/>
      <c r="AM25" s="3247"/>
      <c r="AN25" s="3247"/>
      <c r="AO25" s="3247"/>
      <c r="AP25" s="3276"/>
      <c r="AQ25" s="3276"/>
      <c r="AR25" s="3260"/>
    </row>
    <row r="26" spans="3:44" ht="40.5">
      <c r="C26" s="3055" t="s">
        <v>3195</v>
      </c>
      <c r="D26" s="3701" t="s">
        <v>3196</v>
      </c>
      <c r="E26" s="3702"/>
      <c r="F26" s="3703"/>
      <c r="G26" s="3066">
        <v>30.1</v>
      </c>
      <c r="H26" s="3055" t="s">
        <v>3193</v>
      </c>
      <c r="I26" s="3055"/>
      <c r="J26" s="3120"/>
      <c r="L26" s="3750"/>
      <c r="M26" s="3291" t="s">
        <v>3157</v>
      </c>
      <c r="N26" s="3269" t="s">
        <v>3164</v>
      </c>
      <c r="O26" s="3292">
        <v>913.66</v>
      </c>
      <c r="P26" s="3270"/>
      <c r="Q26" s="3270"/>
      <c r="R26" s="3271"/>
      <c r="S26" s="3271"/>
      <c r="T26" s="3270"/>
      <c r="U26" s="3270"/>
      <c r="V26" s="3297" t="s">
        <v>3404</v>
      </c>
      <c r="W26" s="3270"/>
      <c r="Y26" s="3058">
        <f t="shared" si="2"/>
        <v>0</v>
      </c>
      <c r="Z26" s="3293"/>
      <c r="AA26" s="3294"/>
      <c r="AB26" s="3294"/>
      <c r="AC26" s="3294"/>
      <c r="AD26" s="3295"/>
      <c r="AE26" s="3295"/>
      <c r="AF26" s="3295"/>
      <c r="AG26" s="3295"/>
      <c r="AH26" s="3296"/>
      <c r="AI26" s="3296"/>
      <c r="AJ26" s="3296"/>
      <c r="AK26" s="3296"/>
      <c r="AL26" s="3247"/>
      <c r="AM26" s="3247"/>
      <c r="AN26" s="3247"/>
      <c r="AO26" s="3247"/>
      <c r="AP26" s="3276"/>
      <c r="AQ26" s="3276"/>
      <c r="AR26" s="3113"/>
    </row>
    <row r="27" spans="3:44">
      <c r="C27" s="3055" t="s">
        <v>3197</v>
      </c>
      <c r="D27" s="3711" t="s">
        <v>3198</v>
      </c>
      <c r="E27" s="3712"/>
      <c r="F27" s="3713"/>
      <c r="G27" s="3199">
        <f>G28+G29</f>
        <v>788</v>
      </c>
      <c r="H27" s="3055" t="s">
        <v>3199</v>
      </c>
      <c r="I27" s="3055"/>
      <c r="J27" s="3173">
        <f>G21*1+G15/10000*65</f>
        <v>1140.6298850000001</v>
      </c>
      <c r="L27" s="3739" t="s">
        <v>3405</v>
      </c>
      <c r="M27" s="3740"/>
      <c r="N27" s="3269">
        <f t="shared" si="0"/>
        <v>5106.91</v>
      </c>
      <c r="O27" s="3282">
        <f>O10</f>
        <v>4991.37</v>
      </c>
      <c r="P27" s="3269">
        <v>115.54</v>
      </c>
      <c r="Q27" s="3270">
        <v>462.26</v>
      </c>
      <c r="R27" s="3271">
        <f>11*2*2</f>
        <v>44</v>
      </c>
      <c r="S27" s="3271">
        <f>R27*3.2</f>
        <v>140.80000000000001</v>
      </c>
      <c r="T27" s="3272" t="s">
        <v>3360</v>
      </c>
      <c r="U27" s="3273">
        <v>34.799999999999997</v>
      </c>
      <c r="V27" s="3182"/>
      <c r="W27" s="3269">
        <v>443.34</v>
      </c>
      <c r="X27" s="3269"/>
      <c r="Y27" s="3058">
        <f t="shared" si="2"/>
        <v>44</v>
      </c>
      <c r="Z27" s="3275"/>
      <c r="AA27" s="3275"/>
      <c r="AB27" s="3275"/>
      <c r="AC27" s="3275"/>
      <c r="AD27" s="3246"/>
      <c r="AE27" s="3246"/>
      <c r="AF27" s="3246"/>
      <c r="AG27" s="3246"/>
      <c r="AH27" s="3072">
        <v>2</v>
      </c>
      <c r="AI27" s="3072">
        <v>18</v>
      </c>
      <c r="AJ27" s="3072">
        <v>20</v>
      </c>
      <c r="AK27" s="3072">
        <v>4</v>
      </c>
      <c r="AL27" s="3247"/>
      <c r="AM27" s="3247"/>
      <c r="AN27" s="3247"/>
      <c r="AO27" s="3247"/>
      <c r="AP27" s="3276"/>
      <c r="AQ27" s="3276"/>
      <c r="AR27" s="3113"/>
    </row>
    <row r="28" spans="3:44">
      <c r="C28" s="3700"/>
      <c r="D28" s="3708" t="s">
        <v>3149</v>
      </c>
      <c r="E28" s="3711" t="s">
        <v>3201</v>
      </c>
      <c r="F28" s="3703"/>
      <c r="G28" s="3199">
        <v>185</v>
      </c>
      <c r="H28" s="3055" t="s">
        <v>3199</v>
      </c>
      <c r="I28" s="3055"/>
      <c r="J28" s="3173">
        <f>J27*0.2</f>
        <v>228.12597700000003</v>
      </c>
      <c r="L28" s="3749" t="s">
        <v>3406</v>
      </c>
      <c r="M28" s="3751"/>
      <c r="N28" s="3282">
        <f t="shared" si="0"/>
        <v>11000.65</v>
      </c>
      <c r="O28" s="3282">
        <f>O9</f>
        <v>10741.02</v>
      </c>
      <c r="P28" s="3282">
        <v>259.63</v>
      </c>
      <c r="Q28" s="3273">
        <v>993.78</v>
      </c>
      <c r="R28" s="3298">
        <f>11*6+12*6</f>
        <v>138</v>
      </c>
      <c r="S28" s="3298">
        <f t="shared" ref="S28" si="3">R28*3.2</f>
        <v>441.6</v>
      </c>
      <c r="T28" s="3272" t="s">
        <v>3360</v>
      </c>
      <c r="U28" s="3273">
        <v>34.799999999999997</v>
      </c>
      <c r="V28" s="3227"/>
      <c r="W28" s="3289">
        <f>W9</f>
        <v>948.94</v>
      </c>
      <c r="X28" s="3289"/>
      <c r="Y28" s="3058">
        <f t="shared" si="2"/>
        <v>138</v>
      </c>
      <c r="Z28" s="3186">
        <v>36</v>
      </c>
      <c r="AA28" s="3186">
        <v>12</v>
      </c>
      <c r="AB28" s="3186">
        <v>12</v>
      </c>
      <c r="AC28" s="3186">
        <v>12</v>
      </c>
      <c r="AD28" s="3195">
        <v>7</v>
      </c>
      <c r="AE28" s="3195">
        <v>45</v>
      </c>
      <c r="AF28" s="3195">
        <v>8</v>
      </c>
      <c r="AG28" s="3195">
        <v>6</v>
      </c>
      <c r="AH28" s="3252"/>
      <c r="AI28" s="3252"/>
      <c r="AJ28" s="3252"/>
      <c r="AK28" s="3252"/>
      <c r="AL28" s="3247"/>
      <c r="AM28" s="3247"/>
      <c r="AN28" s="3247"/>
      <c r="AO28" s="3247"/>
      <c r="AP28" s="3276"/>
      <c r="AQ28" s="3276"/>
      <c r="AR28" s="3113"/>
    </row>
    <row r="29" spans="3:44">
      <c r="C29" s="3700"/>
      <c r="D29" s="3708"/>
      <c r="E29" s="3711" t="s">
        <v>3203</v>
      </c>
      <c r="F29" s="3703"/>
      <c r="G29" s="3199">
        <v>603</v>
      </c>
      <c r="H29" s="3055" t="s">
        <v>3199</v>
      </c>
      <c r="I29" s="3055"/>
      <c r="J29" s="3173">
        <f>J27-J28</f>
        <v>912.50390800000002</v>
      </c>
      <c r="L29" s="3752" t="s">
        <v>3209</v>
      </c>
      <c r="M29" s="3752"/>
      <c r="N29" s="3299">
        <f>SUM(N6:N28)+N30+N31</f>
        <v>111449.66999999998</v>
      </c>
      <c r="O29" s="3299">
        <f>O6+O7+O8+O9+O10+O11+O12+O16+O20+O23+O27+O28+O30</f>
        <v>105554.61</v>
      </c>
      <c r="P29" s="3299">
        <f>SUM(P6:P28)+P31</f>
        <v>5895.06</v>
      </c>
      <c r="Q29" s="3299">
        <f>SUM(Q6:Q28)+Q30</f>
        <v>11476.880000000001</v>
      </c>
      <c r="R29" s="3300">
        <f>SUM(R6:R28)</f>
        <v>1110</v>
      </c>
      <c r="S29" s="3300">
        <f t="shared" ref="S29:W29" si="4">SUM(S6:S28)</f>
        <v>2629</v>
      </c>
      <c r="T29" s="3300"/>
      <c r="U29" s="3300"/>
      <c r="V29" s="3300"/>
      <c r="W29" s="3299">
        <f t="shared" si="4"/>
        <v>9322.4600000000009</v>
      </c>
      <c r="X29" s="3044" t="s">
        <v>3209</v>
      </c>
      <c r="Y29" s="3058">
        <f t="shared" si="2"/>
        <v>1110</v>
      </c>
      <c r="Z29" s="3058">
        <f>SUM(Z6:Z28)</f>
        <v>72</v>
      </c>
      <c r="AA29" s="3058">
        <f t="shared" ref="AA29:AR29" si="5">SUM(AA6:AA28)</f>
        <v>24</v>
      </c>
      <c r="AB29" s="3058">
        <f t="shared" si="5"/>
        <v>24</v>
      </c>
      <c r="AC29" s="3058">
        <f t="shared" si="5"/>
        <v>24</v>
      </c>
      <c r="AD29" s="3058">
        <f t="shared" si="5"/>
        <v>14</v>
      </c>
      <c r="AE29" s="3058">
        <f t="shared" si="5"/>
        <v>90</v>
      </c>
      <c r="AF29" s="3058">
        <f t="shared" si="5"/>
        <v>16</v>
      </c>
      <c r="AG29" s="3058">
        <f t="shared" si="5"/>
        <v>12</v>
      </c>
      <c r="AH29" s="3058">
        <f t="shared" si="5"/>
        <v>10</v>
      </c>
      <c r="AI29" s="3058">
        <f t="shared" si="5"/>
        <v>174</v>
      </c>
      <c r="AJ29" s="3058">
        <f t="shared" si="5"/>
        <v>112</v>
      </c>
      <c r="AK29" s="3058">
        <f t="shared" si="5"/>
        <v>32</v>
      </c>
      <c r="AL29" s="3058">
        <f t="shared" si="5"/>
        <v>6</v>
      </c>
      <c r="AM29" s="3058">
        <f t="shared" si="5"/>
        <v>106</v>
      </c>
      <c r="AN29" s="3058">
        <f t="shared" si="5"/>
        <v>56</v>
      </c>
      <c r="AO29" s="3058">
        <f t="shared" si="5"/>
        <v>18</v>
      </c>
      <c r="AP29" s="3058">
        <f t="shared" si="5"/>
        <v>141</v>
      </c>
      <c r="AQ29" s="3058">
        <f t="shared" si="5"/>
        <v>179</v>
      </c>
      <c r="AR29" s="3058">
        <f t="shared" si="5"/>
        <v>0</v>
      </c>
    </row>
    <row r="30" spans="3:44">
      <c r="M30" s="3044" t="s">
        <v>3370</v>
      </c>
      <c r="N30" s="3044">
        <f>O30</f>
        <v>234.5</v>
      </c>
      <c r="O30" s="3044">
        <f>151.7+82.8</f>
        <v>234.5</v>
      </c>
      <c r="Q30" s="3044">
        <v>151.69999999999999</v>
      </c>
      <c r="Y30" s="3058" t="s">
        <v>3407</v>
      </c>
      <c r="Z30" s="3112">
        <f>Z29/Y29</f>
        <v>6.4864864864864868E-2</v>
      </c>
      <c r="AA30" s="3112">
        <f>AA29/Y29</f>
        <v>2.1621621621621623E-2</v>
      </c>
      <c r="AB30" s="3112">
        <f>AB29/Y29</f>
        <v>2.1621621621621623E-2</v>
      </c>
      <c r="AC30" s="3112">
        <f>AC29/Y29</f>
        <v>2.1621621621621623E-2</v>
      </c>
      <c r="AD30" s="3112">
        <f>AD29/Y29</f>
        <v>1.2612612612612612E-2</v>
      </c>
      <c r="AE30" s="3112">
        <f>AE29/Y29</f>
        <v>8.1081081081081086E-2</v>
      </c>
      <c r="AF30" s="3112">
        <f>AF29/Y29</f>
        <v>1.4414414414414415E-2</v>
      </c>
      <c r="AG30" s="3112">
        <f>AG29/Y29</f>
        <v>1.0810810810810811E-2</v>
      </c>
      <c r="AH30" s="3112">
        <f>AH29/Y29</f>
        <v>9.0090090090090089E-3</v>
      </c>
      <c r="AI30" s="3112">
        <f>AI29/Y29</f>
        <v>0.15675675675675677</v>
      </c>
      <c r="AJ30" s="3112">
        <f>AJ29/Y29</f>
        <v>0.1009009009009009</v>
      </c>
      <c r="AK30" s="3112">
        <f>AK29/Y29</f>
        <v>2.8828828828828829E-2</v>
      </c>
      <c r="AL30" s="3112">
        <f>AL29/Y29</f>
        <v>5.4054054054054057E-3</v>
      </c>
      <c r="AM30" s="3112">
        <f>AM29/Y29</f>
        <v>9.5495495495495492E-2</v>
      </c>
      <c r="AN30" s="3112">
        <f>AN29/Y29</f>
        <v>5.0450450450450449E-2</v>
      </c>
      <c r="AO30" s="3112">
        <f>AO29/Y29</f>
        <v>1.6216216216216217E-2</v>
      </c>
      <c r="AP30" s="3112">
        <f>AP29/Y29</f>
        <v>0.12702702702702703</v>
      </c>
      <c r="AQ30" s="3112">
        <f>AQ29/Y29</f>
        <v>0.16126126126126125</v>
      </c>
      <c r="AR30" s="3112"/>
    </row>
    <row r="31" spans="3:44">
      <c r="M31" s="3044" t="s">
        <v>3371</v>
      </c>
      <c r="N31" s="3044">
        <f>P31</f>
        <v>0</v>
      </c>
      <c r="P31" s="3044">
        <v>0</v>
      </c>
    </row>
    <row r="37" spans="3:21">
      <c r="C37" s="3606" t="s">
        <v>3211</v>
      </c>
      <c r="D37" s="3607"/>
      <c r="E37" s="3607"/>
      <c r="F37" s="3607"/>
      <c r="G37" s="3607"/>
      <c r="L37" s="3739" t="s">
        <v>3408</v>
      </c>
      <c r="M37" s="3740"/>
      <c r="N37" s="3289">
        <f>SUM(N38:N40)</f>
        <v>21022.080000000002</v>
      </c>
      <c r="O37" s="3289"/>
      <c r="P37" s="3289"/>
      <c r="Q37" s="3289"/>
      <c r="R37" s="3298"/>
      <c r="S37" s="3298"/>
      <c r="T37" s="3289"/>
      <c r="U37" s="3289"/>
    </row>
    <row r="38" spans="3:21">
      <c r="C38" s="3113"/>
      <c r="D38" s="3113"/>
      <c r="E38" s="3114" t="s">
        <v>3214</v>
      </c>
      <c r="F38" s="3059" t="s">
        <v>3215</v>
      </c>
      <c r="G38" s="3059" t="s">
        <v>3216</v>
      </c>
      <c r="L38" s="3749" t="s">
        <v>3149</v>
      </c>
      <c r="M38" s="3270" t="s">
        <v>3355</v>
      </c>
      <c r="N38" s="3270"/>
      <c r="O38" s="3270"/>
      <c r="P38" s="3289"/>
      <c r="Q38" s="3289"/>
      <c r="R38" s="3298"/>
      <c r="S38" s="3298"/>
      <c r="T38" s="3289"/>
      <c r="U38" s="3289"/>
    </row>
    <row r="39" spans="3:21">
      <c r="C39" s="3612" t="s">
        <v>3217</v>
      </c>
      <c r="D39" s="3115" t="s">
        <v>3218</v>
      </c>
      <c r="E39" s="3116"/>
      <c r="F39" s="3059"/>
      <c r="G39" s="3059"/>
      <c r="L39" s="3750"/>
      <c r="M39" s="3270" t="s">
        <v>3223</v>
      </c>
      <c r="N39" s="3289"/>
      <c r="O39" s="3289"/>
      <c r="P39" s="3289"/>
      <c r="Q39" s="3289"/>
      <c r="R39" s="3298"/>
      <c r="S39" s="3298"/>
      <c r="T39" s="3289"/>
      <c r="U39" s="3289"/>
    </row>
    <row r="40" spans="3:21">
      <c r="C40" s="3613"/>
      <c r="D40" s="3115" t="s">
        <v>3219</v>
      </c>
      <c r="E40" s="3116"/>
      <c r="F40" s="3059"/>
      <c r="G40" s="3059"/>
      <c r="L40" s="3753"/>
      <c r="M40" s="3270" t="s">
        <v>48</v>
      </c>
      <c r="N40" s="3289">
        <v>21022.080000000002</v>
      </c>
      <c r="O40" s="3289"/>
      <c r="P40" s="3289"/>
      <c r="Q40" s="3289"/>
      <c r="R40" s="3298"/>
      <c r="S40" s="3298"/>
      <c r="T40" s="3289"/>
      <c r="U40" s="3289"/>
    </row>
    <row r="41" spans="3:21">
      <c r="C41" s="3615" t="s">
        <v>3221</v>
      </c>
      <c r="D41" s="3115" t="s">
        <v>3222</v>
      </c>
      <c r="E41" s="3616">
        <f>G15</f>
        <v>4712.29</v>
      </c>
      <c r="F41" s="3059"/>
      <c r="G41" s="3059"/>
    </row>
    <row r="42" spans="3:21">
      <c r="C42" s="3615"/>
      <c r="D42" s="3115" t="s">
        <v>3224</v>
      </c>
      <c r="E42" s="3617"/>
      <c r="F42" s="3059"/>
      <c r="G42" s="3059"/>
    </row>
    <row r="43" spans="3:21">
      <c r="C43" s="3615"/>
      <c r="D43" s="3115" t="s">
        <v>3226</v>
      </c>
      <c r="E43" s="3617"/>
      <c r="F43" s="3059"/>
      <c r="G43" s="3059"/>
    </row>
    <row r="44" spans="3:21">
      <c r="C44" s="3615"/>
      <c r="D44" s="3115" t="s">
        <v>3228</v>
      </c>
      <c r="E44" s="3617"/>
      <c r="F44" s="3059"/>
      <c r="G44" s="3059"/>
    </row>
    <row r="45" spans="3:21">
      <c r="C45" s="3615"/>
      <c r="D45" s="3115" t="s">
        <v>3230</v>
      </c>
      <c r="E45" s="3618"/>
      <c r="F45" s="3059"/>
      <c r="G45" s="3059"/>
      <c r="L45" s="3624" t="s">
        <v>3409</v>
      </c>
      <c r="M45" s="3624"/>
      <c r="N45" s="3624"/>
      <c r="O45" s="3624"/>
    </row>
    <row r="46" spans="3:21">
      <c r="C46" s="3113"/>
      <c r="D46" s="3113"/>
      <c r="E46" s="3116"/>
      <c r="F46" s="3059"/>
      <c r="G46" s="3059"/>
      <c r="L46" s="3301" t="s">
        <v>3135</v>
      </c>
      <c r="M46" s="3301" t="s">
        <v>3410</v>
      </c>
      <c r="N46" s="3301" t="s">
        <v>3411</v>
      </c>
      <c r="O46" s="3301" t="s">
        <v>3101</v>
      </c>
    </row>
    <row r="47" spans="3:21">
      <c r="C47" s="3084" t="s">
        <v>3231</v>
      </c>
      <c r="D47" s="3119" t="s">
        <v>3232</v>
      </c>
      <c r="E47" s="3302">
        <v>613.48</v>
      </c>
      <c r="F47" s="3059"/>
      <c r="G47" s="3059"/>
      <c r="L47" s="3301" t="s">
        <v>3395</v>
      </c>
      <c r="M47" s="3303">
        <f>G12</f>
        <v>8063.96</v>
      </c>
      <c r="N47" s="3301">
        <v>141</v>
      </c>
      <c r="O47" s="3301" t="s">
        <v>3412</v>
      </c>
    </row>
    <row r="48" spans="3:21">
      <c r="C48" s="3115"/>
      <c r="D48" s="3120"/>
      <c r="E48" s="3120"/>
      <c r="F48" s="3059"/>
      <c r="G48" s="3059"/>
      <c r="L48" s="3301" t="s">
        <v>3397</v>
      </c>
      <c r="M48" s="3303">
        <f>G13</f>
        <v>8395.68</v>
      </c>
      <c r="N48" s="3301">
        <v>179</v>
      </c>
      <c r="O48" s="3301" t="s">
        <v>3412</v>
      </c>
    </row>
    <row r="49" spans="3:15">
      <c r="C49" s="3605" t="s">
        <v>3233</v>
      </c>
      <c r="D49" s="3119" t="s">
        <v>3234</v>
      </c>
      <c r="E49" s="3116">
        <v>466.64</v>
      </c>
      <c r="F49" s="3059"/>
      <c r="G49" s="3059"/>
      <c r="L49" s="3301" t="s">
        <v>37</v>
      </c>
      <c r="M49" s="3303">
        <f>M47+M48</f>
        <v>16459.64</v>
      </c>
      <c r="N49" s="3301">
        <f>N47+N48</f>
        <v>320</v>
      </c>
      <c r="O49" s="3301"/>
    </row>
    <row r="50" spans="3:15">
      <c r="C50" s="3605"/>
      <c r="D50" s="3115" t="s">
        <v>3235</v>
      </c>
      <c r="E50" s="3116"/>
      <c r="F50" s="3059"/>
      <c r="G50" s="3059"/>
    </row>
    <row r="51" spans="3:15">
      <c r="C51" s="3121"/>
      <c r="D51" s="3113"/>
      <c r="E51" s="3116"/>
      <c r="F51" s="3059"/>
      <c r="G51" s="3059"/>
    </row>
    <row r="52" spans="3:15">
      <c r="C52" s="3113"/>
      <c r="D52" s="3113"/>
      <c r="E52" s="3116"/>
      <c r="F52" s="3059"/>
      <c r="G52" s="3059"/>
    </row>
    <row r="53" spans="3:15">
      <c r="C53" s="3620" t="s">
        <v>3236</v>
      </c>
      <c r="D53" s="3119" t="s">
        <v>3271</v>
      </c>
      <c r="E53" s="3622"/>
      <c r="F53" s="3059"/>
      <c r="G53" s="3059"/>
    </row>
    <row r="54" spans="3:15">
      <c r="C54" s="3621"/>
      <c r="D54" s="3119" t="s">
        <v>3272</v>
      </c>
      <c r="E54" s="3618"/>
      <c r="F54" s="3059"/>
      <c r="G54" s="3059"/>
    </row>
    <row r="55" spans="3:15">
      <c r="C55" s="3113"/>
      <c r="D55" s="3113"/>
      <c r="E55" s="3116"/>
      <c r="F55" s="3059"/>
      <c r="G55" s="3059"/>
    </row>
    <row r="56" spans="3:15">
      <c r="C56" s="3620" t="s">
        <v>3273</v>
      </c>
      <c r="D56" s="3119" t="s">
        <v>3274</v>
      </c>
      <c r="E56" s="3116"/>
      <c r="F56" s="3059"/>
      <c r="G56" s="3059"/>
    </row>
    <row r="57" spans="3:15">
      <c r="C57" s="3623"/>
      <c r="D57" s="3119" t="s">
        <v>3275</v>
      </c>
      <c r="E57" s="3116"/>
      <c r="F57" s="3059"/>
      <c r="G57" s="3059"/>
    </row>
    <row r="58" spans="3:15">
      <c r="C58" s="3623"/>
      <c r="D58" s="3119" t="s">
        <v>3276</v>
      </c>
      <c r="E58" s="3116"/>
      <c r="F58" s="3059"/>
      <c r="G58" s="3059"/>
    </row>
    <row r="59" spans="3:15">
      <c r="C59" s="3623"/>
      <c r="D59" s="3119" t="s">
        <v>3277</v>
      </c>
      <c r="E59" s="3116">
        <v>382.72</v>
      </c>
      <c r="F59" s="3059"/>
      <c r="G59" s="3059"/>
    </row>
    <row r="60" spans="3:15">
      <c r="C60" s="3621"/>
      <c r="D60" s="3115" t="s">
        <v>3278</v>
      </c>
      <c r="E60" s="3116"/>
      <c r="F60" s="3059"/>
      <c r="G60" s="3059"/>
    </row>
    <row r="61" spans="3:15">
      <c r="C61" s="3615" t="s">
        <v>3279</v>
      </c>
      <c r="D61" s="3115" t="s">
        <v>3280</v>
      </c>
      <c r="E61" s="3116"/>
      <c r="F61" s="3059"/>
      <c r="G61" s="3059"/>
    </row>
    <row r="62" spans="3:15">
      <c r="C62" s="3615"/>
      <c r="D62" s="3119" t="s">
        <v>3281</v>
      </c>
      <c r="E62" s="3116"/>
      <c r="F62" s="3059"/>
      <c r="G62" s="3059"/>
    </row>
    <row r="63" spans="3:15">
      <c r="C63" s="3615"/>
      <c r="D63" s="3119" t="s">
        <v>3282</v>
      </c>
      <c r="E63" s="3116">
        <v>61.27</v>
      </c>
      <c r="F63" s="3059"/>
      <c r="G63" s="3059"/>
    </row>
    <row r="64" spans="3:15">
      <c r="C64" s="3615"/>
      <c r="D64" s="3115" t="s">
        <v>3283</v>
      </c>
      <c r="E64" s="3116"/>
      <c r="F64" s="3059"/>
      <c r="G64" s="3059"/>
    </row>
    <row r="65" spans="3:7">
      <c r="C65" s="3615"/>
      <c r="D65" s="3115" t="s">
        <v>3284</v>
      </c>
      <c r="E65" s="3116"/>
      <c r="F65" s="3059"/>
      <c r="G65" s="3059"/>
    </row>
    <row r="66" spans="3:7">
      <c r="C66" s="3615"/>
      <c r="D66" s="3115"/>
      <c r="E66" s="3116"/>
      <c r="F66" s="3059"/>
      <c r="G66" s="3059"/>
    </row>
    <row r="67" spans="3:7">
      <c r="C67" s="3615"/>
      <c r="D67" s="3115" t="s">
        <v>3285</v>
      </c>
      <c r="E67" s="3116">
        <v>20.14</v>
      </c>
      <c r="F67" s="3059"/>
      <c r="G67" s="3059"/>
    </row>
    <row r="68" spans="3:7">
      <c r="C68" s="3615"/>
      <c r="D68" s="3115" t="s">
        <v>3286</v>
      </c>
      <c r="E68" s="3116"/>
      <c r="F68" s="3059"/>
      <c r="G68" s="3059"/>
    </row>
    <row r="69" spans="3:7">
      <c r="C69" s="3615"/>
      <c r="D69" s="3115" t="s">
        <v>3287</v>
      </c>
      <c r="E69" s="3116"/>
      <c r="F69" s="3059"/>
      <c r="G69" s="3059"/>
    </row>
    <row r="70" spans="3:7">
      <c r="C70" s="3615"/>
      <c r="D70" s="3115" t="s">
        <v>3288</v>
      </c>
      <c r="E70" s="3116"/>
      <c r="F70" s="3059"/>
      <c r="G70" s="3059"/>
    </row>
    <row r="71" spans="3:7">
      <c r="C71" s="3615"/>
      <c r="D71" s="3115" t="s">
        <v>3289</v>
      </c>
      <c r="E71" s="3116"/>
      <c r="F71" s="3059"/>
      <c r="G71" s="3059"/>
    </row>
    <row r="72" spans="3:7">
      <c r="C72" s="3058" t="s">
        <v>3209</v>
      </c>
      <c r="D72" s="3058"/>
      <c r="E72" s="3058">
        <f>SUM(E39:E71)</f>
        <v>6256.5400000000018</v>
      </c>
      <c r="F72" s="3058"/>
      <c r="G72" s="3059"/>
    </row>
    <row r="73" spans="3:7">
      <c r="C73" s="3120"/>
      <c r="D73" s="3120"/>
      <c r="E73" s="3120"/>
    </row>
    <row r="74" spans="3:7">
      <c r="C74" s="3122" t="s">
        <v>3290</v>
      </c>
      <c r="D74" s="3123" t="s">
        <v>3291</v>
      </c>
      <c r="E74" s="3120"/>
    </row>
  </sheetData>
  <mergeCells count="58">
    <mergeCell ref="C49:C50"/>
    <mergeCell ref="C53:C54"/>
    <mergeCell ref="E53:E54"/>
    <mergeCell ref="C56:C60"/>
    <mergeCell ref="C61:C71"/>
    <mergeCell ref="C37:G37"/>
    <mergeCell ref="L37:M37"/>
    <mergeCell ref="L38:L40"/>
    <mergeCell ref="C39:C40"/>
    <mergeCell ref="C41:C45"/>
    <mergeCell ref="E41:E45"/>
    <mergeCell ref="L45:O45"/>
    <mergeCell ref="D27:F27"/>
    <mergeCell ref="L27:M27"/>
    <mergeCell ref="C28:C29"/>
    <mergeCell ref="D28:D29"/>
    <mergeCell ref="E28:F28"/>
    <mergeCell ref="L28:M28"/>
    <mergeCell ref="E29:F29"/>
    <mergeCell ref="L29:M29"/>
    <mergeCell ref="D24:F24"/>
    <mergeCell ref="L24:L26"/>
    <mergeCell ref="D26:F26"/>
    <mergeCell ref="D17:F17"/>
    <mergeCell ref="L17:L19"/>
    <mergeCell ref="D18:D19"/>
    <mergeCell ref="E18:F18"/>
    <mergeCell ref="E19:F19"/>
    <mergeCell ref="D20:F20"/>
    <mergeCell ref="L20:M20"/>
    <mergeCell ref="D21:F21"/>
    <mergeCell ref="L21:L22"/>
    <mergeCell ref="D22:F22"/>
    <mergeCell ref="D23:F23"/>
    <mergeCell ref="L23:M23"/>
    <mergeCell ref="D8:F8"/>
    <mergeCell ref="L8:M8"/>
    <mergeCell ref="C9:C19"/>
    <mergeCell ref="D9:F9"/>
    <mergeCell ref="L9:M9"/>
    <mergeCell ref="D10:D16"/>
    <mergeCell ref="E10:F10"/>
    <mergeCell ref="L10:M10"/>
    <mergeCell ref="E11:E13"/>
    <mergeCell ref="L11:M11"/>
    <mergeCell ref="L12:M12"/>
    <mergeCell ref="L13:L15"/>
    <mergeCell ref="E14:F14"/>
    <mergeCell ref="E15:F15"/>
    <mergeCell ref="E16:F16"/>
    <mergeCell ref="L16:M16"/>
    <mergeCell ref="D7:F7"/>
    <mergeCell ref="L7:M7"/>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R71"/>
  <sheetViews>
    <sheetView zoomScale="115" zoomScaleNormal="115" workbookViewId="0">
      <selection activeCell="Q18" sqref="Q18"/>
    </sheetView>
  </sheetViews>
  <sheetFormatPr defaultRowHeight="13.5"/>
  <cols>
    <col min="1" max="6" width="9" style="3044"/>
    <col min="7" max="7" width="16.375" style="3044" customWidth="1"/>
    <col min="8" max="12" width="9" style="3044"/>
    <col min="13" max="13" width="14.125" style="3044" customWidth="1"/>
    <col min="14" max="14" width="11.5" style="3044" customWidth="1"/>
    <col min="15" max="15" width="11.75" style="3044" customWidth="1"/>
    <col min="16" max="16" width="12.875" style="3044" customWidth="1"/>
    <col min="17" max="17" width="9.5" style="3044" bestFit="1" customWidth="1"/>
    <col min="18" max="22" width="9" style="3044"/>
    <col min="23" max="23" width="9.5" style="3044" bestFit="1" customWidth="1"/>
    <col min="24" max="16384" width="9" style="3044"/>
  </cols>
  <sheetData>
    <row r="4" spans="3:44" ht="14.25" thickBot="1">
      <c r="K4" s="3719" t="s">
        <v>3292</v>
      </c>
      <c r="L4" s="3720"/>
      <c r="M4" s="3720"/>
      <c r="N4" s="3720"/>
      <c r="O4" s="3720"/>
      <c r="P4" s="3720"/>
      <c r="Q4" s="3720"/>
      <c r="R4" s="3720"/>
      <c r="S4" s="3720"/>
      <c r="T4" s="3720"/>
      <c r="U4" s="3720"/>
      <c r="V4" s="3721"/>
      <c r="W4" s="3120"/>
      <c r="Y4" s="3044" t="s">
        <v>3064</v>
      </c>
    </row>
    <row r="5" spans="3:44" ht="81">
      <c r="C5" s="3756" t="s">
        <v>3374</v>
      </c>
      <c r="D5" s="3757"/>
      <c r="E5" s="3757"/>
      <c r="F5" s="3757"/>
      <c r="G5" s="3757"/>
      <c r="H5" s="3757"/>
      <c r="I5" s="3758"/>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239" t="s">
        <v>3294</v>
      </c>
      <c r="AA5" s="3239" t="s">
        <v>3295</v>
      </c>
      <c r="AB5" s="3239" t="s">
        <v>3296</v>
      </c>
      <c r="AC5" s="3239" t="s">
        <v>3297</v>
      </c>
      <c r="AD5" s="3052" t="s">
        <v>3117</v>
      </c>
      <c r="AE5" s="3052" t="s">
        <v>3118</v>
      </c>
      <c r="AF5" s="3052" t="s">
        <v>3119</v>
      </c>
      <c r="AG5" s="3052" t="s">
        <v>3120</v>
      </c>
      <c r="AH5" s="3053" t="s">
        <v>3121</v>
      </c>
      <c r="AI5" s="3053" t="s">
        <v>3122</v>
      </c>
      <c r="AJ5" s="3053" t="s">
        <v>3123</v>
      </c>
      <c r="AK5" s="3053" t="s">
        <v>3124</v>
      </c>
      <c r="AL5" s="3240" t="s">
        <v>3260</v>
      </c>
      <c r="AM5" s="3240" t="s">
        <v>3261</v>
      </c>
      <c r="AN5" s="3240" t="s">
        <v>3262</v>
      </c>
      <c r="AO5" s="3240" t="s">
        <v>3263</v>
      </c>
      <c r="AP5" s="3054" t="s">
        <v>3264</v>
      </c>
      <c r="AQ5" s="3054" t="s">
        <v>3265</v>
      </c>
      <c r="AR5" s="3054" t="s">
        <v>3266</v>
      </c>
    </row>
    <row r="6" spans="3:44">
      <c r="C6" s="3055" t="s">
        <v>3134</v>
      </c>
      <c r="D6" s="3700" t="s">
        <v>3135</v>
      </c>
      <c r="E6" s="3700"/>
      <c r="F6" s="3700"/>
      <c r="G6" s="3055" t="s">
        <v>3136</v>
      </c>
      <c r="H6" s="3055" t="s">
        <v>3137</v>
      </c>
      <c r="I6" s="3055" t="s">
        <v>3110</v>
      </c>
      <c r="J6" s="3120"/>
      <c r="L6" s="3754" t="s">
        <v>3375</v>
      </c>
      <c r="M6" s="3755"/>
      <c r="N6" s="3241">
        <f t="shared" ref="N6:N17" si="0">O6+P6</f>
        <v>5363.5</v>
      </c>
      <c r="O6" s="3242">
        <v>4991.37</v>
      </c>
      <c r="P6" s="3241">
        <v>372.13</v>
      </c>
      <c r="Q6" s="3154">
        <v>462.26</v>
      </c>
      <c r="R6" s="3243">
        <f>11*2*2</f>
        <v>44</v>
      </c>
      <c r="S6" s="3243">
        <f t="shared" ref="S6:S17" si="1">R6*3.2</f>
        <v>140.80000000000001</v>
      </c>
      <c r="T6" s="3244" t="s">
        <v>3360</v>
      </c>
      <c r="U6" s="3245">
        <v>34.799999999999997</v>
      </c>
      <c r="V6" s="3182"/>
      <c r="W6" s="3241">
        <v>443.34</v>
      </c>
      <c r="Y6" s="3058">
        <f>SUM(Z6:AR6)</f>
        <v>44</v>
      </c>
      <c r="Z6" s="3246"/>
      <c r="AA6" s="3246"/>
      <c r="AB6" s="3246"/>
      <c r="AC6" s="3246"/>
      <c r="AD6" s="3246"/>
      <c r="AE6" s="3246"/>
      <c r="AF6" s="3246"/>
      <c r="AG6" s="3246"/>
      <c r="AH6" s="3072">
        <v>2</v>
      </c>
      <c r="AI6" s="3072">
        <v>18</v>
      </c>
      <c r="AJ6" s="3072">
        <v>20</v>
      </c>
      <c r="AK6" s="3072">
        <v>4</v>
      </c>
      <c r="AL6" s="3247"/>
      <c r="AM6" s="3247"/>
      <c r="AN6" s="3247"/>
      <c r="AO6" s="3247"/>
      <c r="AP6" s="3071"/>
      <c r="AQ6" s="3071"/>
      <c r="AR6" s="3071"/>
    </row>
    <row r="7" spans="3:44">
      <c r="C7" s="3055" t="s">
        <v>3140</v>
      </c>
      <c r="D7" s="3701" t="s">
        <v>3141</v>
      </c>
      <c r="E7" s="3702"/>
      <c r="F7" s="3703"/>
      <c r="G7" s="3066">
        <v>47590.04</v>
      </c>
      <c r="H7" s="3055" t="s">
        <v>3142</v>
      </c>
      <c r="I7" s="3055"/>
      <c r="J7" s="3120"/>
      <c r="L7" s="3754" t="s">
        <v>3376</v>
      </c>
      <c r="M7" s="3755"/>
      <c r="N7" s="3241">
        <f t="shared" si="0"/>
        <v>7867.63</v>
      </c>
      <c r="O7" s="3241">
        <v>7320.2</v>
      </c>
      <c r="P7" s="3241">
        <v>547.42999999999995</v>
      </c>
      <c r="Q7" s="3154">
        <v>681.43</v>
      </c>
      <c r="R7" s="3243">
        <f>11*2*3</f>
        <v>66</v>
      </c>
      <c r="S7" s="3243">
        <f t="shared" si="1"/>
        <v>211.20000000000002</v>
      </c>
      <c r="T7" s="3244" t="s">
        <v>3360</v>
      </c>
      <c r="U7" s="3245">
        <v>34.799999999999997</v>
      </c>
      <c r="V7" s="3182"/>
      <c r="W7" s="3154">
        <v>652.79</v>
      </c>
      <c r="Y7" s="3058">
        <f t="shared" ref="Y7:Y18" si="2">SUM(Z7:AR7)</f>
        <v>66</v>
      </c>
      <c r="Z7" s="3071"/>
      <c r="AA7" s="3071"/>
      <c r="AB7" s="3071"/>
      <c r="AC7" s="3071"/>
      <c r="AD7" s="3248"/>
      <c r="AE7" s="3248"/>
      <c r="AF7" s="3248"/>
      <c r="AG7" s="3248"/>
      <c r="AH7" s="3072">
        <v>3</v>
      </c>
      <c r="AI7" s="3072">
        <v>37</v>
      </c>
      <c r="AJ7" s="3072">
        <v>20</v>
      </c>
      <c r="AK7" s="3072">
        <v>6</v>
      </c>
      <c r="AL7" s="3247"/>
      <c r="AM7" s="3247"/>
      <c r="AN7" s="3247"/>
      <c r="AO7" s="3247"/>
      <c r="AP7" s="3071"/>
      <c r="AQ7" s="3071"/>
      <c r="AR7" s="3071"/>
    </row>
    <row r="8" spans="3:44">
      <c r="C8" s="3055" t="s">
        <v>3145</v>
      </c>
      <c r="D8" s="3700" t="s">
        <v>3146</v>
      </c>
      <c r="E8" s="3700"/>
      <c r="F8" s="3700"/>
      <c r="G8" s="3066">
        <f>G9+G17</f>
        <v>146190.57</v>
      </c>
      <c r="H8" s="3055" t="s">
        <v>3142</v>
      </c>
      <c r="I8" s="3055"/>
      <c r="J8" s="3120"/>
      <c r="L8" s="3754" t="s">
        <v>3377</v>
      </c>
      <c r="M8" s="3755"/>
      <c r="N8" s="3241">
        <f t="shared" si="0"/>
        <v>11704.19</v>
      </c>
      <c r="O8" s="3241">
        <v>10741.02</v>
      </c>
      <c r="P8" s="3249">
        <v>963.17</v>
      </c>
      <c r="Q8" s="3245">
        <v>993.78</v>
      </c>
      <c r="R8" s="3243">
        <f>11*6+12*6</f>
        <v>138</v>
      </c>
      <c r="S8" s="3243">
        <f t="shared" si="1"/>
        <v>441.6</v>
      </c>
      <c r="T8" s="3244" t="s">
        <v>3360</v>
      </c>
      <c r="U8" s="3245">
        <v>34.799999999999997</v>
      </c>
      <c r="V8" s="3182"/>
      <c r="W8" s="3154">
        <v>948.94</v>
      </c>
      <c r="Y8" s="3058">
        <f t="shared" si="2"/>
        <v>138</v>
      </c>
      <c r="Z8" s="3186">
        <v>36</v>
      </c>
      <c r="AA8" s="3186">
        <v>12</v>
      </c>
      <c r="AB8" s="3186">
        <v>12</v>
      </c>
      <c r="AC8" s="3186">
        <v>12</v>
      </c>
      <c r="AD8" s="3195">
        <v>7</v>
      </c>
      <c r="AE8" s="3195">
        <v>45</v>
      </c>
      <c r="AF8" s="3195">
        <v>8</v>
      </c>
      <c r="AG8" s="3195">
        <v>6</v>
      </c>
      <c r="AH8" s="3187"/>
      <c r="AI8" s="3187"/>
      <c r="AJ8" s="3187"/>
      <c r="AK8" s="3187"/>
      <c r="AL8" s="3247"/>
      <c r="AM8" s="3247"/>
      <c r="AN8" s="3247"/>
      <c r="AO8" s="3247"/>
      <c r="AP8" s="3071"/>
      <c r="AQ8" s="3071"/>
      <c r="AR8" s="3071"/>
    </row>
    <row r="9" spans="3:44">
      <c r="C9" s="3704" t="s">
        <v>3149</v>
      </c>
      <c r="D9" s="3700" t="s">
        <v>3150</v>
      </c>
      <c r="E9" s="3700"/>
      <c r="F9" s="3700"/>
      <c r="G9" s="3066">
        <f>G10+G13+G14+G15+G16</f>
        <v>99494.9</v>
      </c>
      <c r="H9" s="3055" t="s">
        <v>3142</v>
      </c>
      <c r="I9" s="3055"/>
      <c r="J9" s="3120"/>
      <c r="L9" s="3754" t="s">
        <v>3378</v>
      </c>
      <c r="M9" s="3755"/>
      <c r="N9" s="3241">
        <f t="shared" si="0"/>
        <v>7867.63</v>
      </c>
      <c r="O9" s="3250">
        <f>O7</f>
        <v>7320.2</v>
      </c>
      <c r="P9" s="3241">
        <v>547.42999999999995</v>
      </c>
      <c r="Q9" s="3154">
        <v>681.43</v>
      </c>
      <c r="R9" s="3243">
        <f>11*2*3</f>
        <v>66</v>
      </c>
      <c r="S9" s="3243">
        <f t="shared" si="1"/>
        <v>211.20000000000002</v>
      </c>
      <c r="T9" s="3244" t="s">
        <v>3360</v>
      </c>
      <c r="U9" s="3245">
        <v>34.799999999999997</v>
      </c>
      <c r="V9" s="3182"/>
      <c r="W9" s="3154">
        <v>652.79</v>
      </c>
      <c r="Y9" s="3058">
        <f t="shared" si="2"/>
        <v>66</v>
      </c>
      <c r="Z9" s="3071"/>
      <c r="AA9" s="3071"/>
      <c r="AB9" s="3071"/>
      <c r="AC9" s="3071"/>
      <c r="AD9" s="3246"/>
      <c r="AE9" s="3246"/>
      <c r="AF9" s="3246"/>
      <c r="AG9" s="3246"/>
      <c r="AH9" s="3072">
        <v>3</v>
      </c>
      <c r="AI9" s="3072">
        <v>37</v>
      </c>
      <c r="AJ9" s="3072">
        <v>20</v>
      </c>
      <c r="AK9" s="3072">
        <v>6</v>
      </c>
      <c r="AL9" s="3247"/>
      <c r="AM9" s="3247"/>
      <c r="AN9" s="3247"/>
      <c r="AO9" s="3247"/>
      <c r="AP9" s="3071"/>
      <c r="AQ9" s="3071"/>
      <c r="AR9" s="3071"/>
    </row>
    <row r="10" spans="3:44">
      <c r="C10" s="3705"/>
      <c r="D10" s="3700" t="s">
        <v>3149</v>
      </c>
      <c r="E10" s="3707" t="s">
        <v>3153</v>
      </c>
      <c r="F10" s="3707"/>
      <c r="G10" s="3066">
        <f>G11+G12</f>
        <v>99165.189999999988</v>
      </c>
      <c r="H10" s="3055" t="s">
        <v>3142</v>
      </c>
      <c r="I10" s="3055"/>
      <c r="J10" s="3120"/>
      <c r="L10" s="3754" t="s">
        <v>3379</v>
      </c>
      <c r="M10" s="3755"/>
      <c r="N10" s="3241">
        <f t="shared" si="0"/>
        <v>9072.0499999999993</v>
      </c>
      <c r="O10" s="3241">
        <v>8449.92</v>
      </c>
      <c r="P10" s="3249">
        <v>622.13</v>
      </c>
      <c r="Q10" s="3245">
        <v>781.26</v>
      </c>
      <c r="R10" s="3243">
        <f>11*2*3</f>
        <v>66</v>
      </c>
      <c r="S10" s="3243">
        <f t="shared" si="1"/>
        <v>211.20000000000002</v>
      </c>
      <c r="T10" s="3244" t="s">
        <v>3360</v>
      </c>
      <c r="U10" s="3245">
        <v>34.799999999999997</v>
      </c>
      <c r="V10" s="3182"/>
      <c r="W10" s="3154">
        <v>750.08</v>
      </c>
      <c r="Y10" s="3058">
        <f t="shared" si="2"/>
        <v>66</v>
      </c>
      <c r="Z10" s="3071"/>
      <c r="AA10" s="3071"/>
      <c r="AB10" s="3071"/>
      <c r="AC10" s="3071"/>
      <c r="AD10" s="3248"/>
      <c r="AE10" s="3248"/>
      <c r="AF10" s="3248"/>
      <c r="AG10" s="3248"/>
      <c r="AH10" s="3072">
        <v>3</v>
      </c>
      <c r="AI10" s="3072">
        <v>37</v>
      </c>
      <c r="AJ10" s="3072">
        <v>20</v>
      </c>
      <c r="AK10" s="3072">
        <v>6</v>
      </c>
      <c r="AL10" s="3247"/>
      <c r="AM10" s="3247"/>
      <c r="AN10" s="3247"/>
      <c r="AO10" s="3247"/>
      <c r="AP10" s="3071"/>
      <c r="AQ10" s="3071"/>
      <c r="AR10" s="3071"/>
    </row>
    <row r="11" spans="3:44">
      <c r="C11" s="3705"/>
      <c r="D11" s="3700"/>
      <c r="E11" s="3727" t="s">
        <v>3149</v>
      </c>
      <c r="F11" s="3078" t="s">
        <v>3300</v>
      </c>
      <c r="G11" s="3079">
        <f>SUM(O6:O17)</f>
        <v>99165.189999999988</v>
      </c>
      <c r="H11" s="3055" t="s">
        <v>3142</v>
      </c>
      <c r="I11" s="3055"/>
      <c r="J11" s="3120"/>
      <c r="L11" s="3754" t="s">
        <v>3380</v>
      </c>
      <c r="M11" s="3755"/>
      <c r="N11" s="3241">
        <f t="shared" si="0"/>
        <v>9080.91</v>
      </c>
      <c r="O11" s="3241">
        <f>O10</f>
        <v>8449.92</v>
      </c>
      <c r="P11" s="3241">
        <v>630.99</v>
      </c>
      <c r="Q11" s="3245">
        <v>781.26</v>
      </c>
      <c r="R11" s="3243">
        <f>11*2*3</f>
        <v>66</v>
      </c>
      <c r="S11" s="3243">
        <f t="shared" si="1"/>
        <v>211.20000000000002</v>
      </c>
      <c r="T11" s="3244" t="s">
        <v>3360</v>
      </c>
      <c r="U11" s="3245">
        <v>34.799999999999997</v>
      </c>
      <c r="V11" s="3182"/>
      <c r="W11" s="3154">
        <f>W10</f>
        <v>750.08</v>
      </c>
      <c r="Y11" s="3058">
        <f t="shared" si="2"/>
        <v>66</v>
      </c>
      <c r="Z11" s="3071"/>
      <c r="AA11" s="3071"/>
      <c r="AB11" s="3071"/>
      <c r="AC11" s="3071"/>
      <c r="AD11" s="3071"/>
      <c r="AE11" s="3071"/>
      <c r="AF11" s="3071"/>
      <c r="AG11" s="3071"/>
      <c r="AH11" s="3248"/>
      <c r="AI11" s="3248"/>
      <c r="AJ11" s="3248"/>
      <c r="AK11" s="3248"/>
      <c r="AL11" s="3251">
        <v>3</v>
      </c>
      <c r="AM11" s="3251">
        <v>37</v>
      </c>
      <c r="AN11" s="3251">
        <v>20</v>
      </c>
      <c r="AO11" s="3251">
        <v>6</v>
      </c>
      <c r="AP11" s="3071"/>
      <c r="AQ11" s="3071"/>
      <c r="AR11" s="3071"/>
    </row>
    <row r="12" spans="3:44">
      <c r="C12" s="3705"/>
      <c r="D12" s="3700"/>
      <c r="E12" s="3706"/>
      <c r="F12" s="3078"/>
      <c r="G12" s="3079"/>
      <c r="H12" s="3055"/>
      <c r="I12" s="3055"/>
      <c r="J12" s="3120"/>
      <c r="L12" s="3754" t="s">
        <v>3381</v>
      </c>
      <c r="M12" s="3755"/>
      <c r="N12" s="3241">
        <f t="shared" si="0"/>
        <v>7867.63</v>
      </c>
      <c r="O12" s="3250">
        <f>O9</f>
        <v>7320.2</v>
      </c>
      <c r="P12" s="3241">
        <v>547.42999999999995</v>
      </c>
      <c r="Q12" s="3154">
        <v>681.43</v>
      </c>
      <c r="R12" s="3243">
        <f>11*2*3</f>
        <v>66</v>
      </c>
      <c r="S12" s="3243">
        <f t="shared" si="1"/>
        <v>211.20000000000002</v>
      </c>
      <c r="T12" s="3244" t="s">
        <v>3360</v>
      </c>
      <c r="U12" s="3245">
        <v>34.799999999999997</v>
      </c>
      <c r="V12" s="3182"/>
      <c r="W12" s="3154">
        <v>652.79</v>
      </c>
      <c r="Y12" s="3058">
        <f t="shared" si="2"/>
        <v>66</v>
      </c>
      <c r="Z12" s="3071"/>
      <c r="AA12" s="3071"/>
      <c r="AB12" s="3071"/>
      <c r="AC12" s="3071"/>
      <c r="AD12" s="3248"/>
      <c r="AE12" s="3248"/>
      <c r="AF12" s="3248"/>
      <c r="AG12" s="3248"/>
      <c r="AH12" s="3187"/>
      <c r="AI12" s="3187"/>
      <c r="AJ12" s="3187"/>
      <c r="AK12" s="3187"/>
      <c r="AL12" s="3251">
        <v>3</v>
      </c>
      <c r="AM12" s="3251">
        <v>37</v>
      </c>
      <c r="AN12" s="3251">
        <v>20</v>
      </c>
      <c r="AO12" s="3251">
        <v>6</v>
      </c>
      <c r="AP12" s="3071"/>
      <c r="AQ12" s="3071"/>
      <c r="AR12" s="3071"/>
    </row>
    <row r="13" spans="3:44">
      <c r="C13" s="3705"/>
      <c r="D13" s="3700"/>
      <c r="E13" s="3700"/>
      <c r="F13" s="3700"/>
      <c r="G13" s="3066"/>
      <c r="H13" s="3055"/>
      <c r="I13" s="3055"/>
      <c r="J13" s="3120"/>
      <c r="L13" s="3754" t="s">
        <v>3382</v>
      </c>
      <c r="M13" s="3755"/>
      <c r="N13" s="3241">
        <f t="shared" si="0"/>
        <v>11704.19</v>
      </c>
      <c r="O13" s="3241">
        <f>O8</f>
        <v>10741.02</v>
      </c>
      <c r="P13" s="3249">
        <f>P8</f>
        <v>963.17</v>
      </c>
      <c r="Q13" s="3245">
        <v>993.78</v>
      </c>
      <c r="R13" s="3243">
        <f>11*6+12*6</f>
        <v>138</v>
      </c>
      <c r="S13" s="3243">
        <f t="shared" si="1"/>
        <v>441.6</v>
      </c>
      <c r="T13" s="3244" t="s">
        <v>3360</v>
      </c>
      <c r="U13" s="3245">
        <v>34.799999999999997</v>
      </c>
      <c r="V13" s="3182"/>
      <c r="W13" s="3154">
        <v>948.94</v>
      </c>
      <c r="Y13" s="3058">
        <f t="shared" si="2"/>
        <v>138</v>
      </c>
      <c r="Z13" s="3092">
        <v>36</v>
      </c>
      <c r="AA13" s="3092">
        <v>12</v>
      </c>
      <c r="AB13" s="3092">
        <v>12</v>
      </c>
      <c r="AC13" s="3092">
        <v>12</v>
      </c>
      <c r="AD13" s="3084">
        <v>7</v>
      </c>
      <c r="AE13" s="3084">
        <v>45</v>
      </c>
      <c r="AF13" s="3084">
        <v>8</v>
      </c>
      <c r="AG13" s="3084">
        <v>6</v>
      </c>
      <c r="AH13" s="3252"/>
      <c r="AI13" s="3252"/>
      <c r="AJ13" s="3252"/>
      <c r="AK13" s="3252"/>
      <c r="AL13" s="3247"/>
      <c r="AM13" s="3247"/>
      <c r="AN13" s="3247"/>
      <c r="AO13" s="3247"/>
      <c r="AP13" s="3071"/>
      <c r="AQ13" s="3071"/>
      <c r="AR13" s="3071"/>
    </row>
    <row r="14" spans="3:44">
      <c r="C14" s="3705"/>
      <c r="D14" s="3700"/>
      <c r="E14" s="3701" t="s">
        <v>3367</v>
      </c>
      <c r="F14" s="3703"/>
      <c r="G14" s="3066">
        <f>O20</f>
        <v>329.71000000000004</v>
      </c>
      <c r="H14" s="3055"/>
      <c r="I14" s="3055"/>
      <c r="J14" s="3253">
        <f>O8-O16</f>
        <v>3420.8200000000006</v>
      </c>
      <c r="L14" s="3754" t="s">
        <v>3383</v>
      </c>
      <c r="M14" s="3755"/>
      <c r="N14" s="3241">
        <f t="shared" si="0"/>
        <v>7867.63</v>
      </c>
      <c r="O14" s="3250">
        <f>O9</f>
        <v>7320.2</v>
      </c>
      <c r="P14" s="3241">
        <v>547.42999999999995</v>
      </c>
      <c r="Q14" s="3154">
        <v>681.43</v>
      </c>
      <c r="R14" s="3243">
        <f>11*2*3</f>
        <v>66</v>
      </c>
      <c r="S14" s="3243">
        <f t="shared" si="1"/>
        <v>211.20000000000002</v>
      </c>
      <c r="T14" s="3244" t="s">
        <v>3360</v>
      </c>
      <c r="U14" s="3245">
        <v>34.799999999999997</v>
      </c>
      <c r="V14" s="3182"/>
      <c r="W14" s="3154">
        <v>652.79</v>
      </c>
      <c r="Y14" s="3058">
        <f t="shared" si="2"/>
        <v>66</v>
      </c>
      <c r="Z14" s="3246"/>
      <c r="AA14" s="3246"/>
      <c r="AB14" s="3246"/>
      <c r="AC14" s="3246"/>
      <c r="AD14" s="3246"/>
      <c r="AE14" s="3246"/>
      <c r="AF14" s="3246"/>
      <c r="AG14" s="3246"/>
      <c r="AH14" s="3072">
        <v>3</v>
      </c>
      <c r="AI14" s="3072">
        <v>37</v>
      </c>
      <c r="AJ14" s="3072">
        <v>20</v>
      </c>
      <c r="AK14" s="3072">
        <v>6</v>
      </c>
      <c r="AL14" s="3247"/>
      <c r="AM14" s="3247"/>
      <c r="AN14" s="3247"/>
      <c r="AO14" s="3247"/>
      <c r="AP14" s="3071"/>
      <c r="AQ14" s="3071"/>
      <c r="AR14" s="3071"/>
    </row>
    <row r="15" spans="3:44">
      <c r="C15" s="3705"/>
      <c r="D15" s="3700"/>
      <c r="E15" s="3709" t="s">
        <v>3165</v>
      </c>
      <c r="F15" s="3710"/>
      <c r="G15" s="3066">
        <v>0</v>
      </c>
      <c r="H15" s="3055" t="s">
        <v>3142</v>
      </c>
      <c r="I15" s="3055"/>
      <c r="J15" s="3120"/>
      <c r="L15" s="3754" t="s">
        <v>3384</v>
      </c>
      <c r="M15" s="3755"/>
      <c r="N15" s="3241">
        <f t="shared" si="0"/>
        <v>9072.02</v>
      </c>
      <c r="O15" s="3241">
        <f>O11</f>
        <v>8449.92</v>
      </c>
      <c r="P15" s="3249">
        <v>622.1</v>
      </c>
      <c r="Q15" s="3254">
        <v>781.26</v>
      </c>
      <c r="R15" s="3243">
        <f>11*2*3</f>
        <v>66</v>
      </c>
      <c r="S15" s="3243">
        <f t="shared" si="1"/>
        <v>211.20000000000002</v>
      </c>
      <c r="T15" s="3244" t="s">
        <v>3360</v>
      </c>
      <c r="U15" s="3245">
        <v>34.799999999999997</v>
      </c>
      <c r="V15" s="3182"/>
      <c r="W15" s="3241">
        <f>W11</f>
        <v>750.08</v>
      </c>
      <c r="Y15" s="3058">
        <f t="shared" si="2"/>
        <v>66</v>
      </c>
      <c r="Z15" s="3246"/>
      <c r="AA15" s="3246"/>
      <c r="AB15" s="3246"/>
      <c r="AC15" s="3246"/>
      <c r="AD15" s="3246"/>
      <c r="AE15" s="3246"/>
      <c r="AF15" s="3246"/>
      <c r="AG15" s="3246"/>
      <c r="AH15" s="3072">
        <v>3</v>
      </c>
      <c r="AI15" s="3072">
        <v>37</v>
      </c>
      <c r="AJ15" s="3072">
        <v>20</v>
      </c>
      <c r="AK15" s="3072">
        <v>6</v>
      </c>
      <c r="AL15" s="3247"/>
      <c r="AM15" s="3247"/>
      <c r="AN15" s="3247"/>
      <c r="AO15" s="3247"/>
      <c r="AP15" s="3071"/>
      <c r="AQ15" s="3071"/>
      <c r="AR15" s="3071"/>
    </row>
    <row r="16" spans="3:44">
      <c r="C16" s="3705"/>
      <c r="D16" s="3700"/>
      <c r="E16" s="3700" t="s">
        <v>3168</v>
      </c>
      <c r="F16" s="3700"/>
      <c r="G16" s="3066">
        <v>0</v>
      </c>
      <c r="H16" s="3055" t="s">
        <v>3142</v>
      </c>
      <c r="I16" s="3055"/>
      <c r="J16" s="3120"/>
      <c r="L16" s="3754" t="s">
        <v>3385</v>
      </c>
      <c r="M16" s="3755"/>
      <c r="N16" s="3241">
        <f t="shared" si="0"/>
        <v>7867.63</v>
      </c>
      <c r="O16" s="3250">
        <f>O12</f>
        <v>7320.2</v>
      </c>
      <c r="P16" s="3241">
        <f>P12</f>
        <v>547.42999999999995</v>
      </c>
      <c r="Q16" s="3154">
        <v>681.43</v>
      </c>
      <c r="R16" s="3243">
        <f>11*2*3</f>
        <v>66</v>
      </c>
      <c r="S16" s="3243">
        <f t="shared" si="1"/>
        <v>211.20000000000002</v>
      </c>
      <c r="T16" s="3244" t="s">
        <v>3360</v>
      </c>
      <c r="U16" s="3245">
        <v>34.799999999999997</v>
      </c>
      <c r="V16" s="3182"/>
      <c r="W16" s="3154">
        <v>652.79</v>
      </c>
      <c r="Y16" s="3058">
        <f t="shared" si="2"/>
        <v>66</v>
      </c>
      <c r="Z16" s="3248"/>
      <c r="AA16" s="3248"/>
      <c r="AB16" s="3248"/>
      <c r="AC16" s="3248"/>
      <c r="AD16" s="3248"/>
      <c r="AE16" s="3248"/>
      <c r="AF16" s="3248"/>
      <c r="AG16" s="3248"/>
      <c r="AH16" s="3187"/>
      <c r="AI16" s="3187"/>
      <c r="AJ16" s="3187"/>
      <c r="AK16" s="3187"/>
      <c r="AL16" s="3251">
        <v>3</v>
      </c>
      <c r="AM16" s="3251">
        <v>37</v>
      </c>
      <c r="AN16" s="3251">
        <v>20</v>
      </c>
      <c r="AO16" s="3251">
        <v>6</v>
      </c>
      <c r="AP16" s="3059"/>
      <c r="AQ16" s="3059"/>
      <c r="AR16" s="3059"/>
    </row>
    <row r="17" spans="3:44">
      <c r="C17" s="3705"/>
      <c r="D17" s="3701" t="s">
        <v>3171</v>
      </c>
      <c r="E17" s="3702"/>
      <c r="F17" s="3703"/>
      <c r="G17" s="3066">
        <f>G18+G19</f>
        <v>46695.670000000006</v>
      </c>
      <c r="H17" s="3055" t="s">
        <v>3142</v>
      </c>
      <c r="I17" s="3055"/>
      <c r="J17" s="3120"/>
      <c r="L17" s="3759" t="s">
        <v>3386</v>
      </c>
      <c r="M17" s="3760"/>
      <c r="N17" s="3242">
        <f t="shared" si="0"/>
        <v>11704.19</v>
      </c>
      <c r="O17" s="3242">
        <f>O13</f>
        <v>10741.02</v>
      </c>
      <c r="P17" s="3255">
        <f>P13</f>
        <v>963.17</v>
      </c>
      <c r="Q17" s="3245">
        <v>993.78</v>
      </c>
      <c r="R17" s="3256">
        <f>11*6+12*6</f>
        <v>138</v>
      </c>
      <c r="S17" s="3256">
        <f t="shared" si="1"/>
        <v>441.6</v>
      </c>
      <c r="T17" s="3244" t="s">
        <v>3360</v>
      </c>
      <c r="U17" s="3245">
        <v>34.799999999999997</v>
      </c>
      <c r="V17" s="3227"/>
      <c r="W17" s="3257">
        <v>948.94</v>
      </c>
      <c r="Y17" s="3058">
        <f t="shared" si="2"/>
        <v>138</v>
      </c>
      <c r="Z17" s="3186">
        <v>36</v>
      </c>
      <c r="AA17" s="3186">
        <v>12</v>
      </c>
      <c r="AB17" s="3186">
        <v>12</v>
      </c>
      <c r="AC17" s="3186">
        <v>12</v>
      </c>
      <c r="AD17" s="3195">
        <v>7</v>
      </c>
      <c r="AE17" s="3195">
        <v>45</v>
      </c>
      <c r="AF17" s="3195">
        <v>8</v>
      </c>
      <c r="AG17" s="3195">
        <v>6</v>
      </c>
      <c r="AH17" s="3071"/>
      <c r="AI17" s="3071"/>
      <c r="AJ17" s="3071"/>
      <c r="AK17" s="3071"/>
      <c r="AL17" s="3059"/>
      <c r="AM17" s="3059"/>
      <c r="AN17" s="3059"/>
      <c r="AO17" s="3059"/>
      <c r="AP17" s="3059"/>
      <c r="AQ17" s="3059"/>
      <c r="AR17" s="3059"/>
    </row>
    <row r="18" spans="3:44">
      <c r="C18" s="3705"/>
      <c r="D18" s="3700" t="s">
        <v>3149</v>
      </c>
      <c r="E18" s="3708" t="s">
        <v>3172</v>
      </c>
      <c r="F18" s="3708"/>
      <c r="G18" s="3079">
        <f>P18</f>
        <v>7874.0100000000011</v>
      </c>
      <c r="H18" s="3055" t="s">
        <v>3142</v>
      </c>
      <c r="I18" s="3055"/>
      <c r="J18" s="3120"/>
      <c r="L18" s="3761" t="s">
        <v>3209</v>
      </c>
      <c r="M18" s="3762"/>
      <c r="N18" s="3258">
        <f>SUM(N6:N17)+N19+N20</f>
        <v>107368.91000000002</v>
      </c>
      <c r="O18" s="3258">
        <f>SUM(O6:O17)+O20</f>
        <v>99494.9</v>
      </c>
      <c r="P18" s="3258">
        <f>SUM(P6:P17)+P19</f>
        <v>7874.0100000000011</v>
      </c>
      <c r="Q18" s="3258">
        <f>SUM(Q6:Q17)+Q20</f>
        <v>9528.27</v>
      </c>
      <c r="R18" s="3259">
        <f>SUM(R6:R17)</f>
        <v>986</v>
      </c>
      <c r="S18" s="3259">
        <f t="shared" ref="S18:W18" si="3">SUM(S6:S17)</f>
        <v>3155.1999999999994</v>
      </c>
      <c r="T18" s="3259"/>
      <c r="U18" s="3259"/>
      <c r="V18" s="3259"/>
      <c r="W18" s="3258">
        <f t="shared" si="3"/>
        <v>8804.35</v>
      </c>
      <c r="X18" s="3259" t="s">
        <v>3209</v>
      </c>
      <c r="Y18" s="3058">
        <f t="shared" si="2"/>
        <v>986</v>
      </c>
      <c r="Z18" s="3058">
        <f>SUM(Z6:Z17)</f>
        <v>108</v>
      </c>
      <c r="AA18" s="3058">
        <f t="shared" ref="AA18:AR18" si="4">SUM(AA6:AA17)</f>
        <v>36</v>
      </c>
      <c r="AB18" s="3058">
        <f t="shared" si="4"/>
        <v>36</v>
      </c>
      <c r="AC18" s="3058">
        <f t="shared" si="4"/>
        <v>36</v>
      </c>
      <c r="AD18" s="3058">
        <f t="shared" si="4"/>
        <v>21</v>
      </c>
      <c r="AE18" s="3058">
        <f t="shared" si="4"/>
        <v>135</v>
      </c>
      <c r="AF18" s="3058">
        <f t="shared" si="4"/>
        <v>24</v>
      </c>
      <c r="AG18" s="3058">
        <f t="shared" si="4"/>
        <v>18</v>
      </c>
      <c r="AH18" s="3058">
        <f t="shared" si="4"/>
        <v>17</v>
      </c>
      <c r="AI18" s="3058">
        <f t="shared" si="4"/>
        <v>203</v>
      </c>
      <c r="AJ18" s="3058">
        <f t="shared" si="4"/>
        <v>120</v>
      </c>
      <c r="AK18" s="3058">
        <f t="shared" si="4"/>
        <v>34</v>
      </c>
      <c r="AL18" s="3058">
        <f t="shared" si="4"/>
        <v>9</v>
      </c>
      <c r="AM18" s="3058">
        <f t="shared" si="4"/>
        <v>111</v>
      </c>
      <c r="AN18" s="3058">
        <f t="shared" si="4"/>
        <v>60</v>
      </c>
      <c r="AO18" s="3058">
        <f t="shared" si="4"/>
        <v>18</v>
      </c>
      <c r="AP18" s="3260">
        <f t="shared" si="4"/>
        <v>0</v>
      </c>
      <c r="AQ18" s="3260">
        <f t="shared" si="4"/>
        <v>0</v>
      </c>
      <c r="AR18" s="3260">
        <f t="shared" si="4"/>
        <v>0</v>
      </c>
    </row>
    <row r="19" spans="3:44">
      <c r="C19" s="3706"/>
      <c r="D19" s="3700"/>
      <c r="E19" s="3707" t="s">
        <v>3173</v>
      </c>
      <c r="F19" s="3707"/>
      <c r="G19" s="3066">
        <f>N34</f>
        <v>38821.660000000003</v>
      </c>
      <c r="H19" s="3055" t="s">
        <v>3142</v>
      </c>
      <c r="I19" s="3055" t="s">
        <v>3174</v>
      </c>
      <c r="J19" s="3120"/>
      <c r="M19" s="3044" t="s">
        <v>3371</v>
      </c>
      <c r="N19" s="3250">
        <f>P19</f>
        <v>0</v>
      </c>
      <c r="P19" s="3044">
        <v>0</v>
      </c>
      <c r="Y19" s="3058" t="s">
        <v>3210</v>
      </c>
      <c r="Z19" s="3112">
        <f>Z18/Y18</f>
        <v>0.10953346855983773</v>
      </c>
      <c r="AA19" s="3112">
        <f>AA18/Y18</f>
        <v>3.6511156186612576E-2</v>
      </c>
      <c r="AB19" s="3112">
        <f>AB18/Y18</f>
        <v>3.6511156186612576E-2</v>
      </c>
      <c r="AC19" s="3112">
        <f>AC18/Y18</f>
        <v>3.6511156186612576E-2</v>
      </c>
      <c r="AD19" s="3112">
        <f>AD18/Y18</f>
        <v>2.1298174442190669E-2</v>
      </c>
      <c r="AE19" s="3112">
        <f>AE18/Y18</f>
        <v>0.13691683569979715</v>
      </c>
      <c r="AF19" s="3112">
        <f>AF18/Y18</f>
        <v>2.434077079107505E-2</v>
      </c>
      <c r="AG19" s="3112">
        <f>AG18/Y18</f>
        <v>1.8255578093306288E-2</v>
      </c>
      <c r="AH19" s="3112">
        <f>AH18/Y18</f>
        <v>1.7241379310344827E-2</v>
      </c>
      <c r="AI19" s="3112">
        <f>AI18/Y18</f>
        <v>0.20588235294117646</v>
      </c>
      <c r="AJ19" s="3112">
        <f>AJ18/Y18</f>
        <v>0.12170385395537525</v>
      </c>
      <c r="AK19" s="3112">
        <f>AK18/Y18</f>
        <v>3.4482758620689655E-2</v>
      </c>
      <c r="AL19" s="3112">
        <f>AL18/Y18</f>
        <v>9.1277890466531439E-3</v>
      </c>
      <c r="AM19" s="3112">
        <f>AM18/Y18</f>
        <v>0.11257606490872211</v>
      </c>
      <c r="AN19" s="3112">
        <f>AN18/Y18</f>
        <v>6.0851926977687626E-2</v>
      </c>
      <c r="AO19" s="3112">
        <f>AO18/Y18</f>
        <v>1.8255578093306288E-2</v>
      </c>
      <c r="AP19" s="3071"/>
      <c r="AQ19" s="3071"/>
      <c r="AR19" s="3071"/>
    </row>
    <row r="20" spans="3:44">
      <c r="C20" s="3055" t="s">
        <v>3176</v>
      </c>
      <c r="D20" s="3701" t="s">
        <v>3177</v>
      </c>
      <c r="E20" s="3702"/>
      <c r="F20" s="3703"/>
      <c r="G20" s="3066">
        <f>G9/G7</f>
        <v>2.0906664503749104</v>
      </c>
      <c r="H20" s="3055"/>
      <c r="I20" s="3055"/>
      <c r="J20" s="3120"/>
      <c r="M20" s="3044" t="s">
        <v>3367</v>
      </c>
      <c r="N20" s="3228">
        <f>O20</f>
        <v>329.71000000000004</v>
      </c>
      <c r="O20" s="3261">
        <f>333.74-4.03</f>
        <v>329.71000000000004</v>
      </c>
      <c r="Q20" s="3044">
        <v>333.74</v>
      </c>
      <c r="Y20" s="3236"/>
      <c r="Z20" s="3236"/>
      <c r="AA20" s="3236"/>
      <c r="AB20" s="3236"/>
      <c r="AC20" s="3236"/>
      <c r="AD20" s="3236"/>
      <c r="AE20" s="3236"/>
      <c r="AF20" s="3236"/>
      <c r="AG20" s="3236"/>
      <c r="AH20" s="3236"/>
      <c r="AI20" s="3236"/>
      <c r="AJ20" s="3236"/>
      <c r="AK20" s="3236"/>
      <c r="AL20" s="3236"/>
      <c r="AM20" s="3236"/>
      <c r="AN20" s="3236"/>
      <c r="AO20" s="3236"/>
      <c r="AP20" s="3236"/>
      <c r="AQ20" s="3236"/>
      <c r="AR20" s="3236"/>
    </row>
    <row r="21" spans="3:44">
      <c r="C21" s="3055" t="s">
        <v>3179</v>
      </c>
      <c r="D21" s="3701" t="s">
        <v>3180</v>
      </c>
      <c r="E21" s="3702"/>
      <c r="F21" s="3703"/>
      <c r="G21" s="3093">
        <f>R18</f>
        <v>986</v>
      </c>
      <c r="H21" s="3055" t="s">
        <v>3181</v>
      </c>
      <c r="I21" s="3055"/>
      <c r="J21" s="3120"/>
      <c r="Y21" s="3236"/>
      <c r="Z21" s="3236"/>
      <c r="AA21" s="3236"/>
      <c r="AB21" s="3236"/>
      <c r="AC21" s="3236"/>
      <c r="AD21" s="3236"/>
      <c r="AE21" s="3236"/>
      <c r="AF21" s="3236"/>
      <c r="AG21" s="3236"/>
      <c r="AH21" s="3236"/>
      <c r="AI21" s="3236"/>
      <c r="AJ21" s="3236"/>
      <c r="AK21" s="3236"/>
      <c r="AL21" s="3236"/>
      <c r="AM21" s="3236"/>
      <c r="AN21" s="3236"/>
      <c r="AO21" s="3236"/>
      <c r="AP21" s="3236"/>
      <c r="AQ21" s="3236"/>
      <c r="AR21" s="3236"/>
    </row>
    <row r="22" spans="3:44">
      <c r="C22" s="3055" t="s">
        <v>3183</v>
      </c>
      <c r="D22" s="3701" t="s">
        <v>3184</v>
      </c>
      <c r="E22" s="3702"/>
      <c r="F22" s="3703"/>
      <c r="G22" s="3066">
        <v>3.2</v>
      </c>
      <c r="H22" s="3055" t="s">
        <v>3185</v>
      </c>
      <c r="I22" s="3055"/>
      <c r="J22" s="3120"/>
      <c r="Y22" s="3236"/>
      <c r="Z22" s="3236"/>
      <c r="AA22" s="3236"/>
      <c r="AB22" s="3236"/>
      <c r="AC22" s="3236"/>
      <c r="AD22" s="3236"/>
      <c r="AE22" s="3236"/>
      <c r="AF22" s="3236"/>
      <c r="AG22" s="3236"/>
      <c r="AH22" s="3236"/>
      <c r="AI22" s="3236"/>
      <c r="AJ22" s="3236"/>
      <c r="AK22" s="3236"/>
      <c r="AL22" s="3236"/>
      <c r="AM22" s="3236"/>
      <c r="AN22" s="3236"/>
      <c r="AO22" s="3236"/>
      <c r="AP22" s="3236"/>
      <c r="AQ22" s="3236"/>
      <c r="AR22" s="3236"/>
    </row>
    <row r="23" spans="3:44">
      <c r="C23" s="3055" t="s">
        <v>3187</v>
      </c>
      <c r="D23" s="3701" t="s">
        <v>3188</v>
      </c>
      <c r="E23" s="3702"/>
      <c r="F23" s="3703"/>
      <c r="G23" s="3091">
        <f>G21*G22</f>
        <v>3155.2000000000003</v>
      </c>
      <c r="H23" s="3055" t="s">
        <v>3189</v>
      </c>
      <c r="I23" s="3055"/>
      <c r="J23" s="3120"/>
      <c r="Y23" s="3236"/>
      <c r="Z23" s="3236"/>
      <c r="AA23" s="3236"/>
      <c r="AB23" s="3236"/>
      <c r="AC23" s="3236"/>
      <c r="AD23" s="3236"/>
      <c r="AE23" s="3236"/>
      <c r="AF23" s="3236"/>
      <c r="AG23" s="3236"/>
      <c r="AH23" s="3236"/>
      <c r="AI23" s="3236"/>
      <c r="AJ23" s="3236"/>
      <c r="AK23" s="3236"/>
      <c r="AL23" s="3236"/>
      <c r="AM23" s="3236"/>
      <c r="AN23" s="3236"/>
      <c r="AO23" s="3236"/>
      <c r="AP23" s="3236"/>
      <c r="AQ23" s="3236"/>
      <c r="AR23" s="3236"/>
    </row>
    <row r="24" spans="3:44">
      <c r="C24" s="3055" t="s">
        <v>3191</v>
      </c>
      <c r="D24" s="3701" t="s">
        <v>3192</v>
      </c>
      <c r="E24" s="3702"/>
      <c r="F24" s="3703"/>
      <c r="G24" s="3066">
        <f>Q18/G7*100</f>
        <v>20.021563335521467</v>
      </c>
      <c r="H24" s="3055" t="s">
        <v>3193</v>
      </c>
      <c r="I24" s="3055"/>
      <c r="J24" s="3120"/>
      <c r="Y24" s="3236"/>
      <c r="Z24" s="3236"/>
      <c r="AA24" s="3236"/>
      <c r="AB24" s="3236"/>
      <c r="AC24" s="3236"/>
      <c r="AD24" s="3236"/>
      <c r="AE24" s="3236"/>
      <c r="AF24" s="3236"/>
      <c r="AG24" s="3236"/>
      <c r="AH24" s="3236"/>
      <c r="AI24" s="3236"/>
      <c r="AJ24" s="3236"/>
      <c r="AK24" s="3236"/>
      <c r="AL24" s="3236"/>
      <c r="AM24" s="3236"/>
      <c r="AN24" s="3236"/>
      <c r="AO24" s="3236"/>
      <c r="AP24" s="3236"/>
      <c r="AQ24" s="3236"/>
      <c r="AR24" s="3236"/>
    </row>
    <row r="25" spans="3:44">
      <c r="C25" s="3055" t="s">
        <v>3195</v>
      </c>
      <c r="D25" s="3701" t="s">
        <v>3196</v>
      </c>
      <c r="E25" s="3702"/>
      <c r="F25" s="3703"/>
      <c r="G25" s="3066">
        <v>30.1</v>
      </c>
      <c r="H25" s="3055" t="s">
        <v>3193</v>
      </c>
      <c r="I25" s="3055"/>
      <c r="J25" s="3120"/>
      <c r="Y25" s="3236"/>
      <c r="Z25" s="3236"/>
      <c r="AA25" s="3236"/>
      <c r="AB25" s="3236"/>
      <c r="AC25" s="3236"/>
      <c r="AD25" s="3236"/>
      <c r="AE25" s="3236"/>
      <c r="AF25" s="3236"/>
      <c r="AG25" s="3236"/>
      <c r="AH25" s="3236"/>
      <c r="AI25" s="3236"/>
      <c r="AJ25" s="3236"/>
      <c r="AK25" s="3236"/>
      <c r="AL25" s="3236"/>
      <c r="AM25" s="3236"/>
      <c r="AN25" s="3236"/>
      <c r="AO25" s="3236"/>
      <c r="AP25" s="3236"/>
      <c r="AQ25" s="3236"/>
      <c r="AR25" s="3236"/>
    </row>
    <row r="26" spans="3:44">
      <c r="C26" s="3055" t="s">
        <v>3197</v>
      </c>
      <c r="D26" s="3711" t="s">
        <v>3198</v>
      </c>
      <c r="E26" s="3712"/>
      <c r="F26" s="3713"/>
      <c r="G26" s="3199">
        <f>G27+G28</f>
        <v>1324</v>
      </c>
      <c r="H26" s="3055" t="s">
        <v>3199</v>
      </c>
      <c r="I26" s="3055"/>
      <c r="J26" s="3173">
        <f>G21*1+G15/10000*65</f>
        <v>986</v>
      </c>
    </row>
    <row r="27" spans="3:44">
      <c r="C27" s="3700"/>
      <c r="D27" s="3708" t="s">
        <v>3149</v>
      </c>
      <c r="E27" s="3711" t="s">
        <v>3201</v>
      </c>
      <c r="F27" s="3703"/>
      <c r="G27" s="3199">
        <v>132</v>
      </c>
      <c r="H27" s="3055" t="s">
        <v>3199</v>
      </c>
      <c r="I27" s="3055"/>
      <c r="J27" s="3173">
        <f>J26*0.2</f>
        <v>197.20000000000002</v>
      </c>
    </row>
    <row r="28" spans="3:44">
      <c r="C28" s="3700"/>
      <c r="D28" s="3708"/>
      <c r="E28" s="3711" t="s">
        <v>3203</v>
      </c>
      <c r="F28" s="3703"/>
      <c r="G28" s="3199">
        <v>1192</v>
      </c>
      <c r="H28" s="3055" t="s">
        <v>3199</v>
      </c>
      <c r="I28" s="3055"/>
      <c r="J28" s="3173">
        <f>J26-J27</f>
        <v>788.8</v>
      </c>
    </row>
    <row r="34" spans="3:21">
      <c r="C34" s="3606" t="s">
        <v>3211</v>
      </c>
      <c r="D34" s="3607"/>
      <c r="E34" s="3607"/>
      <c r="F34" s="3607"/>
      <c r="G34" s="3607"/>
      <c r="L34" s="3729" t="s">
        <v>3387</v>
      </c>
      <c r="M34" s="3730"/>
      <c r="N34" s="3262">
        <f>SUM(N35:N37)</f>
        <v>38821.660000000003</v>
      </c>
      <c r="O34" s="3262"/>
      <c r="P34" s="3262"/>
      <c r="Q34" s="3262"/>
      <c r="R34" s="3263"/>
      <c r="S34" s="3263"/>
      <c r="T34" s="3262"/>
      <c r="U34" s="3262"/>
    </row>
    <row r="35" spans="3:21">
      <c r="C35" s="3113"/>
      <c r="D35" s="3113"/>
      <c r="E35" s="3114" t="s">
        <v>3214</v>
      </c>
      <c r="F35" s="3059" t="s">
        <v>3215</v>
      </c>
      <c r="G35" s="3059" t="s">
        <v>3216</v>
      </c>
      <c r="L35" s="3763" t="s">
        <v>3149</v>
      </c>
      <c r="M35" s="3264" t="s">
        <v>3355</v>
      </c>
      <c r="N35" s="3264"/>
      <c r="O35" s="3264"/>
      <c r="P35" s="3262"/>
      <c r="Q35" s="3262"/>
      <c r="R35" s="3263"/>
      <c r="S35" s="3263"/>
      <c r="T35" s="3262"/>
      <c r="U35" s="3262"/>
    </row>
    <row r="36" spans="3:21">
      <c r="C36" s="3612" t="s">
        <v>3217</v>
      </c>
      <c r="D36" s="3115" t="s">
        <v>3218</v>
      </c>
      <c r="E36" s="3116"/>
      <c r="F36" s="3059"/>
      <c r="G36" s="3059"/>
      <c r="L36" s="3764"/>
      <c r="M36" s="3264" t="s">
        <v>3223</v>
      </c>
      <c r="N36" s="3262"/>
      <c r="O36" s="3262"/>
      <c r="P36" s="3262"/>
      <c r="Q36" s="3262"/>
      <c r="R36" s="3263"/>
      <c r="S36" s="3263"/>
      <c r="T36" s="3262"/>
      <c r="U36" s="3262"/>
    </row>
    <row r="37" spans="3:21">
      <c r="C37" s="3613"/>
      <c r="D37" s="3115" t="s">
        <v>3219</v>
      </c>
      <c r="E37" s="3116"/>
      <c r="F37" s="3059"/>
      <c r="G37" s="3059"/>
      <c r="L37" s="3765"/>
      <c r="M37" s="3264" t="s">
        <v>48</v>
      </c>
      <c r="N37" s="3262">
        <v>38821.660000000003</v>
      </c>
      <c r="O37" s="3262"/>
      <c r="P37" s="3262"/>
      <c r="Q37" s="3262"/>
      <c r="R37" s="3263"/>
      <c r="S37" s="3263"/>
      <c r="T37" s="3262"/>
      <c r="U37" s="3262"/>
    </row>
    <row r="38" spans="3:21">
      <c r="C38" s="3615" t="s">
        <v>3221</v>
      </c>
      <c r="D38" s="3115" t="s">
        <v>3222</v>
      </c>
      <c r="E38" s="3616"/>
      <c r="F38" s="3059"/>
      <c r="G38" s="3059"/>
      <c r="L38" s="3265"/>
      <c r="M38" s="3262"/>
      <c r="N38" s="3262"/>
      <c r="O38" s="3262"/>
      <c r="P38" s="3262"/>
      <c r="Q38" s="3262"/>
      <c r="R38" s="3263"/>
      <c r="S38" s="3263"/>
      <c r="T38" s="3262"/>
      <c r="U38" s="3262"/>
    </row>
    <row r="39" spans="3:21">
      <c r="C39" s="3615"/>
      <c r="D39" s="3115" t="s">
        <v>3224</v>
      </c>
      <c r="E39" s="3617"/>
      <c r="F39" s="3059"/>
      <c r="G39" s="3059"/>
      <c r="L39" s="3265"/>
      <c r="M39" s="3262"/>
      <c r="N39" s="3262"/>
      <c r="O39" s="3262"/>
      <c r="P39" s="3262"/>
      <c r="Q39" s="3262"/>
      <c r="R39" s="3263"/>
      <c r="S39" s="3263"/>
      <c r="T39" s="3262"/>
      <c r="U39" s="3262"/>
    </row>
    <row r="40" spans="3:21" ht="14.25" thickBot="1">
      <c r="C40" s="3615"/>
      <c r="D40" s="3115" t="s">
        <v>3226</v>
      </c>
      <c r="E40" s="3617"/>
      <c r="F40" s="3059"/>
      <c r="G40" s="3059"/>
      <c r="L40" s="3209"/>
      <c r="M40" s="3209"/>
      <c r="N40" s="3210"/>
      <c r="O40" s="3210"/>
      <c r="P40" s="3210"/>
      <c r="Q40" s="3210"/>
      <c r="R40" s="3211"/>
      <c r="S40" s="3211"/>
      <c r="T40" s="3210"/>
      <c r="U40" s="3210"/>
    </row>
    <row r="41" spans="3:21">
      <c r="C41" s="3615"/>
      <c r="D41" s="3115" t="s">
        <v>3228</v>
      </c>
      <c r="E41" s="3617"/>
      <c r="F41" s="3059"/>
      <c r="G41" s="3059"/>
    </row>
    <row r="42" spans="3:21">
      <c r="C42" s="3615"/>
      <c r="D42" s="3115" t="s">
        <v>3230</v>
      </c>
      <c r="E42" s="3618"/>
      <c r="F42" s="3059"/>
      <c r="G42" s="3059"/>
    </row>
    <row r="43" spans="3:21">
      <c r="C43" s="3113"/>
      <c r="D43" s="3113"/>
      <c r="E43" s="3116"/>
      <c r="F43" s="3059"/>
      <c r="G43" s="3059"/>
    </row>
    <row r="44" spans="3:21">
      <c r="C44" s="3084" t="s">
        <v>3231</v>
      </c>
      <c r="D44" s="3119" t="s">
        <v>3232</v>
      </c>
      <c r="E44" s="3116"/>
      <c r="F44" s="3059"/>
      <c r="G44" s="3059"/>
    </row>
    <row r="45" spans="3:21">
      <c r="C45" s="3115"/>
      <c r="D45" s="3120"/>
      <c r="E45" s="3120"/>
      <c r="F45" s="3059"/>
      <c r="G45" s="3059"/>
    </row>
    <row r="46" spans="3:21">
      <c r="C46" s="3605" t="s">
        <v>3233</v>
      </c>
      <c r="D46" s="3119" t="s">
        <v>3234</v>
      </c>
      <c r="E46" s="3116"/>
      <c r="F46" s="3059"/>
      <c r="G46" s="3059"/>
    </row>
    <row r="47" spans="3:21">
      <c r="C47" s="3605"/>
      <c r="D47" s="3115" t="s">
        <v>3235</v>
      </c>
      <c r="E47" s="3116"/>
      <c r="F47" s="3059"/>
      <c r="G47" s="3059"/>
    </row>
    <row r="48" spans="3:21">
      <c r="C48" s="3121"/>
      <c r="D48" s="3113"/>
      <c r="E48" s="3116"/>
      <c r="F48" s="3059"/>
      <c r="G48" s="3059"/>
    </row>
    <row r="49" spans="3:7">
      <c r="C49" s="3113"/>
      <c r="D49" s="3113"/>
      <c r="E49" s="3116"/>
      <c r="F49" s="3059"/>
      <c r="G49" s="3059"/>
    </row>
    <row r="50" spans="3:7">
      <c r="C50" s="3620" t="s">
        <v>3236</v>
      </c>
      <c r="D50" s="3119" t="s">
        <v>3271</v>
      </c>
      <c r="E50" s="3622"/>
      <c r="F50" s="3059"/>
      <c r="G50" s="3059"/>
    </row>
    <row r="51" spans="3:7">
      <c r="C51" s="3621"/>
      <c r="D51" s="3119" t="s">
        <v>3272</v>
      </c>
      <c r="E51" s="3618"/>
      <c r="F51" s="3059"/>
      <c r="G51" s="3059"/>
    </row>
    <row r="52" spans="3:7">
      <c r="C52" s="3113"/>
      <c r="D52" s="3113"/>
      <c r="E52" s="3116"/>
      <c r="F52" s="3059"/>
      <c r="G52" s="3059"/>
    </row>
    <row r="53" spans="3:7">
      <c r="C53" s="3620" t="s">
        <v>3273</v>
      </c>
      <c r="D53" s="3119" t="s">
        <v>3274</v>
      </c>
      <c r="E53" s="3116"/>
      <c r="F53" s="3059"/>
      <c r="G53" s="3059"/>
    </row>
    <row r="54" spans="3:7">
      <c r="C54" s="3623"/>
      <c r="D54" s="3119" t="s">
        <v>3275</v>
      </c>
      <c r="E54" s="3116"/>
      <c r="F54" s="3059"/>
      <c r="G54" s="3059"/>
    </row>
    <row r="55" spans="3:7">
      <c r="C55" s="3623"/>
      <c r="D55" s="3119" t="s">
        <v>3276</v>
      </c>
      <c r="E55" s="3116"/>
      <c r="F55" s="3059"/>
      <c r="G55" s="3059"/>
    </row>
    <row r="56" spans="3:7">
      <c r="C56" s="3623"/>
      <c r="D56" s="3119" t="s">
        <v>3277</v>
      </c>
      <c r="E56" s="3116"/>
      <c r="F56" s="3059"/>
      <c r="G56" s="3059"/>
    </row>
    <row r="57" spans="3:7">
      <c r="C57" s="3621"/>
      <c r="D57" s="3115" t="s">
        <v>3278</v>
      </c>
      <c r="E57" s="3116"/>
      <c r="F57" s="3059"/>
      <c r="G57" s="3059"/>
    </row>
    <row r="58" spans="3:7">
      <c r="C58" s="3615" t="s">
        <v>3279</v>
      </c>
      <c r="D58" s="3115" t="s">
        <v>3280</v>
      </c>
      <c r="E58" s="3116"/>
      <c r="F58" s="3059"/>
      <c r="G58" s="3059"/>
    </row>
    <row r="59" spans="3:7">
      <c r="C59" s="3615"/>
      <c r="D59" s="3119" t="s">
        <v>3281</v>
      </c>
      <c r="E59" s="3116"/>
      <c r="F59" s="3059"/>
      <c r="G59" s="3059"/>
    </row>
    <row r="60" spans="3:7">
      <c r="C60" s="3615"/>
      <c r="D60" s="3119" t="s">
        <v>3282</v>
      </c>
      <c r="E60" s="3116"/>
      <c r="F60" s="3059"/>
      <c r="G60" s="3059"/>
    </row>
    <row r="61" spans="3:7">
      <c r="C61" s="3615"/>
      <c r="D61" s="3115" t="s">
        <v>3283</v>
      </c>
      <c r="E61" s="3116"/>
      <c r="F61" s="3059"/>
      <c r="G61" s="3059"/>
    </row>
    <row r="62" spans="3:7">
      <c r="C62" s="3615"/>
      <c r="D62" s="3115" t="s">
        <v>3284</v>
      </c>
      <c r="E62" s="3116"/>
      <c r="F62" s="3059"/>
      <c r="G62" s="3059"/>
    </row>
    <row r="63" spans="3:7">
      <c r="C63" s="3615"/>
      <c r="D63" s="3115"/>
      <c r="E63" s="3116"/>
      <c r="F63" s="3059"/>
      <c r="G63" s="3059"/>
    </row>
    <row r="64" spans="3:7">
      <c r="C64" s="3615"/>
      <c r="D64" s="3115" t="s">
        <v>3285</v>
      </c>
      <c r="E64" s="3116"/>
      <c r="F64" s="3059"/>
      <c r="G64" s="3059"/>
    </row>
    <row r="65" spans="3:7">
      <c r="C65" s="3615"/>
      <c r="D65" s="3115" t="s">
        <v>3286</v>
      </c>
      <c r="E65" s="3116"/>
      <c r="F65" s="3059"/>
      <c r="G65" s="3059"/>
    </row>
    <row r="66" spans="3:7">
      <c r="C66" s="3615"/>
      <c r="D66" s="3115" t="s">
        <v>3287</v>
      </c>
      <c r="E66" s="3116"/>
      <c r="F66" s="3059"/>
      <c r="G66" s="3059"/>
    </row>
    <row r="67" spans="3:7">
      <c r="C67" s="3615"/>
      <c r="D67" s="3115" t="s">
        <v>3288</v>
      </c>
      <c r="E67" s="3116"/>
      <c r="F67" s="3059"/>
      <c r="G67" s="3059"/>
    </row>
    <row r="68" spans="3:7">
      <c r="C68" s="3615"/>
      <c r="D68" s="3115" t="s">
        <v>3289</v>
      </c>
      <c r="E68" s="3116"/>
      <c r="F68" s="3059"/>
      <c r="G68" s="3059"/>
    </row>
    <row r="69" spans="3:7">
      <c r="C69" s="3058" t="s">
        <v>3209</v>
      </c>
      <c r="D69" s="3058"/>
      <c r="E69" s="3058">
        <f>SUM(E36:E68)</f>
        <v>0</v>
      </c>
      <c r="F69" s="3058"/>
      <c r="G69" s="3059"/>
    </row>
    <row r="70" spans="3:7">
      <c r="C70" s="3120"/>
      <c r="D70" s="3120"/>
      <c r="E70" s="3120"/>
    </row>
    <row r="71" spans="3:7">
      <c r="C71" s="3122" t="s">
        <v>3290</v>
      </c>
      <c r="D71" s="3123" t="s">
        <v>3291</v>
      </c>
      <c r="E71" s="3120"/>
    </row>
  </sheetData>
  <mergeCells count="54">
    <mergeCell ref="C50:C51"/>
    <mergeCell ref="E50:E51"/>
    <mergeCell ref="C53:C57"/>
    <mergeCell ref="C58:C68"/>
    <mergeCell ref="L34:M34"/>
    <mergeCell ref="L35:L37"/>
    <mergeCell ref="C36:C37"/>
    <mergeCell ref="C38:C42"/>
    <mergeCell ref="E38:E42"/>
    <mergeCell ref="C46:C47"/>
    <mergeCell ref="C34:G34"/>
    <mergeCell ref="E15:F15"/>
    <mergeCell ref="D26:F26"/>
    <mergeCell ref="C27:C28"/>
    <mergeCell ref="D27:D28"/>
    <mergeCell ref="E27:F27"/>
    <mergeCell ref="E28:F28"/>
    <mergeCell ref="D25:F25"/>
    <mergeCell ref="E16:F16"/>
    <mergeCell ref="L16:M16"/>
    <mergeCell ref="D17:F17"/>
    <mergeCell ref="L17:M17"/>
    <mergeCell ref="D18:D19"/>
    <mergeCell ref="E18:F18"/>
    <mergeCell ref="L18:M18"/>
    <mergeCell ref="E19:F19"/>
    <mergeCell ref="D20:F20"/>
    <mergeCell ref="D21:F21"/>
    <mergeCell ref="D22:F22"/>
    <mergeCell ref="D23:F23"/>
    <mergeCell ref="D24:F24"/>
    <mergeCell ref="L15:M15"/>
    <mergeCell ref="D8:F8"/>
    <mergeCell ref="L8:M8"/>
    <mergeCell ref="C9:C19"/>
    <mergeCell ref="D9:F9"/>
    <mergeCell ref="L9:M9"/>
    <mergeCell ref="D10:D16"/>
    <mergeCell ref="E10:F10"/>
    <mergeCell ref="L10:M10"/>
    <mergeCell ref="E11:E12"/>
    <mergeCell ref="L11:M11"/>
    <mergeCell ref="L12:M12"/>
    <mergeCell ref="E13:F13"/>
    <mergeCell ref="L13:M13"/>
    <mergeCell ref="E14:F14"/>
    <mergeCell ref="L14:M14"/>
    <mergeCell ref="D7:F7"/>
    <mergeCell ref="L7:M7"/>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S71"/>
  <sheetViews>
    <sheetView zoomScaleNormal="100" workbookViewId="0">
      <selection activeCell="Q18" sqref="Q18"/>
    </sheetView>
  </sheetViews>
  <sheetFormatPr defaultRowHeight="13.5"/>
  <cols>
    <col min="1" max="4" width="9" style="3044"/>
    <col min="5" max="5" width="17.5" style="3044" customWidth="1"/>
    <col min="6" max="6" width="9" style="3044"/>
    <col min="7" max="7" width="14.625" style="3044" customWidth="1"/>
    <col min="8" max="12" width="9" style="3044"/>
    <col min="13" max="13" width="14.25" style="3044" customWidth="1"/>
    <col min="14" max="14" width="13.5" style="3044" customWidth="1"/>
    <col min="15" max="15" width="10.5" style="3044" bestFit="1" customWidth="1"/>
    <col min="16" max="17" width="9.5" style="3044" bestFit="1" customWidth="1"/>
    <col min="18" max="22" width="9" style="3044"/>
    <col min="23" max="23" width="9.5" style="3044" bestFit="1" customWidth="1"/>
    <col min="24" max="16384" width="9" style="3044"/>
  </cols>
  <sheetData>
    <row r="4" spans="3:44" ht="14.25" thickBot="1">
      <c r="K4" s="3719" t="s">
        <v>3292</v>
      </c>
      <c r="L4" s="3720"/>
      <c r="M4" s="3720"/>
      <c r="N4" s="3720"/>
      <c r="O4" s="3720"/>
      <c r="P4" s="3720"/>
      <c r="Q4" s="3720"/>
      <c r="R4" s="3720"/>
      <c r="S4" s="3720"/>
      <c r="T4" s="3720"/>
      <c r="U4" s="3720"/>
      <c r="V4" s="3721"/>
      <c r="W4" s="3120"/>
      <c r="Y4" s="3044" t="s">
        <v>3061</v>
      </c>
    </row>
    <row r="5" spans="3:44" ht="81">
      <c r="C5" s="3766" t="s">
        <v>3356</v>
      </c>
      <c r="D5" s="3767"/>
      <c r="E5" s="3767"/>
      <c r="F5" s="3767"/>
      <c r="G5" s="3767"/>
      <c r="H5" s="3767"/>
      <c r="I5" s="3768"/>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051"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054" t="s">
        <v>3260</v>
      </c>
      <c r="AM5" s="3054" t="s">
        <v>3261</v>
      </c>
      <c r="AN5" s="3054" t="s">
        <v>3262</v>
      </c>
      <c r="AO5" s="3054" t="s">
        <v>3263</v>
      </c>
      <c r="AP5" s="3054" t="s">
        <v>3264</v>
      </c>
      <c r="AQ5" s="3054" t="s">
        <v>3265</v>
      </c>
      <c r="AR5" s="3054" t="s">
        <v>3266</v>
      </c>
    </row>
    <row r="6" spans="3:44">
      <c r="C6" s="3055" t="s">
        <v>3134</v>
      </c>
      <c r="D6" s="3700" t="s">
        <v>3135</v>
      </c>
      <c r="E6" s="3700"/>
      <c r="F6" s="3700"/>
      <c r="G6" s="3055" t="s">
        <v>3136</v>
      </c>
      <c r="H6" s="3055" t="s">
        <v>3137</v>
      </c>
      <c r="I6" s="3055" t="s">
        <v>3110</v>
      </c>
      <c r="J6" s="3120"/>
      <c r="L6" s="3746" t="s">
        <v>3357</v>
      </c>
      <c r="M6" s="3747"/>
      <c r="N6" s="3212">
        <f t="shared" ref="N6:N7" si="0">O6+P6</f>
        <v>2741.76</v>
      </c>
      <c r="O6" s="3212">
        <v>2741.76</v>
      </c>
      <c r="P6" s="3212">
        <v>0</v>
      </c>
      <c r="Q6" s="3213">
        <v>446.6</v>
      </c>
      <c r="R6" s="3214">
        <f>6*2*2</f>
        <v>24</v>
      </c>
      <c r="S6" s="3214">
        <f t="shared" ref="S6:S7" si="1">R6*3.2</f>
        <v>76.800000000000011</v>
      </c>
      <c r="T6" s="3215" t="s">
        <v>3358</v>
      </c>
      <c r="U6" s="3213">
        <v>20.55</v>
      </c>
      <c r="V6" s="3182"/>
      <c r="W6" s="3216">
        <v>54.84</v>
      </c>
      <c r="X6" s="3216"/>
      <c r="Y6" s="3058">
        <f>SUM(Z6:AR6)</f>
        <v>24</v>
      </c>
      <c r="Z6" s="3071"/>
      <c r="AA6" s="3071"/>
      <c r="AB6" s="3071"/>
      <c r="AC6" s="3071"/>
      <c r="AD6" s="3071"/>
      <c r="AE6" s="3071"/>
      <c r="AF6" s="3071"/>
      <c r="AG6" s="3071"/>
      <c r="AH6" s="3188">
        <v>2</v>
      </c>
      <c r="AI6" s="3188">
        <v>8</v>
      </c>
      <c r="AJ6" s="3188">
        <v>10</v>
      </c>
      <c r="AK6" s="3188">
        <v>4</v>
      </c>
      <c r="AL6" s="3071"/>
      <c r="AM6" s="3071"/>
      <c r="AN6" s="3071"/>
      <c r="AO6" s="3071"/>
      <c r="AP6" s="3071"/>
      <c r="AQ6" s="3071"/>
      <c r="AR6" s="3071"/>
    </row>
    <row r="7" spans="3:44">
      <c r="C7" s="3055" t="s">
        <v>3140</v>
      </c>
      <c r="D7" s="3701" t="s">
        <v>3141</v>
      </c>
      <c r="E7" s="3702"/>
      <c r="F7" s="3703"/>
      <c r="G7" s="3066">
        <v>30191.62</v>
      </c>
      <c r="H7" s="3055" t="s">
        <v>3142</v>
      </c>
      <c r="I7" s="3055"/>
      <c r="J7" s="3120"/>
      <c r="L7" s="3746" t="s">
        <v>3359</v>
      </c>
      <c r="M7" s="3747"/>
      <c r="N7" s="3212">
        <f t="shared" si="0"/>
        <v>7869.9</v>
      </c>
      <c r="O7" s="3216">
        <v>7320.2</v>
      </c>
      <c r="P7" s="3216">
        <v>549.70000000000005</v>
      </c>
      <c r="Q7" s="3216">
        <v>681.43</v>
      </c>
      <c r="R7" s="3214">
        <f>11*2*3</f>
        <v>66</v>
      </c>
      <c r="S7" s="3214">
        <f t="shared" si="1"/>
        <v>211.20000000000002</v>
      </c>
      <c r="T7" s="3217" t="s">
        <v>3360</v>
      </c>
      <c r="U7" s="3218">
        <v>34.799999999999997</v>
      </c>
      <c r="V7" s="3182"/>
      <c r="W7" s="3216">
        <v>652.79</v>
      </c>
      <c r="X7" s="3216"/>
      <c r="Y7" s="3058">
        <f t="shared" ref="Y7:Y16" si="2">SUM(Z7:AR7)</f>
        <v>66</v>
      </c>
      <c r="Z7" s="3071"/>
      <c r="AA7" s="3071"/>
      <c r="AB7" s="3071"/>
      <c r="AC7" s="3071"/>
      <c r="AD7" s="3071"/>
      <c r="AE7" s="3071"/>
      <c r="AF7" s="3071"/>
      <c r="AG7" s="3071"/>
      <c r="AH7" s="3072">
        <v>3</v>
      </c>
      <c r="AI7" s="3072">
        <v>37</v>
      </c>
      <c r="AJ7" s="3072">
        <v>20</v>
      </c>
      <c r="AK7" s="3072">
        <v>6</v>
      </c>
      <c r="AL7" s="3071"/>
      <c r="AM7" s="3071"/>
      <c r="AN7" s="3071"/>
      <c r="AO7" s="3071"/>
      <c r="AP7" s="3071"/>
      <c r="AQ7" s="3071"/>
      <c r="AR7" s="3071"/>
    </row>
    <row r="8" spans="3:44">
      <c r="C8" s="3055" t="s">
        <v>3145</v>
      </c>
      <c r="D8" s="3700" t="s">
        <v>3146</v>
      </c>
      <c r="E8" s="3700"/>
      <c r="F8" s="3700"/>
      <c r="G8" s="3066">
        <f>G9+G17</f>
        <v>101558.93</v>
      </c>
      <c r="H8" s="3055" t="s">
        <v>3142</v>
      </c>
      <c r="I8" s="3055"/>
      <c r="J8" s="3120"/>
      <c r="L8" s="3746" t="s">
        <v>3361</v>
      </c>
      <c r="M8" s="3747"/>
      <c r="N8" s="3212">
        <f>O8</f>
        <v>806.38</v>
      </c>
      <c r="O8" s="3213">
        <v>806.38</v>
      </c>
      <c r="P8" s="3218" t="s">
        <v>70</v>
      </c>
      <c r="Q8" s="3218">
        <v>403.18</v>
      </c>
      <c r="R8" s="3218" t="s">
        <v>70</v>
      </c>
      <c r="S8" s="3218" t="s">
        <v>70</v>
      </c>
      <c r="T8" s="3218" t="s">
        <v>3144</v>
      </c>
      <c r="U8" s="3218">
        <v>7.8</v>
      </c>
      <c r="V8" s="3182"/>
      <c r="W8" s="3216">
        <v>16.13</v>
      </c>
      <c r="Y8" s="3058">
        <f t="shared" si="2"/>
        <v>0</v>
      </c>
      <c r="Z8" s="3071"/>
      <c r="AA8" s="3071"/>
      <c r="AB8" s="3071"/>
      <c r="AC8" s="3071"/>
      <c r="AD8" s="3071"/>
      <c r="AE8" s="3071"/>
      <c r="AF8" s="3071"/>
      <c r="AG8" s="3071"/>
      <c r="AH8" s="3071"/>
      <c r="AI8" s="3071"/>
      <c r="AJ8" s="3071"/>
      <c r="AK8" s="3071"/>
      <c r="AL8" s="3071"/>
      <c r="AM8" s="3071"/>
      <c r="AN8" s="3071"/>
      <c r="AO8" s="3071"/>
      <c r="AP8" s="3071"/>
      <c r="AQ8" s="3071"/>
      <c r="AR8" s="3071"/>
    </row>
    <row r="9" spans="3:44">
      <c r="C9" s="3704" t="s">
        <v>3149</v>
      </c>
      <c r="D9" s="3700" t="s">
        <v>3150</v>
      </c>
      <c r="E9" s="3700"/>
      <c r="F9" s="3700"/>
      <c r="G9" s="3066">
        <f>G10+G13+G14+G15+G16</f>
        <v>73955.859999999986</v>
      </c>
      <c r="H9" s="3055" t="s">
        <v>3142</v>
      </c>
      <c r="I9" s="3055"/>
      <c r="J9" s="3120"/>
      <c r="L9" s="3746" t="s">
        <v>3362</v>
      </c>
      <c r="M9" s="3747"/>
      <c r="N9" s="3212">
        <f t="shared" ref="N9:N15" si="3">O9+P9</f>
        <v>12007.560000000001</v>
      </c>
      <c r="O9" s="3219">
        <v>10874.37</v>
      </c>
      <c r="P9" s="3220">
        <v>1133.19</v>
      </c>
      <c r="Q9" s="3218">
        <v>996.38</v>
      </c>
      <c r="R9" s="3214">
        <f>11*2*3+12*6</f>
        <v>138</v>
      </c>
      <c r="S9" s="3214">
        <f t="shared" ref="S9:S15" si="4">R9*3.2</f>
        <v>441.6</v>
      </c>
      <c r="T9" s="3215" t="s">
        <v>3360</v>
      </c>
      <c r="U9" s="3213">
        <v>34.799999999999997</v>
      </c>
      <c r="V9" s="3221"/>
      <c r="W9" s="3212">
        <v>949.94</v>
      </c>
      <c r="X9" s="3212"/>
      <c r="Y9" s="3058">
        <f t="shared" si="2"/>
        <v>138</v>
      </c>
      <c r="Z9" s="3186">
        <v>36</v>
      </c>
      <c r="AA9" s="3186">
        <v>12</v>
      </c>
      <c r="AB9" s="3186">
        <v>12</v>
      </c>
      <c r="AC9" s="3186">
        <v>12</v>
      </c>
      <c r="AD9" s="3084">
        <v>3</v>
      </c>
      <c r="AE9" s="3084">
        <v>47</v>
      </c>
      <c r="AF9" s="3084">
        <v>10</v>
      </c>
      <c r="AG9" s="3084">
        <v>6</v>
      </c>
      <c r="AH9" s="3071"/>
      <c r="AI9" s="3071"/>
      <c r="AJ9" s="3071"/>
      <c r="AK9" s="3071"/>
      <c r="AL9" s="3071"/>
      <c r="AM9" s="3071"/>
      <c r="AN9" s="3071"/>
      <c r="AO9" s="3071"/>
      <c r="AP9" s="3071"/>
      <c r="AQ9" s="3071"/>
      <c r="AR9" s="3071"/>
    </row>
    <row r="10" spans="3:44">
      <c r="C10" s="3705"/>
      <c r="D10" s="3700" t="s">
        <v>3149</v>
      </c>
      <c r="E10" s="3707" t="s">
        <v>3153</v>
      </c>
      <c r="F10" s="3707"/>
      <c r="G10" s="3066">
        <f>G11+G12</f>
        <v>72959.749999999985</v>
      </c>
      <c r="H10" s="3055" t="s">
        <v>3142</v>
      </c>
      <c r="I10" s="3055"/>
      <c r="J10" s="3120"/>
      <c r="L10" s="3746" t="s">
        <v>3363</v>
      </c>
      <c r="M10" s="3747"/>
      <c r="N10" s="3212">
        <f t="shared" si="3"/>
        <v>7867.63</v>
      </c>
      <c r="O10" s="3212">
        <f>O7</f>
        <v>7320.2</v>
      </c>
      <c r="P10" s="3212">
        <v>547.42999999999995</v>
      </c>
      <c r="Q10" s="3216">
        <v>681.43</v>
      </c>
      <c r="R10" s="3214">
        <f>11*2*3</f>
        <v>66</v>
      </c>
      <c r="S10" s="3214">
        <f t="shared" si="4"/>
        <v>211.20000000000002</v>
      </c>
      <c r="T10" s="3215" t="s">
        <v>3360</v>
      </c>
      <c r="U10" s="3213">
        <v>34.799999999999997</v>
      </c>
      <c r="V10" s="3182"/>
      <c r="W10" s="3216">
        <v>652.79</v>
      </c>
      <c r="X10" s="3212"/>
      <c r="Y10" s="3058">
        <f t="shared" si="2"/>
        <v>66</v>
      </c>
      <c r="Z10" s="3071"/>
      <c r="AA10" s="3071"/>
      <c r="AB10" s="3071"/>
      <c r="AC10" s="3071"/>
      <c r="AD10" s="3071"/>
      <c r="AE10" s="3071"/>
      <c r="AF10" s="3071"/>
      <c r="AG10" s="3071"/>
      <c r="AH10" s="3072">
        <v>3</v>
      </c>
      <c r="AI10" s="3072">
        <v>37</v>
      </c>
      <c r="AJ10" s="3072">
        <v>20</v>
      </c>
      <c r="AK10" s="3072">
        <v>6</v>
      </c>
      <c r="AL10" s="3071"/>
      <c r="AM10" s="3071"/>
      <c r="AN10" s="3071"/>
      <c r="AO10" s="3071"/>
      <c r="AP10" s="3071"/>
      <c r="AQ10" s="3071"/>
      <c r="AR10" s="3071"/>
    </row>
    <row r="11" spans="3:44">
      <c r="C11" s="3705"/>
      <c r="D11" s="3700"/>
      <c r="E11" s="3727" t="s">
        <v>3149</v>
      </c>
      <c r="F11" s="3078" t="s">
        <v>3300</v>
      </c>
      <c r="G11" s="3079">
        <f>O7+O9+O10+O11+O12+O13+O14+O15</f>
        <v>70217.989999999991</v>
      </c>
      <c r="H11" s="3055" t="s">
        <v>3142</v>
      </c>
      <c r="I11" s="3055"/>
      <c r="J11" s="3120"/>
      <c r="L11" s="3746" t="s">
        <v>3364</v>
      </c>
      <c r="M11" s="3747"/>
      <c r="N11" s="3212">
        <f t="shared" si="3"/>
        <v>10400.89</v>
      </c>
      <c r="O11" s="3222">
        <v>9660.9</v>
      </c>
      <c r="P11" s="3212">
        <v>739.99</v>
      </c>
      <c r="Q11" s="3223">
        <v>900.61</v>
      </c>
      <c r="R11" s="3214">
        <f>11*2*4</f>
        <v>88</v>
      </c>
      <c r="S11" s="3214">
        <f t="shared" si="4"/>
        <v>281.60000000000002</v>
      </c>
      <c r="T11" s="3215" t="s">
        <v>3360</v>
      </c>
      <c r="U11" s="3213">
        <v>34.799999999999997</v>
      </c>
      <c r="V11" s="3182"/>
      <c r="W11" s="3224">
        <v>862.25</v>
      </c>
      <c r="X11" s="3212"/>
      <c r="Y11" s="3058">
        <f t="shared" si="2"/>
        <v>88</v>
      </c>
      <c r="Z11" s="3071"/>
      <c r="AA11" s="3071"/>
      <c r="AB11" s="3071"/>
      <c r="AC11" s="3071"/>
      <c r="AD11" s="3071"/>
      <c r="AE11" s="3071"/>
      <c r="AF11" s="3071"/>
      <c r="AG11" s="3071"/>
      <c r="AH11" s="3072">
        <v>4</v>
      </c>
      <c r="AI11" s="3072">
        <v>56</v>
      </c>
      <c r="AJ11" s="3072">
        <v>20</v>
      </c>
      <c r="AK11" s="3072">
        <v>8</v>
      </c>
      <c r="AL11" s="3071"/>
      <c r="AM11" s="3071"/>
      <c r="AN11" s="3071"/>
      <c r="AO11" s="3071"/>
      <c r="AP11" s="3071"/>
      <c r="AQ11" s="3071"/>
      <c r="AR11" s="3071"/>
    </row>
    <row r="12" spans="3:44">
      <c r="C12" s="3705"/>
      <c r="D12" s="3700"/>
      <c r="E12" s="3706"/>
      <c r="F12" s="3078" t="s">
        <v>3326</v>
      </c>
      <c r="G12" s="3079">
        <f>O6</f>
        <v>2741.76</v>
      </c>
      <c r="H12" s="3055" t="s">
        <v>3142</v>
      </c>
      <c r="I12" s="3055"/>
      <c r="J12" s="3120"/>
      <c r="L12" s="3746" t="s">
        <v>3365</v>
      </c>
      <c r="M12" s="3747"/>
      <c r="N12" s="3212">
        <f t="shared" si="3"/>
        <v>7867.63</v>
      </c>
      <c r="O12" s="3212">
        <f>O7</f>
        <v>7320.2</v>
      </c>
      <c r="P12" s="3212">
        <v>547.42999999999995</v>
      </c>
      <c r="Q12" s="3216">
        <v>681.43</v>
      </c>
      <c r="R12" s="3214">
        <f>11*2*3</f>
        <v>66</v>
      </c>
      <c r="S12" s="3214">
        <f t="shared" si="4"/>
        <v>211.20000000000002</v>
      </c>
      <c r="T12" s="3215" t="s">
        <v>3360</v>
      </c>
      <c r="U12" s="3213">
        <v>34.799999999999997</v>
      </c>
      <c r="V12" s="3182"/>
      <c r="W12" s="3216">
        <v>652.79</v>
      </c>
      <c r="X12" s="3212"/>
      <c r="Y12" s="3058">
        <f t="shared" si="2"/>
        <v>66</v>
      </c>
      <c r="Z12" s="3071"/>
      <c r="AA12" s="3071"/>
      <c r="AB12" s="3071"/>
      <c r="AC12" s="3071"/>
      <c r="AD12" s="3071"/>
      <c r="AE12" s="3071"/>
      <c r="AF12" s="3071"/>
      <c r="AG12" s="3071"/>
      <c r="AH12" s="3072">
        <v>3</v>
      </c>
      <c r="AI12" s="3072">
        <v>37</v>
      </c>
      <c r="AJ12" s="3072">
        <v>20</v>
      </c>
      <c r="AK12" s="3072">
        <v>6</v>
      </c>
      <c r="AL12" s="3071"/>
      <c r="AM12" s="3071"/>
      <c r="AN12" s="3071"/>
      <c r="AO12" s="3071"/>
      <c r="AP12" s="3071"/>
      <c r="AQ12" s="3071"/>
      <c r="AR12" s="3071"/>
    </row>
    <row r="13" spans="3:44">
      <c r="C13" s="3705"/>
      <c r="D13" s="3700"/>
      <c r="E13" s="3700"/>
      <c r="F13" s="3700"/>
      <c r="G13" s="3066"/>
      <c r="H13" s="3055"/>
      <c r="I13" s="3055"/>
      <c r="J13" s="3120"/>
      <c r="L13" s="3746" t="s">
        <v>3366</v>
      </c>
      <c r="M13" s="3747"/>
      <c r="N13" s="3212">
        <f t="shared" si="3"/>
        <v>11712.68</v>
      </c>
      <c r="O13" s="3220">
        <v>10741.02</v>
      </c>
      <c r="P13" s="3220">
        <f>519.63+452.03</f>
        <v>971.66</v>
      </c>
      <c r="Q13" s="3218">
        <v>993.78</v>
      </c>
      <c r="R13" s="3214">
        <f>11*2*3+12*6</f>
        <v>138</v>
      </c>
      <c r="S13" s="3214">
        <f t="shared" si="4"/>
        <v>441.6</v>
      </c>
      <c r="T13" s="3215" t="s">
        <v>3360</v>
      </c>
      <c r="U13" s="3213">
        <v>34.799999999999997</v>
      </c>
      <c r="V13" s="3221"/>
      <c r="W13" s="3216">
        <v>948.94</v>
      </c>
      <c r="X13" s="3212"/>
      <c r="Y13" s="3058">
        <f t="shared" si="2"/>
        <v>138</v>
      </c>
      <c r="Z13" s="3186">
        <v>36</v>
      </c>
      <c r="AA13" s="3186">
        <v>12</v>
      </c>
      <c r="AB13" s="3186">
        <v>12</v>
      </c>
      <c r="AC13" s="3186">
        <v>12</v>
      </c>
      <c r="AD13" s="3084">
        <v>3</v>
      </c>
      <c r="AE13" s="3084">
        <v>47</v>
      </c>
      <c r="AF13" s="3084">
        <v>10</v>
      </c>
      <c r="AG13" s="3084">
        <v>6</v>
      </c>
      <c r="AH13" s="3071"/>
      <c r="AI13" s="3071"/>
      <c r="AJ13" s="3071"/>
      <c r="AK13" s="3071"/>
      <c r="AL13" s="3071"/>
      <c r="AM13" s="3071"/>
      <c r="AN13" s="3071"/>
      <c r="AO13" s="3071"/>
      <c r="AP13" s="3071"/>
      <c r="AQ13" s="3071"/>
      <c r="AR13" s="3071"/>
    </row>
    <row r="14" spans="3:44">
      <c r="C14" s="3705"/>
      <c r="D14" s="3700"/>
      <c r="E14" s="3701" t="s">
        <v>3367</v>
      </c>
      <c r="F14" s="3703"/>
      <c r="G14" s="3066">
        <f>O16</f>
        <v>189.73</v>
      </c>
      <c r="H14" s="3055"/>
      <c r="I14" s="3055"/>
      <c r="J14" s="3120"/>
      <c r="L14" s="3746" t="s">
        <v>3368</v>
      </c>
      <c r="M14" s="3747"/>
      <c r="N14" s="3212">
        <f t="shared" si="3"/>
        <v>7867.63</v>
      </c>
      <c r="O14" s="3212">
        <f>O10</f>
        <v>7320.2</v>
      </c>
      <c r="P14" s="3212">
        <v>547.42999999999995</v>
      </c>
      <c r="Q14" s="3216">
        <v>681.43</v>
      </c>
      <c r="R14" s="3214">
        <f>11*2*3</f>
        <v>66</v>
      </c>
      <c r="S14" s="3214">
        <f t="shared" si="4"/>
        <v>211.20000000000002</v>
      </c>
      <c r="T14" s="3215" t="s">
        <v>3360</v>
      </c>
      <c r="U14" s="3213">
        <v>34.799999999999997</v>
      </c>
      <c r="V14" s="3182"/>
      <c r="W14" s="3216">
        <v>652.79</v>
      </c>
      <c r="X14" s="3212"/>
      <c r="Y14" s="3058">
        <f t="shared" si="2"/>
        <v>66</v>
      </c>
      <c r="Z14" s="3071"/>
      <c r="AA14" s="3071"/>
      <c r="AB14" s="3071"/>
      <c r="AC14" s="3071"/>
      <c r="AD14" s="3071"/>
      <c r="AE14" s="3071"/>
      <c r="AF14" s="3071"/>
      <c r="AG14" s="3071"/>
      <c r="AH14" s="3072">
        <v>3</v>
      </c>
      <c r="AI14" s="3072">
        <v>37</v>
      </c>
      <c r="AJ14" s="3072">
        <v>20</v>
      </c>
      <c r="AK14" s="3072">
        <v>6</v>
      </c>
      <c r="AL14" s="3071"/>
      <c r="AM14" s="3071"/>
      <c r="AN14" s="3071"/>
      <c r="AO14" s="3071"/>
      <c r="AP14" s="3071"/>
      <c r="AQ14" s="3071"/>
      <c r="AR14" s="3071"/>
    </row>
    <row r="15" spans="3:44">
      <c r="C15" s="3705"/>
      <c r="D15" s="3700"/>
      <c r="E15" s="3709" t="s">
        <v>3165</v>
      </c>
      <c r="F15" s="3710"/>
      <c r="G15" s="3066"/>
      <c r="H15" s="3055" t="s">
        <v>3142</v>
      </c>
      <c r="I15" s="3055"/>
      <c r="J15" s="3120"/>
      <c r="L15" s="3770" t="s">
        <v>3369</v>
      </c>
      <c r="M15" s="3771"/>
      <c r="N15" s="3225">
        <f t="shared" si="3"/>
        <v>10402.299999999999</v>
      </c>
      <c r="O15" s="3222">
        <v>9660.9</v>
      </c>
      <c r="P15" s="3225">
        <v>741.4</v>
      </c>
      <c r="Q15" s="3223">
        <v>900.61</v>
      </c>
      <c r="R15" s="3226">
        <f>11*2*4</f>
        <v>88</v>
      </c>
      <c r="S15" s="3226">
        <f t="shared" si="4"/>
        <v>281.60000000000002</v>
      </c>
      <c r="T15" s="3215" t="s">
        <v>3360</v>
      </c>
      <c r="U15" s="3218">
        <v>34.799999999999997</v>
      </c>
      <c r="V15" s="3227"/>
      <c r="W15" s="3224">
        <v>862.25</v>
      </c>
      <c r="X15" s="3212"/>
      <c r="Y15" s="3058">
        <f t="shared" si="2"/>
        <v>88</v>
      </c>
      <c r="Z15" s="3071"/>
      <c r="AA15" s="3071"/>
      <c r="AB15" s="3071"/>
      <c r="AC15" s="3071"/>
      <c r="AD15" s="3071"/>
      <c r="AE15" s="3071"/>
      <c r="AF15" s="3071"/>
      <c r="AG15" s="3071"/>
      <c r="AH15" s="3072">
        <v>4</v>
      </c>
      <c r="AI15" s="3072">
        <v>56</v>
      </c>
      <c r="AJ15" s="3072">
        <v>20</v>
      </c>
      <c r="AK15" s="3072">
        <v>8</v>
      </c>
      <c r="AL15" s="3071"/>
      <c r="AM15" s="3071"/>
      <c r="AN15" s="3071"/>
      <c r="AO15" s="3071"/>
      <c r="AP15" s="3071"/>
      <c r="AQ15" s="3071"/>
      <c r="AR15" s="3071"/>
    </row>
    <row r="16" spans="3:44">
      <c r="C16" s="3705"/>
      <c r="D16" s="3700"/>
      <c r="E16" s="3700" t="s">
        <v>3168</v>
      </c>
      <c r="F16" s="3700"/>
      <c r="G16" s="3066">
        <f>O8</f>
        <v>806.38</v>
      </c>
      <c r="H16" s="3055" t="s">
        <v>3142</v>
      </c>
      <c r="I16" s="3055" t="s">
        <v>3331</v>
      </c>
      <c r="J16" s="3120"/>
      <c r="M16" s="3044" t="s">
        <v>3370</v>
      </c>
      <c r="N16" s="3228">
        <f>O16</f>
        <v>189.73</v>
      </c>
      <c r="O16" s="3229">
        <f>151.7+38.03</f>
        <v>189.73</v>
      </c>
      <c r="Q16" s="3230">
        <f>O16</f>
        <v>189.73</v>
      </c>
      <c r="X16" s="3058" t="s">
        <v>3209</v>
      </c>
      <c r="Y16" s="3058">
        <f t="shared" si="2"/>
        <v>740</v>
      </c>
      <c r="Z16" s="3200">
        <f>SUM(Z6:Z15)</f>
        <v>72</v>
      </c>
      <c r="AA16" s="3200">
        <f t="shared" ref="AA16:AR16" si="5">SUM(AA6:AA15)</f>
        <v>24</v>
      </c>
      <c r="AB16" s="3200">
        <f t="shared" si="5"/>
        <v>24</v>
      </c>
      <c r="AC16" s="3200">
        <f t="shared" si="5"/>
        <v>24</v>
      </c>
      <c r="AD16" s="3200">
        <f t="shared" si="5"/>
        <v>6</v>
      </c>
      <c r="AE16" s="3200">
        <f t="shared" si="5"/>
        <v>94</v>
      </c>
      <c r="AF16" s="3200">
        <f t="shared" si="5"/>
        <v>20</v>
      </c>
      <c r="AG16" s="3200">
        <f t="shared" si="5"/>
        <v>12</v>
      </c>
      <c r="AH16" s="3200">
        <f t="shared" si="5"/>
        <v>22</v>
      </c>
      <c r="AI16" s="3200">
        <f t="shared" si="5"/>
        <v>268</v>
      </c>
      <c r="AJ16" s="3200">
        <f t="shared" si="5"/>
        <v>130</v>
      </c>
      <c r="AK16" s="3200">
        <f t="shared" si="5"/>
        <v>44</v>
      </c>
      <c r="AL16" s="3071">
        <f t="shared" si="5"/>
        <v>0</v>
      </c>
      <c r="AM16" s="3071">
        <f t="shared" si="5"/>
        <v>0</v>
      </c>
      <c r="AN16" s="3071">
        <f t="shared" si="5"/>
        <v>0</v>
      </c>
      <c r="AO16" s="3071">
        <f t="shared" si="5"/>
        <v>0</v>
      </c>
      <c r="AP16" s="3071">
        <f t="shared" si="5"/>
        <v>0</v>
      </c>
      <c r="AQ16" s="3071">
        <f t="shared" si="5"/>
        <v>0</v>
      </c>
      <c r="AR16" s="3071">
        <f t="shared" si="5"/>
        <v>0</v>
      </c>
    </row>
    <row r="17" spans="1:45">
      <c r="C17" s="3705"/>
      <c r="D17" s="3701" t="s">
        <v>3171</v>
      </c>
      <c r="E17" s="3702"/>
      <c r="F17" s="3703"/>
      <c r="G17" s="3066">
        <f>G18+G19</f>
        <v>27603.07</v>
      </c>
      <c r="H17" s="3055" t="s">
        <v>3142</v>
      </c>
      <c r="I17" s="3055"/>
      <c r="J17" s="3120"/>
      <c r="M17" s="3044" t="s">
        <v>3371</v>
      </c>
      <c r="N17" s="3228">
        <f>P17</f>
        <v>0</v>
      </c>
      <c r="P17" s="3231">
        <v>0</v>
      </c>
      <c r="Y17" s="3058" t="s">
        <v>3210</v>
      </c>
      <c r="Z17" s="3232">
        <f>Z16/Y16</f>
        <v>9.7297297297297303E-2</v>
      </c>
      <c r="AA17" s="3232">
        <f>AA16/Y16</f>
        <v>3.2432432432432434E-2</v>
      </c>
      <c r="AB17" s="3232">
        <f>AB16/Y16</f>
        <v>3.2432432432432434E-2</v>
      </c>
      <c r="AC17" s="3232">
        <f>AC16/Y16</f>
        <v>3.2432432432432434E-2</v>
      </c>
      <c r="AD17" s="3232">
        <f>AD16/Y16</f>
        <v>8.1081081081081086E-3</v>
      </c>
      <c r="AE17" s="3232">
        <f>AE16/Y16</f>
        <v>0.12702702702702703</v>
      </c>
      <c r="AF17" s="3232">
        <f>AF16/Y16</f>
        <v>2.7027027027027029E-2</v>
      </c>
      <c r="AG17" s="3232">
        <f>AG16/Y16</f>
        <v>1.6216216216216217E-2</v>
      </c>
      <c r="AH17" s="3232">
        <f>AH16/Y16</f>
        <v>2.9729729729729731E-2</v>
      </c>
      <c r="AI17" s="3232">
        <f>AI16/Y16</f>
        <v>0.36216216216216218</v>
      </c>
      <c r="AJ17" s="3232">
        <f>AJ16/Y16</f>
        <v>0.17567567567567569</v>
      </c>
      <c r="AK17" s="3232">
        <f>AK16/Y16</f>
        <v>5.9459459459459463E-2</v>
      </c>
      <c r="AL17" s="3071"/>
      <c r="AM17" s="3071"/>
      <c r="AN17" s="3071"/>
      <c r="AO17" s="3071"/>
      <c r="AP17" s="3071"/>
      <c r="AQ17" s="3071"/>
      <c r="AR17" s="3071"/>
    </row>
    <row r="18" spans="1:45">
      <c r="C18" s="3705"/>
      <c r="D18" s="3700" t="s">
        <v>3149</v>
      </c>
      <c r="E18" s="3708" t="s">
        <v>3172</v>
      </c>
      <c r="F18" s="3708"/>
      <c r="G18" s="3079">
        <f>P18</f>
        <v>5778.2300000000005</v>
      </c>
      <c r="H18" s="3055" t="s">
        <v>3142</v>
      </c>
      <c r="I18" s="3055"/>
      <c r="J18" s="3120"/>
      <c r="L18" s="3769" t="s">
        <v>3209</v>
      </c>
      <c r="M18" s="3769"/>
      <c r="N18" s="3233">
        <f>SUM(N6:N17)</f>
        <v>79734.09</v>
      </c>
      <c r="O18" s="3233">
        <f>SUM(O6:O16)</f>
        <v>73955.859999999986</v>
      </c>
      <c r="P18" s="3233">
        <f>SUM(P6:P17)</f>
        <v>5778.2300000000005</v>
      </c>
      <c r="Q18" s="3233">
        <f>SUM(Q6:Q16)</f>
        <v>7556.61</v>
      </c>
      <c r="R18" s="3234">
        <f>SUM(R6:R15)</f>
        <v>740</v>
      </c>
      <c r="S18" s="3234">
        <f>SUM(S6:S15)</f>
        <v>2368</v>
      </c>
      <c r="T18" s="3235"/>
      <c r="U18" s="3235"/>
      <c r="V18" s="3235"/>
      <c r="W18" s="3233">
        <f>SUM(W6:W15)</f>
        <v>6305.5099999999993</v>
      </c>
      <c r="Y18" s="3236"/>
      <c r="Z18" s="3236"/>
      <c r="AA18" s="3236"/>
      <c r="AB18" s="3236"/>
      <c r="AC18" s="3236"/>
      <c r="AD18" s="3236"/>
      <c r="AE18" s="3236"/>
      <c r="AF18" s="3236"/>
      <c r="AG18" s="3236"/>
      <c r="AH18" s="3236"/>
      <c r="AI18" s="3236"/>
      <c r="AJ18" s="3236"/>
      <c r="AK18" s="3236"/>
      <c r="AL18" s="3236"/>
      <c r="AM18" s="3236"/>
      <c r="AN18" s="3236"/>
      <c r="AO18" s="3236"/>
      <c r="AP18" s="3236"/>
      <c r="AQ18" s="3236"/>
      <c r="AR18" s="3236"/>
      <c r="AS18" s="3236"/>
    </row>
    <row r="19" spans="1:45">
      <c r="C19" s="3706"/>
      <c r="D19" s="3700"/>
      <c r="E19" s="3707" t="s">
        <v>3173</v>
      </c>
      <c r="F19" s="3707"/>
      <c r="G19" s="3066">
        <f>N34</f>
        <v>21824.84</v>
      </c>
      <c r="H19" s="3055" t="s">
        <v>3142</v>
      </c>
      <c r="I19" s="3055" t="s">
        <v>3174</v>
      </c>
      <c r="J19" s="3120"/>
      <c r="Y19" s="3236"/>
      <c r="Z19" s="3236"/>
      <c r="AA19" s="3236"/>
      <c r="AB19" s="3236"/>
      <c r="AC19" s="3236"/>
      <c r="AD19" s="3236"/>
      <c r="AE19" s="3236"/>
      <c r="AF19" s="3236"/>
      <c r="AG19" s="3236"/>
      <c r="AH19" s="3236"/>
      <c r="AI19" s="3236"/>
      <c r="AJ19" s="3236"/>
      <c r="AK19" s="3236"/>
      <c r="AL19" s="3236"/>
      <c r="AM19" s="3236"/>
      <c r="AN19" s="3236"/>
      <c r="AO19" s="3236"/>
      <c r="AP19" s="3236"/>
      <c r="AQ19" s="3236"/>
      <c r="AR19" s="3236"/>
      <c r="AS19" s="3236"/>
    </row>
    <row r="20" spans="1:45">
      <c r="C20" s="3055" t="s">
        <v>3176</v>
      </c>
      <c r="D20" s="3701" t="s">
        <v>3177</v>
      </c>
      <c r="E20" s="3702"/>
      <c r="F20" s="3703"/>
      <c r="G20" s="3066">
        <f>G9/G7</f>
        <v>2.4495492457840946</v>
      </c>
      <c r="H20" s="3055"/>
      <c r="I20" s="3055"/>
      <c r="J20" s="3120"/>
      <c r="Y20" s="3236"/>
      <c r="Z20" s="3236"/>
      <c r="AA20" s="3236"/>
      <c r="AB20" s="3236"/>
      <c r="AC20" s="3236"/>
      <c r="AD20" s="3236"/>
      <c r="AE20" s="3236"/>
      <c r="AF20" s="3236"/>
      <c r="AG20" s="3236"/>
      <c r="AH20" s="3236"/>
      <c r="AI20" s="3236"/>
      <c r="AJ20" s="3236"/>
      <c r="AK20" s="3236"/>
      <c r="AL20" s="3236"/>
      <c r="AM20" s="3236"/>
      <c r="AN20" s="3236"/>
      <c r="AO20" s="3236"/>
      <c r="AP20" s="3236"/>
      <c r="AQ20" s="3236"/>
      <c r="AR20" s="3236"/>
      <c r="AS20" s="3236"/>
    </row>
    <row r="21" spans="1:45">
      <c r="C21" s="3055" t="s">
        <v>3179</v>
      </c>
      <c r="D21" s="3701" t="s">
        <v>3180</v>
      </c>
      <c r="E21" s="3702"/>
      <c r="F21" s="3703"/>
      <c r="G21" s="3093">
        <f>R18</f>
        <v>740</v>
      </c>
      <c r="H21" s="3055" t="s">
        <v>3181</v>
      </c>
      <c r="I21" s="3055"/>
      <c r="J21" s="3120"/>
      <c r="Y21" s="3236"/>
      <c r="Z21" s="3236"/>
      <c r="AA21" s="3236"/>
      <c r="AB21" s="3236"/>
      <c r="AC21" s="3236"/>
      <c r="AD21" s="3236"/>
      <c r="AE21" s="3236"/>
      <c r="AF21" s="3236"/>
      <c r="AG21" s="3236"/>
      <c r="AH21" s="3236"/>
      <c r="AI21" s="3236"/>
      <c r="AJ21" s="3236"/>
      <c r="AK21" s="3236"/>
      <c r="AL21" s="3236"/>
      <c r="AM21" s="3236"/>
      <c r="AN21" s="3236"/>
      <c r="AO21" s="3236"/>
      <c r="AP21" s="3236"/>
      <c r="AQ21" s="3236"/>
      <c r="AR21" s="3236"/>
      <c r="AS21" s="3236"/>
    </row>
    <row r="22" spans="1:45">
      <c r="C22" s="3055" t="s">
        <v>3183</v>
      </c>
      <c r="D22" s="3701" t="s">
        <v>3184</v>
      </c>
      <c r="E22" s="3702"/>
      <c r="F22" s="3703"/>
      <c r="G22" s="3066">
        <v>3.2</v>
      </c>
      <c r="H22" s="3055" t="s">
        <v>3185</v>
      </c>
      <c r="I22" s="3055"/>
      <c r="J22" s="3120"/>
      <c r="Y22" s="3236"/>
      <c r="Z22" s="3236"/>
      <c r="AA22" s="3236"/>
      <c r="AB22" s="3236"/>
      <c r="AC22" s="3236"/>
      <c r="AD22" s="3236"/>
      <c r="AE22" s="3236"/>
      <c r="AF22" s="3236"/>
      <c r="AG22" s="3236"/>
      <c r="AH22" s="3236"/>
      <c r="AI22" s="3236"/>
      <c r="AJ22" s="3236"/>
      <c r="AK22" s="3236"/>
      <c r="AL22" s="3236"/>
      <c r="AM22" s="3236"/>
      <c r="AN22" s="3236"/>
      <c r="AO22" s="3236"/>
      <c r="AP22" s="3236"/>
      <c r="AQ22" s="3236"/>
      <c r="AR22" s="3236"/>
      <c r="AS22" s="3236"/>
    </row>
    <row r="23" spans="1:45">
      <c r="C23" s="3055" t="s">
        <v>3187</v>
      </c>
      <c r="D23" s="3701" t="s">
        <v>3188</v>
      </c>
      <c r="E23" s="3702"/>
      <c r="F23" s="3703"/>
      <c r="G23" s="3091">
        <f>G21*G22</f>
        <v>2368</v>
      </c>
      <c r="H23" s="3055" t="s">
        <v>3189</v>
      </c>
      <c r="I23" s="3055"/>
      <c r="J23" s="3120"/>
      <c r="Y23" s="3236"/>
      <c r="Z23" s="3236"/>
      <c r="AA23" s="3236"/>
      <c r="AB23" s="3236"/>
      <c r="AC23" s="3236"/>
      <c r="AD23" s="3236"/>
      <c r="AE23" s="3236"/>
      <c r="AF23" s="3236"/>
      <c r="AG23" s="3236"/>
      <c r="AH23" s="3236"/>
      <c r="AI23" s="3236"/>
      <c r="AJ23" s="3236"/>
      <c r="AK23" s="3236"/>
      <c r="AL23" s="3236"/>
      <c r="AM23" s="3236"/>
      <c r="AN23" s="3236"/>
      <c r="AO23" s="3236"/>
      <c r="AP23" s="3236"/>
      <c r="AQ23" s="3236"/>
      <c r="AR23" s="3236"/>
      <c r="AS23" s="3236"/>
    </row>
    <row r="24" spans="1:45">
      <c r="C24" s="3055" t="s">
        <v>3191</v>
      </c>
      <c r="D24" s="3701" t="s">
        <v>3192</v>
      </c>
      <c r="E24" s="3702"/>
      <c r="F24" s="3703"/>
      <c r="G24" s="3066">
        <f>Q18/G7*100</f>
        <v>25.028832503853721</v>
      </c>
      <c r="H24" s="3055" t="s">
        <v>3193</v>
      </c>
      <c r="I24" s="3055"/>
      <c r="J24" s="3120"/>
      <c r="Y24" s="3236"/>
      <c r="Z24" s="3236"/>
      <c r="AA24" s="3236"/>
      <c r="AB24" s="3236"/>
      <c r="AC24" s="3236"/>
      <c r="AD24" s="3236"/>
      <c r="AE24" s="3236"/>
      <c r="AF24" s="3236"/>
      <c r="AG24" s="3236"/>
      <c r="AH24" s="3236"/>
      <c r="AI24" s="3236"/>
      <c r="AJ24" s="3236"/>
      <c r="AK24" s="3236"/>
      <c r="AL24" s="3236"/>
      <c r="AM24" s="3236"/>
      <c r="AN24" s="3236"/>
      <c r="AO24" s="3236"/>
      <c r="AP24" s="3236"/>
      <c r="AQ24" s="3236"/>
      <c r="AR24" s="3236"/>
      <c r="AS24" s="3236"/>
    </row>
    <row r="25" spans="1:45">
      <c r="C25" s="3055" t="s">
        <v>3195</v>
      </c>
      <c r="D25" s="3701" t="s">
        <v>3196</v>
      </c>
      <c r="E25" s="3702"/>
      <c r="F25" s="3703"/>
      <c r="G25" s="3066">
        <v>30.1</v>
      </c>
      <c r="H25" s="3055" t="s">
        <v>3193</v>
      </c>
      <c r="I25" s="3055"/>
      <c r="J25" s="3120"/>
      <c r="Y25" s="3236"/>
      <c r="Z25" s="3236"/>
      <c r="AA25" s="3236"/>
      <c r="AB25" s="3236"/>
      <c r="AC25" s="3236"/>
      <c r="AD25" s="3236"/>
      <c r="AE25" s="3236"/>
      <c r="AF25" s="3236"/>
      <c r="AG25" s="3236"/>
      <c r="AH25" s="3236"/>
      <c r="AI25" s="3236"/>
      <c r="AJ25" s="3236"/>
      <c r="AK25" s="3236"/>
      <c r="AL25" s="3236"/>
      <c r="AM25" s="3236"/>
      <c r="AN25" s="3236"/>
      <c r="AO25" s="3236"/>
      <c r="AP25" s="3236"/>
      <c r="AQ25" s="3236"/>
      <c r="AR25" s="3236"/>
      <c r="AS25" s="3236"/>
    </row>
    <row r="26" spans="1:45">
      <c r="C26" s="3055" t="s">
        <v>3197</v>
      </c>
      <c r="D26" s="3711" t="s">
        <v>3198</v>
      </c>
      <c r="E26" s="3712"/>
      <c r="F26" s="3713"/>
      <c r="G26" s="3199">
        <f>G27+G28</f>
        <v>797</v>
      </c>
      <c r="H26" s="3055" t="s">
        <v>3199</v>
      </c>
      <c r="I26" s="3055"/>
      <c r="J26" s="3173">
        <f>G21*1+G15/10000*65</f>
        <v>740</v>
      </c>
      <c r="Y26" s="3236"/>
      <c r="Z26" s="3236"/>
      <c r="AA26" s="3236"/>
      <c r="AB26" s="3236"/>
      <c r="AC26" s="3236"/>
      <c r="AD26" s="3236"/>
      <c r="AE26" s="3236"/>
      <c r="AF26" s="3236"/>
      <c r="AG26" s="3236"/>
      <c r="AH26" s="3236"/>
      <c r="AI26" s="3236"/>
      <c r="AJ26" s="3236"/>
      <c r="AK26" s="3236"/>
      <c r="AL26" s="3236"/>
      <c r="AM26" s="3236"/>
      <c r="AN26" s="3236"/>
      <c r="AO26" s="3236"/>
      <c r="AP26" s="3236"/>
      <c r="AQ26" s="3236"/>
      <c r="AR26" s="3236"/>
      <c r="AS26" s="3236"/>
    </row>
    <row r="27" spans="1:45">
      <c r="C27" s="3700"/>
      <c r="D27" s="3708" t="s">
        <v>3149</v>
      </c>
      <c r="E27" s="3711" t="s">
        <v>3201</v>
      </c>
      <c r="F27" s="3703"/>
      <c r="G27" s="3199">
        <v>149</v>
      </c>
      <c r="H27" s="3055" t="s">
        <v>3199</v>
      </c>
      <c r="I27" s="3055"/>
      <c r="J27" s="3173">
        <f>J26*0.2</f>
        <v>148</v>
      </c>
      <c r="Y27" s="3236"/>
      <c r="Z27" s="3236"/>
      <c r="AA27" s="3236"/>
      <c r="AB27" s="3236"/>
      <c r="AC27" s="3236"/>
      <c r="AD27" s="3236"/>
      <c r="AE27" s="3236"/>
      <c r="AF27" s="3236"/>
      <c r="AG27" s="3236"/>
      <c r="AH27" s="3236"/>
      <c r="AI27" s="3236"/>
      <c r="AJ27" s="3236"/>
      <c r="AK27" s="3236"/>
      <c r="AL27" s="3236"/>
      <c r="AM27" s="3236"/>
      <c r="AN27" s="3236"/>
      <c r="AO27" s="3236"/>
      <c r="AP27" s="3236"/>
      <c r="AQ27" s="3236"/>
      <c r="AR27" s="3236"/>
      <c r="AS27" s="3236"/>
    </row>
    <row r="28" spans="1:45">
      <c r="A28" s="3096">
        <f>G28+'[1]3.5（五期）指标'!G28+'[1]3.6（六期）指标'!G29</f>
        <v>2443</v>
      </c>
      <c r="C28" s="3700"/>
      <c r="D28" s="3708"/>
      <c r="E28" s="3711" t="s">
        <v>3203</v>
      </c>
      <c r="F28" s="3703"/>
      <c r="G28" s="3199">
        <v>648</v>
      </c>
      <c r="H28" s="3055" t="s">
        <v>3199</v>
      </c>
      <c r="I28" s="3055"/>
      <c r="J28" s="3173">
        <f>J26-J27</f>
        <v>592</v>
      </c>
    </row>
    <row r="34" spans="3:21">
      <c r="C34" s="3606" t="s">
        <v>3211</v>
      </c>
      <c r="D34" s="3607"/>
      <c r="E34" s="3607"/>
      <c r="F34" s="3607"/>
      <c r="G34" s="3607"/>
      <c r="L34" s="3746" t="s">
        <v>3372</v>
      </c>
      <c r="M34" s="3747"/>
      <c r="N34" s="3237">
        <f>SUM(N35:N37)</f>
        <v>21824.84</v>
      </c>
      <c r="O34" s="3237"/>
      <c r="P34" s="3237"/>
      <c r="Q34" s="3237"/>
      <c r="R34" s="3226"/>
      <c r="S34" s="3226"/>
      <c r="T34" s="3237"/>
      <c r="U34" s="3237"/>
    </row>
    <row r="35" spans="3:21">
      <c r="C35" s="3113"/>
      <c r="D35" s="3113"/>
      <c r="E35" s="3114" t="s">
        <v>3214</v>
      </c>
      <c r="F35" s="3059" t="s">
        <v>3215</v>
      </c>
      <c r="G35" s="3059" t="s">
        <v>3216</v>
      </c>
      <c r="L35" s="3770" t="s">
        <v>3149</v>
      </c>
      <c r="M35" s="3238" t="s">
        <v>3373</v>
      </c>
      <c r="N35" s="3216"/>
      <c r="O35" s="3216"/>
      <c r="P35" s="3237"/>
      <c r="Q35" s="3237"/>
      <c r="R35" s="3226"/>
      <c r="S35" s="3226"/>
      <c r="T35" s="3237"/>
      <c r="U35" s="3237"/>
    </row>
    <row r="36" spans="3:21">
      <c r="C36" s="3612" t="s">
        <v>3217</v>
      </c>
      <c r="D36" s="3115" t="s">
        <v>3218</v>
      </c>
      <c r="E36" s="3116"/>
      <c r="F36" s="3059"/>
      <c r="G36" s="3059"/>
      <c r="L36" s="3772"/>
      <c r="M36" s="3216" t="s">
        <v>3223</v>
      </c>
      <c r="N36" s="3237"/>
      <c r="O36" s="3237"/>
      <c r="P36" s="3237"/>
      <c r="Q36" s="3237"/>
      <c r="R36" s="3226"/>
      <c r="S36" s="3226"/>
      <c r="T36" s="3237"/>
      <c r="U36" s="3237"/>
    </row>
    <row r="37" spans="3:21">
      <c r="C37" s="3613"/>
      <c r="D37" s="3115" t="s">
        <v>3219</v>
      </c>
      <c r="E37" s="3116"/>
      <c r="F37" s="3059"/>
      <c r="G37" s="3059"/>
      <c r="L37" s="3773"/>
      <c r="M37" s="3216" t="s">
        <v>48</v>
      </c>
      <c r="N37" s="3237">
        <v>21824.84</v>
      </c>
      <c r="O37" s="3237"/>
      <c r="P37" s="3237"/>
      <c r="Q37" s="3237"/>
      <c r="R37" s="3226"/>
      <c r="S37" s="3226"/>
      <c r="T37" s="3237"/>
      <c r="U37" s="3237"/>
    </row>
    <row r="38" spans="3:21" ht="14.25" thickBot="1">
      <c r="C38" s="3615" t="s">
        <v>3221</v>
      </c>
      <c r="D38" s="3115" t="s">
        <v>3222</v>
      </c>
      <c r="E38" s="3616">
        <f>G15</f>
        <v>0</v>
      </c>
      <c r="F38" s="3059"/>
      <c r="G38" s="3059"/>
      <c r="L38" s="3209"/>
      <c r="M38" s="3209"/>
      <c r="N38" s="3210"/>
      <c r="O38" s="3210"/>
      <c r="P38" s="3210"/>
      <c r="Q38" s="3210"/>
      <c r="R38" s="3211"/>
      <c r="S38" s="3211"/>
      <c r="T38" s="3210"/>
      <c r="U38" s="3210"/>
    </row>
    <row r="39" spans="3:21">
      <c r="C39" s="3615"/>
      <c r="D39" s="3115" t="s">
        <v>3224</v>
      </c>
      <c r="E39" s="3617"/>
      <c r="F39" s="3059"/>
      <c r="G39" s="3059"/>
    </row>
    <row r="40" spans="3:21">
      <c r="C40" s="3615"/>
      <c r="D40" s="3115" t="s">
        <v>3226</v>
      </c>
      <c r="E40" s="3617"/>
      <c r="F40" s="3059"/>
      <c r="G40" s="3059"/>
    </row>
    <row r="41" spans="3:21">
      <c r="C41" s="3615"/>
      <c r="D41" s="3115" t="s">
        <v>3228</v>
      </c>
      <c r="E41" s="3617"/>
      <c r="F41" s="3059"/>
      <c r="G41" s="3059"/>
      <c r="N41" s="3065">
        <f>N34+'[1]3.5（五期）指标'!N34+'[1]3.6（六期）指标'!N37</f>
        <v>81668.58</v>
      </c>
    </row>
    <row r="42" spans="3:21">
      <c r="C42" s="3615"/>
      <c r="D42" s="3115" t="s">
        <v>3230</v>
      </c>
      <c r="E42" s="3618"/>
      <c r="F42" s="3059"/>
      <c r="G42" s="3059"/>
      <c r="N42" s="3044">
        <v>10000</v>
      </c>
      <c r="O42" s="3044">
        <f>N42/N41</f>
        <v>0.12244611085438242</v>
      </c>
    </row>
    <row r="43" spans="3:21">
      <c r="C43" s="3113"/>
      <c r="D43" s="3113"/>
      <c r="E43" s="3116"/>
      <c r="F43" s="3059"/>
      <c r="G43" s="3059"/>
    </row>
    <row r="44" spans="3:21">
      <c r="C44" s="3084" t="s">
        <v>3231</v>
      </c>
      <c r="D44" s="3119" t="s">
        <v>3232</v>
      </c>
      <c r="E44" s="3116"/>
      <c r="F44" s="3059"/>
      <c r="G44" s="3059"/>
    </row>
    <row r="45" spans="3:21">
      <c r="C45" s="3115"/>
      <c r="D45" s="3120"/>
      <c r="E45" s="3120"/>
      <c r="F45" s="3059"/>
      <c r="G45" s="3059"/>
    </row>
    <row r="46" spans="3:21">
      <c r="C46" s="3605" t="s">
        <v>3233</v>
      </c>
      <c r="D46" s="3119" t="s">
        <v>3234</v>
      </c>
      <c r="E46" s="3116"/>
      <c r="F46" s="3059"/>
      <c r="G46" s="3059"/>
    </row>
    <row r="47" spans="3:21">
      <c r="C47" s="3605"/>
      <c r="D47" s="3115" t="s">
        <v>3235</v>
      </c>
      <c r="E47" s="3116"/>
      <c r="F47" s="3059"/>
      <c r="G47" s="3059"/>
    </row>
    <row r="48" spans="3:21">
      <c r="C48" s="3121"/>
      <c r="D48" s="3113"/>
      <c r="E48" s="3116"/>
      <c r="F48" s="3059"/>
      <c r="G48" s="3059"/>
    </row>
    <row r="49" spans="3:7">
      <c r="C49" s="3113"/>
      <c r="D49" s="3113"/>
      <c r="E49" s="3116"/>
      <c r="F49" s="3059"/>
      <c r="G49" s="3059"/>
    </row>
    <row r="50" spans="3:7">
      <c r="C50" s="3620" t="s">
        <v>3236</v>
      </c>
      <c r="D50" s="3119" t="s">
        <v>3271</v>
      </c>
      <c r="E50" s="3622"/>
      <c r="F50" s="3059"/>
      <c r="G50" s="3059"/>
    </row>
    <row r="51" spans="3:7">
      <c r="C51" s="3621"/>
      <c r="D51" s="3119" t="s">
        <v>3272</v>
      </c>
      <c r="E51" s="3618"/>
      <c r="F51" s="3059"/>
      <c r="G51" s="3059"/>
    </row>
    <row r="52" spans="3:7">
      <c r="C52" s="3113"/>
      <c r="D52" s="3113"/>
      <c r="E52" s="3116"/>
      <c r="F52" s="3059"/>
      <c r="G52" s="3059"/>
    </row>
    <row r="53" spans="3:7">
      <c r="C53" s="3620" t="s">
        <v>3273</v>
      </c>
      <c r="D53" s="3119" t="s">
        <v>3274</v>
      </c>
      <c r="E53" s="3116"/>
      <c r="F53" s="3059"/>
      <c r="G53" s="3059"/>
    </row>
    <row r="54" spans="3:7">
      <c r="C54" s="3623"/>
      <c r="D54" s="3119" t="s">
        <v>3275</v>
      </c>
      <c r="E54" s="3116"/>
      <c r="F54" s="3059"/>
      <c r="G54" s="3059"/>
    </row>
    <row r="55" spans="3:7">
      <c r="C55" s="3623"/>
      <c r="D55" s="3119" t="s">
        <v>3276</v>
      </c>
      <c r="E55" s="3116"/>
      <c r="F55" s="3059"/>
      <c r="G55" s="3059"/>
    </row>
    <row r="56" spans="3:7">
      <c r="C56" s="3623"/>
      <c r="D56" s="3119" t="s">
        <v>3277</v>
      </c>
      <c r="E56" s="3116"/>
      <c r="F56" s="3059"/>
      <c r="G56" s="3059"/>
    </row>
    <row r="57" spans="3:7">
      <c r="C57" s="3621"/>
      <c r="D57" s="3115" t="s">
        <v>3278</v>
      </c>
      <c r="E57" s="3116">
        <f>O8</f>
        <v>806.38</v>
      </c>
      <c r="F57" s="3059"/>
      <c r="G57" s="3059"/>
    </row>
    <row r="58" spans="3:7">
      <c r="C58" s="3615" t="s">
        <v>3279</v>
      </c>
      <c r="D58" s="3115" t="s">
        <v>3280</v>
      </c>
      <c r="E58" s="3116"/>
      <c r="F58" s="3059"/>
      <c r="G58" s="3059"/>
    </row>
    <row r="59" spans="3:7">
      <c r="C59" s="3615"/>
      <c r="D59" s="3119" t="s">
        <v>3281</v>
      </c>
      <c r="E59" s="3116"/>
      <c r="F59" s="3059"/>
      <c r="G59" s="3059"/>
    </row>
    <row r="60" spans="3:7">
      <c r="C60" s="3615"/>
      <c r="D60" s="3119" t="s">
        <v>3282</v>
      </c>
      <c r="E60" s="3116"/>
      <c r="F60" s="3059"/>
      <c r="G60" s="3059"/>
    </row>
    <row r="61" spans="3:7">
      <c r="C61" s="3615"/>
      <c r="D61" s="3115" t="s">
        <v>3283</v>
      </c>
      <c r="E61" s="3116"/>
      <c r="F61" s="3059"/>
      <c r="G61" s="3059"/>
    </row>
    <row r="62" spans="3:7">
      <c r="C62" s="3615"/>
      <c r="D62" s="3115" t="s">
        <v>3284</v>
      </c>
      <c r="E62" s="3116"/>
      <c r="F62" s="3059"/>
      <c r="G62" s="3059"/>
    </row>
    <row r="63" spans="3:7">
      <c r="C63" s="3615"/>
      <c r="D63" s="3115"/>
      <c r="E63" s="3116"/>
      <c r="F63" s="3059"/>
      <c r="G63" s="3059"/>
    </row>
    <row r="64" spans="3:7">
      <c r="C64" s="3615"/>
      <c r="D64" s="3115" t="s">
        <v>3285</v>
      </c>
      <c r="E64" s="3116"/>
      <c r="F64" s="3059"/>
      <c r="G64" s="3059"/>
    </row>
    <row r="65" spans="3:7">
      <c r="C65" s="3615"/>
      <c r="D65" s="3115" t="s">
        <v>3286</v>
      </c>
      <c r="E65" s="3116"/>
      <c r="F65" s="3059"/>
      <c r="G65" s="3059"/>
    </row>
    <row r="66" spans="3:7">
      <c r="C66" s="3615"/>
      <c r="D66" s="3115" t="s">
        <v>3287</v>
      </c>
      <c r="E66" s="3116"/>
      <c r="F66" s="3059"/>
      <c r="G66" s="3059"/>
    </row>
    <row r="67" spans="3:7">
      <c r="C67" s="3615"/>
      <c r="D67" s="3115" t="s">
        <v>3288</v>
      </c>
      <c r="E67" s="3116"/>
      <c r="F67" s="3059"/>
      <c r="G67" s="3059"/>
    </row>
    <row r="68" spans="3:7">
      <c r="C68" s="3615"/>
      <c r="D68" s="3115" t="s">
        <v>3289</v>
      </c>
      <c r="E68" s="3116"/>
      <c r="F68" s="3059"/>
      <c r="G68" s="3059"/>
    </row>
    <row r="69" spans="3:7">
      <c r="C69" s="3058" t="s">
        <v>3209</v>
      </c>
      <c r="D69" s="3058"/>
      <c r="E69" s="3058">
        <f>SUM(E36:E68)</f>
        <v>806.38</v>
      </c>
      <c r="F69" s="3058"/>
      <c r="G69" s="3059"/>
    </row>
    <row r="70" spans="3:7">
      <c r="C70" s="3120"/>
      <c r="D70" s="3120"/>
      <c r="E70" s="3120"/>
    </row>
    <row r="71" spans="3:7">
      <c r="C71" s="3122" t="s">
        <v>3290</v>
      </c>
      <c r="D71" s="3123" t="s">
        <v>3291</v>
      </c>
      <c r="E71" s="3120"/>
    </row>
  </sheetData>
  <mergeCells count="52">
    <mergeCell ref="C50:C51"/>
    <mergeCell ref="E50:E51"/>
    <mergeCell ref="C53:C57"/>
    <mergeCell ref="C58:C68"/>
    <mergeCell ref="L34:M34"/>
    <mergeCell ref="L35:L37"/>
    <mergeCell ref="C36:C37"/>
    <mergeCell ref="C38:C42"/>
    <mergeCell ref="E38:E42"/>
    <mergeCell ref="C46:C47"/>
    <mergeCell ref="C34:G34"/>
    <mergeCell ref="D26:F26"/>
    <mergeCell ref="C27:C28"/>
    <mergeCell ref="D27:D28"/>
    <mergeCell ref="E27:F27"/>
    <mergeCell ref="E28:F28"/>
    <mergeCell ref="L14:M14"/>
    <mergeCell ref="E15:F15"/>
    <mergeCell ref="L15:M15"/>
    <mergeCell ref="D25:F25"/>
    <mergeCell ref="E16:F16"/>
    <mergeCell ref="D17:F17"/>
    <mergeCell ref="D18:D19"/>
    <mergeCell ref="E18:F18"/>
    <mergeCell ref="D20:F20"/>
    <mergeCell ref="D21:F21"/>
    <mergeCell ref="D22:F22"/>
    <mergeCell ref="D23:F23"/>
    <mergeCell ref="D24:F24"/>
    <mergeCell ref="D8:F8"/>
    <mergeCell ref="L8:M8"/>
    <mergeCell ref="C9:C19"/>
    <mergeCell ref="D9:F9"/>
    <mergeCell ref="L9:M9"/>
    <mergeCell ref="D10:D16"/>
    <mergeCell ref="E10:F10"/>
    <mergeCell ref="L10:M10"/>
    <mergeCell ref="E11:E12"/>
    <mergeCell ref="L11:M11"/>
    <mergeCell ref="L18:M18"/>
    <mergeCell ref="E19:F19"/>
    <mergeCell ref="L12:M12"/>
    <mergeCell ref="E13:F13"/>
    <mergeCell ref="L13:M13"/>
    <mergeCell ref="E14:F14"/>
    <mergeCell ref="D7:F7"/>
    <mergeCell ref="L7:M7"/>
    <mergeCell ref="K4:V4"/>
    <mergeCell ref="C5:I5"/>
    <mergeCell ref="L5:M5"/>
    <mergeCell ref="D6:F6"/>
    <mergeCell ref="L6:M6"/>
  </mergeCells>
  <phoneticPr fontId="1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BH86"/>
  <sheetViews>
    <sheetView zoomScaleNormal="100" workbookViewId="0">
      <selection activeCell="Q44" sqref="Q44"/>
    </sheetView>
  </sheetViews>
  <sheetFormatPr defaultRowHeight="13.5"/>
  <cols>
    <col min="1" max="3" width="9" style="3044"/>
    <col min="4" max="4" width="15.25" style="3044" customWidth="1"/>
    <col min="5" max="5" width="14.375" style="3044" customWidth="1"/>
    <col min="6" max="6" width="18" style="3044" customWidth="1"/>
    <col min="7" max="7" width="16.25" style="3044" customWidth="1"/>
    <col min="8" max="12" width="9" style="3044"/>
    <col min="13" max="13" width="13.25" style="3044" customWidth="1"/>
    <col min="14" max="14" width="11.5" style="3044" customWidth="1"/>
    <col min="15" max="17" width="10.5" style="3044" bestFit="1" customWidth="1"/>
    <col min="18" max="22" width="9" style="3044"/>
    <col min="23" max="23" width="10.5" style="3044" bestFit="1" customWidth="1"/>
    <col min="24" max="16384" width="9" style="3044"/>
  </cols>
  <sheetData>
    <row r="2" spans="3:44">
      <c r="C2" s="3044" t="s">
        <v>3314</v>
      </c>
    </row>
    <row r="4" spans="3:44" ht="14.25" thickBot="1">
      <c r="K4" s="3719" t="s">
        <v>3292</v>
      </c>
      <c r="L4" s="3720"/>
      <c r="M4" s="3720"/>
      <c r="N4" s="3720"/>
      <c r="O4" s="3720"/>
      <c r="P4" s="3720"/>
      <c r="Q4" s="3720"/>
      <c r="R4" s="3720"/>
      <c r="S4" s="3720"/>
      <c r="T4" s="3720"/>
      <c r="U4" s="3720"/>
      <c r="V4" s="3721"/>
      <c r="W4" s="3120"/>
      <c r="Y4" s="3044" t="s">
        <v>3058</v>
      </c>
    </row>
    <row r="5" spans="3:44" ht="81">
      <c r="C5" s="3776" t="s">
        <v>3315</v>
      </c>
      <c r="D5" s="3777"/>
      <c r="E5" s="3777"/>
      <c r="F5" s="3777"/>
      <c r="G5" s="3777"/>
      <c r="H5" s="3777"/>
      <c r="I5" s="3778"/>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051"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054" t="s">
        <v>3260</v>
      </c>
      <c r="AM5" s="3054" t="s">
        <v>3261</v>
      </c>
      <c r="AN5" s="3054" t="s">
        <v>3262</v>
      </c>
      <c r="AO5" s="3054" t="s">
        <v>3263</v>
      </c>
      <c r="AP5" s="3054" t="s">
        <v>3264</v>
      </c>
      <c r="AQ5" s="3054" t="s">
        <v>3265</v>
      </c>
      <c r="AR5" s="3054" t="s">
        <v>3266</v>
      </c>
    </row>
    <row r="6" spans="3:44">
      <c r="C6" s="3055" t="s">
        <v>3134</v>
      </c>
      <c r="D6" s="3700" t="s">
        <v>3135</v>
      </c>
      <c r="E6" s="3700"/>
      <c r="F6" s="3700"/>
      <c r="G6" s="3055" t="s">
        <v>3136</v>
      </c>
      <c r="H6" s="3055" t="s">
        <v>3137</v>
      </c>
      <c r="I6" s="3055" t="s">
        <v>3110</v>
      </c>
      <c r="J6" s="3120"/>
      <c r="L6" s="3774" t="s">
        <v>3316</v>
      </c>
      <c r="M6" s="3775"/>
      <c r="N6" s="3178">
        <f t="shared" ref="N6:N7" si="0">O6+P6</f>
        <v>7492.8</v>
      </c>
      <c r="O6" s="3179">
        <v>7320.2</v>
      </c>
      <c r="P6" s="3178">
        <v>172.6</v>
      </c>
      <c r="Q6" s="3143">
        <v>681.43</v>
      </c>
      <c r="R6" s="3180">
        <f>11*2*3</f>
        <v>66</v>
      </c>
      <c r="S6" s="3180">
        <f t="shared" ref="S6:S7" si="1">R6*3.2</f>
        <v>211.20000000000002</v>
      </c>
      <c r="T6" s="3181" t="s">
        <v>3148</v>
      </c>
      <c r="U6" s="3181">
        <v>34.799999999999997</v>
      </c>
      <c r="V6" s="3182"/>
      <c r="W6" s="3183">
        <v>652.79</v>
      </c>
      <c r="Y6" s="3058">
        <f>SUM(Z6:AR6)</f>
        <v>66</v>
      </c>
      <c r="Z6" s="3092"/>
      <c r="AA6" s="3092"/>
      <c r="AB6" s="3092"/>
      <c r="AC6" s="3092"/>
      <c r="AD6" s="3084"/>
      <c r="AE6" s="3084"/>
      <c r="AF6" s="3084"/>
      <c r="AG6" s="3084"/>
      <c r="AH6" s="3072">
        <v>3</v>
      </c>
      <c r="AI6" s="3072">
        <v>37</v>
      </c>
      <c r="AJ6" s="3072">
        <v>20</v>
      </c>
      <c r="AK6" s="3072">
        <v>6</v>
      </c>
      <c r="AL6" s="3071"/>
      <c r="AM6" s="3071"/>
      <c r="AN6" s="3071"/>
      <c r="AO6" s="3071"/>
      <c r="AP6" s="3071"/>
      <c r="AQ6" s="3071"/>
      <c r="AR6" s="3071"/>
    </row>
    <row r="7" spans="3:44">
      <c r="C7" s="3055" t="s">
        <v>3140</v>
      </c>
      <c r="D7" s="3701" t="s">
        <v>3141</v>
      </c>
      <c r="E7" s="3702"/>
      <c r="F7" s="3703"/>
      <c r="G7" s="3066">
        <v>48829.36</v>
      </c>
      <c r="H7" s="3055" t="s">
        <v>3142</v>
      </c>
      <c r="I7" s="3055"/>
      <c r="J7" s="3120"/>
      <c r="L7" s="3774" t="s">
        <v>3317</v>
      </c>
      <c r="M7" s="3775"/>
      <c r="N7" s="3108">
        <f t="shared" si="0"/>
        <v>11135.68</v>
      </c>
      <c r="O7" s="3184">
        <v>10874.37</v>
      </c>
      <c r="P7" s="3185">
        <v>261.31</v>
      </c>
      <c r="Q7" s="3181">
        <v>996.38</v>
      </c>
      <c r="R7" s="3180">
        <f>11*2*3+12*6</f>
        <v>138</v>
      </c>
      <c r="S7" s="3180">
        <f t="shared" si="1"/>
        <v>441.6</v>
      </c>
      <c r="T7" s="3050" t="s">
        <v>3148</v>
      </c>
      <c r="U7" s="3050">
        <v>34.799999999999997</v>
      </c>
      <c r="V7" s="3182"/>
      <c r="W7" s="3108">
        <v>949.94</v>
      </c>
      <c r="Y7" s="3058">
        <f t="shared" ref="Y7:Y44" si="2">SUM(Z7:AR7)</f>
        <v>138</v>
      </c>
      <c r="Z7" s="3186">
        <v>36</v>
      </c>
      <c r="AA7" s="3186">
        <v>12</v>
      </c>
      <c r="AB7" s="3186">
        <v>12</v>
      </c>
      <c r="AC7" s="3186">
        <v>12</v>
      </c>
      <c r="AD7" s="3084">
        <v>3</v>
      </c>
      <c r="AE7" s="3084">
        <v>47</v>
      </c>
      <c r="AF7" s="3084">
        <v>10</v>
      </c>
      <c r="AG7" s="3084">
        <v>6</v>
      </c>
      <c r="AH7" s="3187"/>
      <c r="AI7" s="3187"/>
      <c r="AJ7" s="3187"/>
      <c r="AK7" s="3187"/>
      <c r="AL7" s="3059"/>
      <c r="AM7" s="3059"/>
      <c r="AN7" s="3059"/>
      <c r="AO7" s="3059"/>
      <c r="AP7" s="3059"/>
      <c r="AQ7" s="3059"/>
      <c r="AR7" s="3071"/>
    </row>
    <row r="8" spans="3:44">
      <c r="C8" s="3055" t="s">
        <v>3145</v>
      </c>
      <c r="D8" s="3700" t="s">
        <v>3146</v>
      </c>
      <c r="E8" s="3700"/>
      <c r="F8" s="3700"/>
      <c r="G8" s="3066">
        <f>G9+G17</f>
        <v>90933.229999999981</v>
      </c>
      <c r="H8" s="3055" t="s">
        <v>3142</v>
      </c>
      <c r="I8" s="3055"/>
      <c r="J8" s="3120"/>
      <c r="L8" s="3774" t="s">
        <v>3318</v>
      </c>
      <c r="M8" s="3775"/>
      <c r="N8" s="3108">
        <f>O8</f>
        <v>806.38</v>
      </c>
      <c r="O8" s="3181">
        <v>806.38</v>
      </c>
      <c r="P8" s="3181" t="s">
        <v>70</v>
      </c>
      <c r="Q8" s="3181">
        <v>403.18</v>
      </c>
      <c r="R8" s="3181" t="s">
        <v>70</v>
      </c>
      <c r="S8" s="3181" t="s">
        <v>70</v>
      </c>
      <c r="T8" s="3181" t="s">
        <v>3144</v>
      </c>
      <c r="U8" s="3181">
        <v>7.8</v>
      </c>
      <c r="V8" s="3182"/>
      <c r="W8" s="3183">
        <v>16.13</v>
      </c>
      <c r="Y8" s="3058">
        <f t="shared" si="2"/>
        <v>0</v>
      </c>
      <c r="Z8" s="3071"/>
      <c r="AA8" s="3071"/>
      <c r="AB8" s="3071"/>
      <c r="AC8" s="3071"/>
      <c r="AD8" s="3071"/>
      <c r="AE8" s="3071"/>
      <c r="AF8" s="3071"/>
      <c r="AG8" s="3071"/>
      <c r="AH8" s="3187"/>
      <c r="AI8" s="3187"/>
      <c r="AJ8" s="3187"/>
      <c r="AK8" s="3187"/>
      <c r="AL8" s="3059"/>
      <c r="AM8" s="3059"/>
      <c r="AN8" s="3059"/>
      <c r="AO8" s="3059"/>
      <c r="AP8" s="3059"/>
      <c r="AQ8" s="3059"/>
      <c r="AR8" s="3071"/>
    </row>
    <row r="9" spans="3:44">
      <c r="C9" s="3704" t="s">
        <v>3149</v>
      </c>
      <c r="D9" s="3700" t="s">
        <v>3150</v>
      </c>
      <c r="E9" s="3700"/>
      <c r="F9" s="3700"/>
      <c r="G9" s="3066">
        <f>G10+G15+G16</f>
        <v>57628.499999999985</v>
      </c>
      <c r="H9" s="3055" t="s">
        <v>3142</v>
      </c>
      <c r="I9" s="3055"/>
      <c r="J9" s="3120"/>
      <c r="L9" s="3774" t="s">
        <v>3319</v>
      </c>
      <c r="M9" s="3775"/>
      <c r="N9" s="3178">
        <f t="shared" ref="N9:N43" si="3">O9+P9</f>
        <v>7492.8</v>
      </c>
      <c r="O9" s="3179">
        <f>O6</f>
        <v>7320.2</v>
      </c>
      <c r="P9" s="3178">
        <v>172.6</v>
      </c>
      <c r="Q9" s="3143">
        <v>681.43</v>
      </c>
      <c r="R9" s="3180">
        <f>11*2*3</f>
        <v>66</v>
      </c>
      <c r="S9" s="3180">
        <f t="shared" ref="S9:S43" si="4">R9*3.2</f>
        <v>211.20000000000002</v>
      </c>
      <c r="T9" s="3181" t="s">
        <v>3148</v>
      </c>
      <c r="U9" s="3181">
        <v>34.799999999999997</v>
      </c>
      <c r="V9" s="3182"/>
      <c r="W9" s="3183">
        <v>652.79</v>
      </c>
      <c r="Y9" s="3058">
        <f t="shared" si="2"/>
        <v>66</v>
      </c>
      <c r="Z9" s="3071"/>
      <c r="AA9" s="3071"/>
      <c r="AB9" s="3071"/>
      <c r="AC9" s="3071"/>
      <c r="AD9" s="3071"/>
      <c r="AE9" s="3071"/>
      <c r="AF9" s="3071"/>
      <c r="AG9" s="3071"/>
      <c r="AH9" s="3072">
        <v>3</v>
      </c>
      <c r="AI9" s="3072">
        <v>37</v>
      </c>
      <c r="AJ9" s="3072">
        <v>20</v>
      </c>
      <c r="AK9" s="3072">
        <v>6</v>
      </c>
      <c r="AL9" s="3071"/>
      <c r="AM9" s="3071"/>
      <c r="AN9" s="3071"/>
      <c r="AO9" s="3071"/>
      <c r="AP9" s="3071"/>
      <c r="AQ9" s="3071"/>
      <c r="AR9" s="3071"/>
    </row>
    <row r="10" spans="3:44">
      <c r="C10" s="3705"/>
      <c r="D10" s="3700" t="s">
        <v>3149</v>
      </c>
      <c r="E10" s="3707" t="s">
        <v>3153</v>
      </c>
      <c r="F10" s="3707"/>
      <c r="G10" s="3066">
        <f>G11+G12+G13</f>
        <v>56822.119999999988</v>
      </c>
      <c r="H10" s="3055" t="s">
        <v>3142</v>
      </c>
      <c r="I10" s="3055"/>
      <c r="J10" s="3120"/>
      <c r="L10" s="3774" t="s">
        <v>3320</v>
      </c>
      <c r="M10" s="3775"/>
      <c r="N10" s="3108">
        <f t="shared" si="3"/>
        <v>2741.76</v>
      </c>
      <c r="O10" s="3108">
        <v>2741.76</v>
      </c>
      <c r="P10" s="3108">
        <v>0</v>
      </c>
      <c r="Q10" s="3050">
        <v>446.6</v>
      </c>
      <c r="R10" s="3180">
        <f>6*2*2</f>
        <v>24</v>
      </c>
      <c r="S10" s="3180">
        <f t="shared" si="4"/>
        <v>76.800000000000011</v>
      </c>
      <c r="T10" s="3050" t="s">
        <v>3321</v>
      </c>
      <c r="U10" s="3050">
        <v>20.55</v>
      </c>
      <c r="V10" s="3182"/>
      <c r="W10" s="3183">
        <v>54.84</v>
      </c>
      <c r="Y10" s="3058">
        <f t="shared" si="2"/>
        <v>24</v>
      </c>
      <c r="Z10" s="3071"/>
      <c r="AA10" s="3071"/>
      <c r="AB10" s="3071"/>
      <c r="AC10" s="3071"/>
      <c r="AD10" s="3071"/>
      <c r="AE10" s="3071"/>
      <c r="AF10" s="3071"/>
      <c r="AG10" s="3071"/>
      <c r="AH10" s="3188">
        <v>2</v>
      </c>
      <c r="AI10" s="3188">
        <v>8</v>
      </c>
      <c r="AJ10" s="3188">
        <v>10</v>
      </c>
      <c r="AK10" s="3188">
        <v>4</v>
      </c>
      <c r="AL10" s="3059"/>
      <c r="AM10" s="3059"/>
      <c r="AN10" s="3059"/>
      <c r="AO10" s="3059"/>
      <c r="AP10" s="3059"/>
      <c r="AQ10" s="3059"/>
      <c r="AR10" s="3071"/>
    </row>
    <row r="11" spans="3:44">
      <c r="C11" s="3705"/>
      <c r="D11" s="3700"/>
      <c r="E11" s="3727" t="s">
        <v>3149</v>
      </c>
      <c r="F11" s="3078" t="s">
        <v>3300</v>
      </c>
      <c r="G11" s="3079">
        <f>O6+O7+O9</f>
        <v>25514.77</v>
      </c>
      <c r="H11" s="3055" t="s">
        <v>3142</v>
      </c>
      <c r="I11" s="3055"/>
      <c r="J11" s="3120"/>
      <c r="L11" s="3774" t="s">
        <v>3322</v>
      </c>
      <c r="M11" s="3775"/>
      <c r="N11" s="3108">
        <f t="shared" si="3"/>
        <v>2967.92</v>
      </c>
      <c r="O11" s="3185">
        <v>2343.77</v>
      </c>
      <c r="P11" s="3185">
        <v>624.15</v>
      </c>
      <c r="Q11" s="3185">
        <v>1006.07</v>
      </c>
      <c r="R11" s="3180">
        <v>13</v>
      </c>
      <c r="S11" s="3180">
        <f t="shared" si="4"/>
        <v>41.6</v>
      </c>
      <c r="T11" s="3050" t="s">
        <v>3323</v>
      </c>
      <c r="U11" s="3183"/>
      <c r="V11" s="3182"/>
      <c r="W11" s="3185">
        <v>990.2</v>
      </c>
      <c r="Y11" s="3058">
        <f t="shared" si="2"/>
        <v>13</v>
      </c>
      <c r="Z11" s="3071"/>
      <c r="AA11" s="3071"/>
      <c r="AB11" s="3071"/>
      <c r="AC11" s="3071"/>
      <c r="AD11" s="3071"/>
      <c r="AE11" s="3071"/>
      <c r="AF11" s="3071"/>
      <c r="AG11" s="3071"/>
      <c r="AH11" s="3071"/>
      <c r="AI11" s="3071"/>
      <c r="AJ11" s="3071"/>
      <c r="AK11" s="3071"/>
      <c r="AL11" s="3059"/>
      <c r="AM11" s="3059"/>
      <c r="AN11" s="3059"/>
      <c r="AO11" s="3059"/>
      <c r="AP11" s="3059"/>
      <c r="AQ11" s="3059"/>
      <c r="AR11" s="3058">
        <v>13</v>
      </c>
    </row>
    <row r="12" spans="3:44">
      <c r="C12" s="3705"/>
      <c r="D12" s="3700"/>
      <c r="E12" s="3744"/>
      <c r="F12" s="3078" t="s">
        <v>3324</v>
      </c>
      <c r="G12" s="3079">
        <f>SUM(O11:O43)</f>
        <v>28565.589999999989</v>
      </c>
      <c r="H12" s="3055"/>
      <c r="I12" s="3055"/>
      <c r="J12" s="3120"/>
      <c r="L12" s="3774" t="s">
        <v>3325</v>
      </c>
      <c r="M12" s="3775"/>
      <c r="N12" s="3108">
        <f t="shared" si="3"/>
        <v>1689.53</v>
      </c>
      <c r="O12" s="3185">
        <v>1441.22</v>
      </c>
      <c r="P12" s="3185">
        <v>248.31</v>
      </c>
      <c r="Q12" s="3185">
        <v>618.95000000000005</v>
      </c>
      <c r="R12" s="3180">
        <v>8</v>
      </c>
      <c r="S12" s="3180">
        <f t="shared" si="4"/>
        <v>25.6</v>
      </c>
      <c r="T12" s="3050" t="s">
        <v>3323</v>
      </c>
      <c r="U12" s="3183"/>
      <c r="V12" s="3182"/>
      <c r="W12" s="3185">
        <v>609.17999999999995</v>
      </c>
      <c r="Y12" s="3058">
        <f t="shared" si="2"/>
        <v>8</v>
      </c>
      <c r="Z12" s="3071"/>
      <c r="AA12" s="3071"/>
      <c r="AB12" s="3071"/>
      <c r="AC12" s="3071"/>
      <c r="AD12" s="3071"/>
      <c r="AE12" s="3071"/>
      <c r="AF12" s="3071"/>
      <c r="AG12" s="3071"/>
      <c r="AH12" s="3071"/>
      <c r="AI12" s="3071"/>
      <c r="AJ12" s="3071"/>
      <c r="AK12" s="3071"/>
      <c r="AL12" s="3071"/>
      <c r="AM12" s="3071"/>
      <c r="AN12" s="3071"/>
      <c r="AO12" s="3071"/>
      <c r="AP12" s="3071"/>
      <c r="AQ12" s="3071"/>
      <c r="AR12" s="3058">
        <v>8</v>
      </c>
    </row>
    <row r="13" spans="3:44">
      <c r="C13" s="3705"/>
      <c r="D13" s="3700"/>
      <c r="E13" s="3745"/>
      <c r="F13" s="3055" t="s">
        <v>3326</v>
      </c>
      <c r="G13" s="3066">
        <f>O10</f>
        <v>2741.76</v>
      </c>
      <c r="H13" s="3055" t="s">
        <v>3142</v>
      </c>
      <c r="I13" s="3055"/>
      <c r="J13" s="3120"/>
      <c r="L13" s="3774" t="s">
        <v>3327</v>
      </c>
      <c r="M13" s="3775"/>
      <c r="N13" s="3108">
        <f t="shared" si="3"/>
        <v>817.15</v>
      </c>
      <c r="O13" s="3185">
        <v>722.35</v>
      </c>
      <c r="P13" s="3185">
        <v>94.8</v>
      </c>
      <c r="Q13" s="3185">
        <v>310.33999999999997</v>
      </c>
      <c r="R13" s="3180">
        <v>4</v>
      </c>
      <c r="S13" s="3180">
        <f t="shared" si="4"/>
        <v>12.8</v>
      </c>
      <c r="T13" s="3050" t="s">
        <v>3328</v>
      </c>
      <c r="U13" s="3183"/>
      <c r="V13" s="3182"/>
      <c r="W13" s="3185">
        <v>305.45999999999998</v>
      </c>
      <c r="Y13" s="3058">
        <f t="shared" si="2"/>
        <v>4</v>
      </c>
      <c r="Z13" s="3071"/>
      <c r="AA13" s="3071"/>
      <c r="AB13" s="3071"/>
      <c r="AC13" s="3071"/>
      <c r="AD13" s="3071"/>
      <c r="AE13" s="3071"/>
      <c r="AF13" s="3071"/>
      <c r="AG13" s="3071"/>
      <c r="AH13" s="3071"/>
      <c r="AI13" s="3071"/>
      <c r="AJ13" s="3071"/>
      <c r="AK13" s="3071"/>
      <c r="AL13" s="3071"/>
      <c r="AM13" s="3071"/>
      <c r="AN13" s="3071"/>
      <c r="AO13" s="3071"/>
      <c r="AP13" s="3071"/>
      <c r="AQ13" s="3071"/>
      <c r="AR13" s="3058">
        <v>4</v>
      </c>
    </row>
    <row r="14" spans="3:44">
      <c r="C14" s="3705"/>
      <c r="D14" s="3700"/>
      <c r="E14" s="3701"/>
      <c r="F14" s="3703"/>
      <c r="G14" s="3066"/>
      <c r="H14" s="3055"/>
      <c r="I14" s="3055"/>
      <c r="J14" s="3120"/>
      <c r="L14" s="3774" t="s">
        <v>3329</v>
      </c>
      <c r="M14" s="3775"/>
      <c r="N14" s="3108">
        <f t="shared" si="3"/>
        <v>817.15</v>
      </c>
      <c r="O14" s="3185">
        <v>722.35</v>
      </c>
      <c r="P14" s="3185">
        <f>P13</f>
        <v>94.8</v>
      </c>
      <c r="Q14" s="3185">
        <v>310.33999999999997</v>
      </c>
      <c r="R14" s="3180">
        <v>4</v>
      </c>
      <c r="S14" s="3180">
        <f t="shared" si="4"/>
        <v>12.8</v>
      </c>
      <c r="T14" s="3050" t="s">
        <v>3328</v>
      </c>
      <c r="U14" s="3183"/>
      <c r="V14" s="3182"/>
      <c r="W14" s="3185">
        <v>305.45999999999998</v>
      </c>
      <c r="Y14" s="3058">
        <f t="shared" si="2"/>
        <v>4</v>
      </c>
      <c r="Z14" s="3071"/>
      <c r="AA14" s="3071"/>
      <c r="AB14" s="3071"/>
      <c r="AC14" s="3071"/>
      <c r="AD14" s="3071"/>
      <c r="AE14" s="3071"/>
      <c r="AF14" s="3071"/>
      <c r="AG14" s="3071"/>
      <c r="AH14" s="3071"/>
      <c r="AI14" s="3071"/>
      <c r="AJ14" s="3071"/>
      <c r="AK14" s="3071"/>
      <c r="AL14" s="3071"/>
      <c r="AM14" s="3071"/>
      <c r="AN14" s="3071"/>
      <c r="AO14" s="3071"/>
      <c r="AP14" s="3071"/>
      <c r="AQ14" s="3071"/>
      <c r="AR14" s="3058">
        <v>4</v>
      </c>
    </row>
    <row r="15" spans="3:44">
      <c r="C15" s="3705"/>
      <c r="D15" s="3700"/>
      <c r="E15" s="3709" t="s">
        <v>3165</v>
      </c>
      <c r="F15" s="3710"/>
      <c r="G15" s="3066"/>
      <c r="H15" s="3055" t="s">
        <v>3142</v>
      </c>
      <c r="I15" s="3055"/>
      <c r="J15" s="3120"/>
      <c r="L15" s="3774" t="s">
        <v>3330</v>
      </c>
      <c r="M15" s="3775"/>
      <c r="N15" s="3108">
        <f t="shared" si="3"/>
        <v>1232.1400000000001</v>
      </c>
      <c r="O15" s="3185">
        <v>1089.94</v>
      </c>
      <c r="P15" s="3185">
        <v>142.19999999999999</v>
      </c>
      <c r="Q15" s="3185">
        <v>467.59</v>
      </c>
      <c r="R15" s="3180">
        <v>6</v>
      </c>
      <c r="S15" s="3180">
        <f t="shared" si="4"/>
        <v>19.200000000000003</v>
      </c>
      <c r="T15" s="3050" t="s">
        <v>3328</v>
      </c>
      <c r="U15" s="3183"/>
      <c r="V15" s="3182"/>
      <c r="W15" s="3185">
        <v>460.27</v>
      </c>
      <c r="Y15" s="3058">
        <f t="shared" si="2"/>
        <v>6</v>
      </c>
      <c r="Z15" s="3071"/>
      <c r="AA15" s="3071"/>
      <c r="AB15" s="3071"/>
      <c r="AC15" s="3071"/>
      <c r="AD15" s="3071"/>
      <c r="AE15" s="3071"/>
      <c r="AF15" s="3071"/>
      <c r="AG15" s="3071"/>
      <c r="AH15" s="3071"/>
      <c r="AI15" s="3071"/>
      <c r="AJ15" s="3071"/>
      <c r="AK15" s="3071"/>
      <c r="AL15" s="3071"/>
      <c r="AM15" s="3071"/>
      <c r="AN15" s="3071"/>
      <c r="AO15" s="3071"/>
      <c r="AP15" s="3071"/>
      <c r="AQ15" s="3071"/>
      <c r="AR15" s="3058">
        <v>6</v>
      </c>
    </row>
    <row r="16" spans="3:44">
      <c r="C16" s="3705"/>
      <c r="D16" s="3700"/>
      <c r="E16" s="3700" t="s">
        <v>3168</v>
      </c>
      <c r="F16" s="3700"/>
      <c r="G16" s="3066">
        <f>O8</f>
        <v>806.38</v>
      </c>
      <c r="H16" s="3055" t="s">
        <v>3142</v>
      </c>
      <c r="I16" s="3055" t="s">
        <v>3331</v>
      </c>
      <c r="J16" s="3120"/>
      <c r="L16" s="3774" t="s">
        <v>3332</v>
      </c>
      <c r="M16" s="3775"/>
      <c r="N16" s="3108">
        <f t="shared" si="3"/>
        <v>882.99</v>
      </c>
      <c r="O16" s="3185">
        <v>730.35</v>
      </c>
      <c r="P16" s="3185">
        <v>152.63999999999999</v>
      </c>
      <c r="Q16" s="3185">
        <v>313.13</v>
      </c>
      <c r="R16" s="3180">
        <v>4</v>
      </c>
      <c r="S16" s="3180">
        <f t="shared" si="4"/>
        <v>12.8</v>
      </c>
      <c r="T16" s="3050" t="s">
        <v>3328</v>
      </c>
      <c r="U16" s="3183"/>
      <c r="V16" s="3182"/>
      <c r="W16" s="3185">
        <v>308.25</v>
      </c>
      <c r="Y16" s="3058">
        <f t="shared" si="2"/>
        <v>4</v>
      </c>
      <c r="Z16" s="3071"/>
      <c r="AA16" s="3071"/>
      <c r="AB16" s="3071"/>
      <c r="AC16" s="3071"/>
      <c r="AD16" s="3071"/>
      <c r="AE16" s="3071"/>
      <c r="AF16" s="3071"/>
      <c r="AG16" s="3071"/>
      <c r="AH16" s="3071"/>
      <c r="AI16" s="3071"/>
      <c r="AJ16" s="3071"/>
      <c r="AK16" s="3071"/>
      <c r="AL16" s="3071"/>
      <c r="AM16" s="3071"/>
      <c r="AN16" s="3071"/>
      <c r="AO16" s="3071"/>
      <c r="AP16" s="3071"/>
      <c r="AQ16" s="3071"/>
      <c r="AR16" s="3058">
        <v>4</v>
      </c>
    </row>
    <row r="17" spans="3:60">
      <c r="C17" s="3705"/>
      <c r="D17" s="3701" t="s">
        <v>3171</v>
      </c>
      <c r="E17" s="3702"/>
      <c r="F17" s="3703"/>
      <c r="G17" s="3066">
        <f>G18+G19</f>
        <v>33304.730000000003</v>
      </c>
      <c r="H17" s="3055" t="s">
        <v>3142</v>
      </c>
      <c r="I17" s="3055"/>
      <c r="J17" s="3120"/>
      <c r="L17" s="3774" t="s">
        <v>3333</v>
      </c>
      <c r="M17" s="3775"/>
      <c r="N17" s="3108">
        <f t="shared" si="3"/>
        <v>817.15</v>
      </c>
      <c r="O17" s="3185">
        <v>722.35</v>
      </c>
      <c r="P17" s="3185">
        <v>94.8</v>
      </c>
      <c r="Q17" s="3185">
        <v>310.33999999999997</v>
      </c>
      <c r="R17" s="3180">
        <v>4</v>
      </c>
      <c r="S17" s="3180">
        <f t="shared" si="4"/>
        <v>12.8</v>
      </c>
      <c r="T17" s="3050" t="s">
        <v>3328</v>
      </c>
      <c r="U17" s="3183"/>
      <c r="V17" s="3182"/>
      <c r="W17" s="3185">
        <v>305.45999999999998</v>
      </c>
      <c r="Y17" s="3058">
        <f t="shared" si="2"/>
        <v>4</v>
      </c>
      <c r="Z17" s="3071"/>
      <c r="AA17" s="3071"/>
      <c r="AB17" s="3071"/>
      <c r="AC17" s="3071"/>
      <c r="AD17" s="3071"/>
      <c r="AE17" s="3071"/>
      <c r="AF17" s="3071"/>
      <c r="AG17" s="3071"/>
      <c r="AH17" s="3071"/>
      <c r="AI17" s="3071"/>
      <c r="AJ17" s="3071"/>
      <c r="AK17" s="3071"/>
      <c r="AL17" s="3071"/>
      <c r="AM17" s="3071"/>
      <c r="AN17" s="3071"/>
      <c r="AO17" s="3071"/>
      <c r="AP17" s="3071"/>
      <c r="AQ17" s="3071"/>
      <c r="AR17" s="3058">
        <v>4</v>
      </c>
    </row>
    <row r="18" spans="3:60">
      <c r="C18" s="3705"/>
      <c r="D18" s="3700" t="s">
        <v>3149</v>
      </c>
      <c r="E18" s="3708" t="s">
        <v>3172</v>
      </c>
      <c r="F18" s="3708"/>
      <c r="G18" s="3079">
        <f>P44</f>
        <v>5994.9199999999992</v>
      </c>
      <c r="H18" s="3055" t="s">
        <v>3142</v>
      </c>
      <c r="I18" s="3055"/>
      <c r="J18" s="3120"/>
      <c r="L18" s="3779" t="s">
        <v>3334</v>
      </c>
      <c r="M18" s="3780"/>
      <c r="N18" s="3178">
        <f t="shared" si="3"/>
        <v>1434.89</v>
      </c>
      <c r="O18" s="3189">
        <v>1268.99</v>
      </c>
      <c r="P18" s="3189">
        <v>165.9</v>
      </c>
      <c r="Q18" s="3190">
        <v>544.94000000000005</v>
      </c>
      <c r="R18" s="3191">
        <v>7</v>
      </c>
      <c r="S18" s="3191">
        <f t="shared" si="4"/>
        <v>22.400000000000002</v>
      </c>
      <c r="T18" s="3148" t="s">
        <v>3328</v>
      </c>
      <c r="U18" s="3143"/>
      <c r="V18" s="3192"/>
      <c r="W18" s="3193">
        <v>536.39</v>
      </c>
      <c r="X18" s="3194"/>
      <c r="Y18" s="3084">
        <f t="shared" si="2"/>
        <v>7</v>
      </c>
      <c r="Z18" s="3195"/>
      <c r="AA18" s="3195"/>
      <c r="AB18" s="3195"/>
      <c r="AC18" s="3195"/>
      <c r="AD18" s="3195"/>
      <c r="AE18" s="3195"/>
      <c r="AF18" s="3195"/>
      <c r="AG18" s="3195"/>
      <c r="AH18" s="3195"/>
      <c r="AI18" s="3195"/>
      <c r="AJ18" s="3195"/>
      <c r="AK18" s="3195"/>
      <c r="AL18" s="3195"/>
      <c r="AM18" s="3195"/>
      <c r="AN18" s="3195"/>
      <c r="AO18" s="3195"/>
      <c r="AP18" s="3195"/>
      <c r="AQ18" s="3195"/>
      <c r="AR18" s="3084">
        <v>7</v>
      </c>
      <c r="AS18" s="3194"/>
      <c r="AT18" s="3194"/>
      <c r="AU18" s="3194"/>
      <c r="AV18" s="3194"/>
      <c r="AW18" s="3194"/>
      <c r="AX18" s="3194"/>
      <c r="AY18" s="3194"/>
      <c r="AZ18" s="3194"/>
      <c r="BA18" s="3194"/>
      <c r="BB18" s="3194"/>
      <c r="BC18" s="3194"/>
      <c r="BD18" s="3194"/>
      <c r="BE18" s="3194"/>
      <c r="BF18" s="3194"/>
      <c r="BG18" s="3194"/>
      <c r="BH18" s="3194"/>
    </row>
    <row r="19" spans="3:60">
      <c r="C19" s="3706"/>
      <c r="D19" s="3700"/>
      <c r="E19" s="3707" t="s">
        <v>3173</v>
      </c>
      <c r="F19" s="3707"/>
      <c r="G19" s="3066">
        <f>N49</f>
        <v>27309.81</v>
      </c>
      <c r="H19" s="3055" t="s">
        <v>3142</v>
      </c>
      <c r="I19" s="3055" t="s">
        <v>3174</v>
      </c>
      <c r="J19" s="3120"/>
      <c r="L19" s="3779" t="s">
        <v>3335</v>
      </c>
      <c r="M19" s="3780"/>
      <c r="N19" s="3178">
        <f t="shared" si="3"/>
        <v>1227.47</v>
      </c>
      <c r="O19" s="3189">
        <v>1085.27</v>
      </c>
      <c r="P19" s="3189">
        <v>142.19999999999999</v>
      </c>
      <c r="Q19" s="3190">
        <v>466.39</v>
      </c>
      <c r="R19" s="3191">
        <v>6</v>
      </c>
      <c r="S19" s="3191">
        <f t="shared" si="4"/>
        <v>19.200000000000003</v>
      </c>
      <c r="T19" s="3148" t="s">
        <v>3328</v>
      </c>
      <c r="U19" s="3143"/>
      <c r="V19" s="3192"/>
      <c r="W19" s="3193">
        <v>459.06</v>
      </c>
      <c r="X19" s="3194"/>
      <c r="Y19" s="3084">
        <f t="shared" si="2"/>
        <v>6</v>
      </c>
      <c r="Z19" s="3195"/>
      <c r="AA19" s="3195"/>
      <c r="AB19" s="3195"/>
      <c r="AC19" s="3195"/>
      <c r="AD19" s="3195"/>
      <c r="AE19" s="3195"/>
      <c r="AF19" s="3195"/>
      <c r="AG19" s="3195"/>
      <c r="AH19" s="3195"/>
      <c r="AI19" s="3195"/>
      <c r="AJ19" s="3195"/>
      <c r="AK19" s="3195"/>
      <c r="AL19" s="3195"/>
      <c r="AM19" s="3195"/>
      <c r="AN19" s="3195"/>
      <c r="AO19" s="3195"/>
      <c r="AP19" s="3195"/>
      <c r="AQ19" s="3195"/>
      <c r="AR19" s="3084">
        <v>6</v>
      </c>
      <c r="AS19" s="3194"/>
      <c r="AT19" s="3194"/>
      <c r="AU19" s="3194"/>
      <c r="AV19" s="3194"/>
      <c r="AW19" s="3194"/>
      <c r="AX19" s="3194"/>
      <c r="AY19" s="3194"/>
      <c r="AZ19" s="3194"/>
      <c r="BA19" s="3194"/>
      <c r="BB19" s="3194"/>
      <c r="BC19" s="3194"/>
      <c r="BD19" s="3194"/>
      <c r="BE19" s="3194"/>
      <c r="BF19" s="3194"/>
      <c r="BG19" s="3194"/>
      <c r="BH19" s="3194"/>
    </row>
    <row r="20" spans="3:60">
      <c r="C20" s="3055" t="s">
        <v>3176</v>
      </c>
      <c r="D20" s="3701" t="s">
        <v>3177</v>
      </c>
      <c r="E20" s="3702"/>
      <c r="F20" s="3703"/>
      <c r="G20" s="3066">
        <f>G9/G7</f>
        <v>1.1802018293911694</v>
      </c>
      <c r="H20" s="3055"/>
      <c r="I20" s="3055"/>
      <c r="J20" s="3120"/>
      <c r="L20" s="3779" t="s">
        <v>3336</v>
      </c>
      <c r="M20" s="3780"/>
      <c r="N20" s="3178">
        <f t="shared" si="3"/>
        <v>1227.47</v>
      </c>
      <c r="O20" s="3189">
        <v>1085.27</v>
      </c>
      <c r="P20" s="3189">
        <v>142.19999999999999</v>
      </c>
      <c r="Q20" s="3190">
        <v>466.39</v>
      </c>
      <c r="R20" s="3191">
        <v>6</v>
      </c>
      <c r="S20" s="3191">
        <f t="shared" si="4"/>
        <v>19.200000000000003</v>
      </c>
      <c r="T20" s="3148" t="s">
        <v>3328</v>
      </c>
      <c r="U20" s="3143"/>
      <c r="V20" s="3192"/>
      <c r="W20" s="3193">
        <v>459.06</v>
      </c>
      <c r="X20" s="3194"/>
      <c r="Y20" s="3084">
        <f t="shared" si="2"/>
        <v>6</v>
      </c>
      <c r="Z20" s="3195"/>
      <c r="AA20" s="3195"/>
      <c r="AB20" s="3195"/>
      <c r="AC20" s="3195"/>
      <c r="AD20" s="3195"/>
      <c r="AE20" s="3195"/>
      <c r="AF20" s="3195"/>
      <c r="AG20" s="3195"/>
      <c r="AH20" s="3195"/>
      <c r="AI20" s="3195"/>
      <c r="AJ20" s="3195"/>
      <c r="AK20" s="3195"/>
      <c r="AL20" s="3195"/>
      <c r="AM20" s="3195"/>
      <c r="AN20" s="3195"/>
      <c r="AO20" s="3195"/>
      <c r="AP20" s="3195"/>
      <c r="AQ20" s="3195"/>
      <c r="AR20" s="3084">
        <v>6</v>
      </c>
      <c r="AS20" s="3194"/>
      <c r="AT20" s="3194"/>
      <c r="AU20" s="3194"/>
      <c r="AV20" s="3194"/>
      <c r="AW20" s="3194"/>
      <c r="AX20" s="3194"/>
      <c r="AY20" s="3194"/>
      <c r="AZ20" s="3194"/>
      <c r="BA20" s="3194"/>
      <c r="BB20" s="3194"/>
      <c r="BC20" s="3194"/>
      <c r="BD20" s="3194"/>
      <c r="BE20" s="3194"/>
      <c r="BF20" s="3194"/>
      <c r="BG20" s="3194"/>
      <c r="BH20" s="3194"/>
    </row>
    <row r="21" spans="3:60">
      <c r="C21" s="3055" t="s">
        <v>3179</v>
      </c>
      <c r="D21" s="3701" t="s">
        <v>3180</v>
      </c>
      <c r="E21" s="3702"/>
      <c r="F21" s="3703"/>
      <c r="G21" s="3093">
        <f>R44</f>
        <v>452</v>
      </c>
      <c r="H21" s="3055" t="s">
        <v>3181</v>
      </c>
      <c r="I21" s="3055"/>
      <c r="J21" s="3120"/>
      <c r="L21" s="3779" t="s">
        <v>3337</v>
      </c>
      <c r="M21" s="3780"/>
      <c r="N21" s="3178">
        <f t="shared" si="3"/>
        <v>1501.75</v>
      </c>
      <c r="O21" s="3189">
        <v>1085.27</v>
      </c>
      <c r="P21" s="3189">
        <v>416.48</v>
      </c>
      <c r="Q21" s="3190">
        <v>466.39</v>
      </c>
      <c r="R21" s="3191">
        <v>6</v>
      </c>
      <c r="S21" s="3191">
        <f t="shared" si="4"/>
        <v>19.200000000000003</v>
      </c>
      <c r="T21" s="3148" t="s">
        <v>3328</v>
      </c>
      <c r="U21" s="3143"/>
      <c r="V21" s="3192"/>
      <c r="W21" s="3193">
        <v>459.06</v>
      </c>
      <c r="X21" s="3194"/>
      <c r="Y21" s="3084">
        <f t="shared" si="2"/>
        <v>6</v>
      </c>
      <c r="Z21" s="3195"/>
      <c r="AA21" s="3195"/>
      <c r="AB21" s="3195"/>
      <c r="AC21" s="3195"/>
      <c r="AD21" s="3195"/>
      <c r="AE21" s="3195"/>
      <c r="AF21" s="3195"/>
      <c r="AG21" s="3195"/>
      <c r="AH21" s="3195"/>
      <c r="AI21" s="3195"/>
      <c r="AJ21" s="3195"/>
      <c r="AK21" s="3195"/>
      <c r="AL21" s="3195"/>
      <c r="AM21" s="3195"/>
      <c r="AN21" s="3195"/>
      <c r="AO21" s="3195"/>
      <c r="AP21" s="3195"/>
      <c r="AQ21" s="3195"/>
      <c r="AR21" s="3084">
        <v>6</v>
      </c>
      <c r="AS21" s="3194"/>
      <c r="AT21" s="3194"/>
      <c r="AU21" s="3194"/>
      <c r="AV21" s="3194"/>
      <c r="AW21" s="3194"/>
      <c r="AX21" s="3194"/>
      <c r="AY21" s="3194"/>
      <c r="AZ21" s="3194"/>
      <c r="BA21" s="3194"/>
      <c r="BB21" s="3194"/>
      <c r="BC21" s="3194"/>
      <c r="BD21" s="3194"/>
      <c r="BE21" s="3194"/>
      <c r="BF21" s="3194"/>
      <c r="BG21" s="3194"/>
      <c r="BH21" s="3194"/>
    </row>
    <row r="22" spans="3:60">
      <c r="C22" s="3055" t="s">
        <v>3183</v>
      </c>
      <c r="D22" s="3701" t="s">
        <v>3184</v>
      </c>
      <c r="E22" s="3702"/>
      <c r="F22" s="3703"/>
      <c r="G22" s="3066">
        <v>3.2</v>
      </c>
      <c r="H22" s="3055" t="s">
        <v>3185</v>
      </c>
      <c r="I22" s="3055"/>
      <c r="J22" s="3120"/>
      <c r="L22" s="3779" t="s">
        <v>3338</v>
      </c>
      <c r="M22" s="3780"/>
      <c r="N22" s="3178">
        <f t="shared" si="3"/>
        <v>1227.47</v>
      </c>
      <c r="O22" s="3189">
        <v>1085.27</v>
      </c>
      <c r="P22" s="3189">
        <v>142.19999999999999</v>
      </c>
      <c r="Q22" s="3190">
        <v>466.39</v>
      </c>
      <c r="R22" s="3191">
        <v>6</v>
      </c>
      <c r="S22" s="3191">
        <f t="shared" si="4"/>
        <v>19.200000000000003</v>
      </c>
      <c r="T22" s="3148" t="s">
        <v>3328</v>
      </c>
      <c r="U22" s="3143"/>
      <c r="V22" s="3192"/>
      <c r="W22" s="3193">
        <v>459.06</v>
      </c>
      <c r="X22" s="3194"/>
      <c r="Y22" s="3084">
        <f t="shared" si="2"/>
        <v>6</v>
      </c>
      <c r="Z22" s="3195"/>
      <c r="AA22" s="3195"/>
      <c r="AB22" s="3195"/>
      <c r="AC22" s="3195"/>
      <c r="AD22" s="3195"/>
      <c r="AE22" s="3195"/>
      <c r="AF22" s="3195"/>
      <c r="AG22" s="3195"/>
      <c r="AH22" s="3195"/>
      <c r="AI22" s="3195"/>
      <c r="AJ22" s="3195"/>
      <c r="AK22" s="3195"/>
      <c r="AL22" s="3195"/>
      <c r="AM22" s="3195"/>
      <c r="AN22" s="3195"/>
      <c r="AO22" s="3195"/>
      <c r="AP22" s="3195"/>
      <c r="AQ22" s="3195"/>
      <c r="AR22" s="3084">
        <v>6</v>
      </c>
      <c r="AS22" s="3194"/>
      <c r="AT22" s="3194"/>
      <c r="AU22" s="3194"/>
      <c r="AV22" s="3194"/>
      <c r="AW22" s="3194"/>
      <c r="AX22" s="3194"/>
      <c r="AY22" s="3194"/>
      <c r="AZ22" s="3194"/>
      <c r="BA22" s="3194"/>
      <c r="BB22" s="3194"/>
      <c r="BC22" s="3194"/>
      <c r="BD22" s="3194"/>
      <c r="BE22" s="3194"/>
      <c r="BF22" s="3194"/>
      <c r="BG22" s="3194"/>
      <c r="BH22" s="3194"/>
    </row>
    <row r="23" spans="3:60">
      <c r="C23" s="3055" t="s">
        <v>3187</v>
      </c>
      <c r="D23" s="3701" t="s">
        <v>3188</v>
      </c>
      <c r="E23" s="3702"/>
      <c r="F23" s="3703"/>
      <c r="G23" s="3091">
        <f>G21*G22</f>
        <v>1446.4</v>
      </c>
      <c r="H23" s="3055" t="s">
        <v>3189</v>
      </c>
      <c r="I23" s="3055"/>
      <c r="J23" s="3120"/>
      <c r="L23" s="3779" t="s">
        <v>3339</v>
      </c>
      <c r="M23" s="3780"/>
      <c r="N23" s="3178">
        <f t="shared" si="3"/>
        <v>1482.23</v>
      </c>
      <c r="O23" s="3189">
        <v>1268.99</v>
      </c>
      <c r="P23" s="3196">
        <v>213.24</v>
      </c>
      <c r="Q23" s="3190">
        <v>544.94000000000005</v>
      </c>
      <c r="R23" s="3191">
        <v>7</v>
      </c>
      <c r="S23" s="3191">
        <f t="shared" si="4"/>
        <v>22.400000000000002</v>
      </c>
      <c r="T23" s="3148" t="s">
        <v>3328</v>
      </c>
      <c r="U23" s="3143"/>
      <c r="V23" s="3192"/>
      <c r="W23" s="3193">
        <v>536.39</v>
      </c>
      <c r="X23" s="3194"/>
      <c r="Y23" s="3084">
        <f t="shared" si="2"/>
        <v>7</v>
      </c>
      <c r="Z23" s="3195"/>
      <c r="AA23" s="3195"/>
      <c r="AB23" s="3195"/>
      <c r="AC23" s="3195"/>
      <c r="AD23" s="3195"/>
      <c r="AE23" s="3195"/>
      <c r="AF23" s="3195"/>
      <c r="AG23" s="3195"/>
      <c r="AH23" s="3195"/>
      <c r="AI23" s="3195"/>
      <c r="AJ23" s="3195"/>
      <c r="AK23" s="3195"/>
      <c r="AL23" s="3195"/>
      <c r="AM23" s="3195"/>
      <c r="AN23" s="3195"/>
      <c r="AO23" s="3195"/>
      <c r="AP23" s="3195"/>
      <c r="AQ23" s="3195"/>
      <c r="AR23" s="3084">
        <v>7</v>
      </c>
      <c r="AS23" s="3194"/>
      <c r="AT23" s="3194"/>
      <c r="AU23" s="3194"/>
      <c r="AV23" s="3194"/>
      <c r="AW23" s="3194"/>
      <c r="AX23" s="3194"/>
      <c r="AY23" s="3194"/>
      <c r="AZ23" s="3194"/>
      <c r="BA23" s="3194"/>
      <c r="BB23" s="3194"/>
      <c r="BC23" s="3194"/>
      <c r="BD23" s="3194"/>
      <c r="BE23" s="3194"/>
      <c r="BF23" s="3194"/>
      <c r="BG23" s="3194"/>
      <c r="BH23" s="3194"/>
    </row>
    <row r="24" spans="3:60">
      <c r="C24" s="3055" t="s">
        <v>3191</v>
      </c>
      <c r="D24" s="3701" t="s">
        <v>3192</v>
      </c>
      <c r="E24" s="3702"/>
      <c r="F24" s="3703"/>
      <c r="G24" s="3066">
        <f>Q44/G7*100</f>
        <v>31.693841574003823</v>
      </c>
      <c r="H24" s="3055" t="s">
        <v>3193</v>
      </c>
      <c r="I24" s="3055"/>
      <c r="J24" s="3120"/>
      <c r="L24" s="3781"/>
      <c r="M24" s="3782"/>
      <c r="N24" s="3067"/>
      <c r="O24" s="3082"/>
      <c r="P24" s="3082"/>
      <c r="Q24" s="3082"/>
      <c r="R24" s="3068"/>
      <c r="S24" s="3068"/>
      <c r="T24" s="3056"/>
      <c r="U24" s="3063"/>
      <c r="V24" s="3197"/>
      <c r="W24" s="3082"/>
      <c r="X24" s="3070"/>
      <c r="Y24" s="3076">
        <f t="shared" si="2"/>
        <v>0</v>
      </c>
      <c r="Z24" s="3198"/>
      <c r="AA24" s="3198"/>
      <c r="AB24" s="3198"/>
      <c r="AC24" s="3198"/>
      <c r="AD24" s="3198"/>
      <c r="AE24" s="3198"/>
      <c r="AF24" s="3198"/>
      <c r="AG24" s="3198"/>
      <c r="AH24" s="3198"/>
      <c r="AI24" s="3198"/>
      <c r="AJ24" s="3198"/>
      <c r="AK24" s="3198"/>
      <c r="AL24" s="3198"/>
      <c r="AM24" s="3198"/>
      <c r="AN24" s="3198"/>
      <c r="AO24" s="3198"/>
      <c r="AP24" s="3198"/>
      <c r="AQ24" s="3198"/>
      <c r="AR24" s="3198"/>
      <c r="AS24" s="3070"/>
      <c r="AT24" s="3070"/>
      <c r="AU24" s="3070"/>
      <c r="AV24" s="3070"/>
      <c r="AW24" s="3070"/>
    </row>
    <row r="25" spans="3:60">
      <c r="C25" s="3055" t="s">
        <v>3195</v>
      </c>
      <c r="D25" s="3701" t="s">
        <v>3196</v>
      </c>
      <c r="E25" s="3702"/>
      <c r="F25" s="3703"/>
      <c r="G25" s="3066">
        <v>30.1</v>
      </c>
      <c r="H25" s="3055" t="s">
        <v>3193</v>
      </c>
      <c r="I25" s="3055"/>
      <c r="J25" s="3120"/>
      <c r="L25" s="3781"/>
      <c r="M25" s="3782"/>
      <c r="N25" s="3067"/>
      <c r="O25" s="3082"/>
      <c r="P25" s="3082"/>
      <c r="Q25" s="3082"/>
      <c r="R25" s="3068"/>
      <c r="S25" s="3068"/>
      <c r="T25" s="3056"/>
      <c r="U25" s="3063"/>
      <c r="V25" s="3197"/>
      <c r="W25" s="3082"/>
      <c r="X25" s="3070"/>
      <c r="Y25" s="3076">
        <f t="shared" si="2"/>
        <v>0</v>
      </c>
      <c r="Z25" s="3198"/>
      <c r="AA25" s="3198"/>
      <c r="AB25" s="3198"/>
      <c r="AC25" s="3198"/>
      <c r="AD25" s="3198"/>
      <c r="AE25" s="3198"/>
      <c r="AF25" s="3198"/>
      <c r="AG25" s="3198"/>
      <c r="AH25" s="3198"/>
      <c r="AI25" s="3198"/>
      <c r="AJ25" s="3198"/>
      <c r="AK25" s="3198"/>
      <c r="AL25" s="3198"/>
      <c r="AM25" s="3198"/>
      <c r="AN25" s="3198"/>
      <c r="AO25" s="3198"/>
      <c r="AP25" s="3198"/>
      <c r="AQ25" s="3198"/>
      <c r="AR25" s="3198"/>
      <c r="AS25" s="3070"/>
      <c r="AT25" s="3070"/>
      <c r="AU25" s="3070"/>
      <c r="AV25" s="3070"/>
      <c r="AW25" s="3070"/>
    </row>
    <row r="26" spans="3:60">
      <c r="C26" s="3055" t="s">
        <v>3197</v>
      </c>
      <c r="D26" s="3711" t="s">
        <v>3198</v>
      </c>
      <c r="E26" s="3712"/>
      <c r="F26" s="3713"/>
      <c r="G26" s="3199">
        <f>G27+G28</f>
        <v>845</v>
      </c>
      <c r="H26" s="3055" t="s">
        <v>3199</v>
      </c>
      <c r="I26" s="3055"/>
      <c r="J26" s="3173">
        <f>G21+G15/10000*65</f>
        <v>452</v>
      </c>
      <c r="L26" s="3781"/>
      <c r="M26" s="3782"/>
      <c r="N26" s="3067"/>
      <c r="O26" s="3082"/>
      <c r="P26" s="3082"/>
      <c r="Q26" s="3082"/>
      <c r="R26" s="3068"/>
      <c r="S26" s="3068"/>
      <c r="T26" s="3056"/>
      <c r="U26" s="3063"/>
      <c r="V26" s="3197"/>
      <c r="W26" s="3082"/>
      <c r="X26" s="3070"/>
      <c r="Y26" s="3076">
        <f t="shared" si="2"/>
        <v>0</v>
      </c>
      <c r="Z26" s="3198"/>
      <c r="AA26" s="3198"/>
      <c r="AB26" s="3198"/>
      <c r="AC26" s="3198"/>
      <c r="AD26" s="3198"/>
      <c r="AE26" s="3198"/>
      <c r="AF26" s="3198"/>
      <c r="AG26" s="3198"/>
      <c r="AH26" s="3198"/>
      <c r="AI26" s="3198"/>
      <c r="AJ26" s="3198"/>
      <c r="AK26" s="3198"/>
      <c r="AL26" s="3198"/>
      <c r="AM26" s="3198"/>
      <c r="AN26" s="3198"/>
      <c r="AO26" s="3198"/>
      <c r="AP26" s="3198"/>
      <c r="AQ26" s="3198"/>
      <c r="AR26" s="3198"/>
      <c r="AS26" s="3070"/>
      <c r="AT26" s="3070"/>
      <c r="AU26" s="3070"/>
      <c r="AV26" s="3070"/>
      <c r="AW26" s="3070"/>
    </row>
    <row r="27" spans="3:60">
      <c r="C27" s="3700"/>
      <c r="D27" s="3708" t="s">
        <v>3149</v>
      </c>
      <c r="E27" s="3711" t="s">
        <v>3201</v>
      </c>
      <c r="F27" s="3703"/>
      <c r="G27" s="3199">
        <v>49</v>
      </c>
      <c r="H27" s="3055" t="s">
        <v>3199</v>
      </c>
      <c r="I27" s="3055"/>
      <c r="J27" s="3173">
        <f>J26*0.2</f>
        <v>90.4</v>
      </c>
      <c r="L27" s="3781"/>
      <c r="M27" s="3782"/>
      <c r="N27" s="3067"/>
      <c r="O27" s="3082"/>
      <c r="P27" s="3082"/>
      <c r="Q27" s="3082"/>
      <c r="R27" s="3068"/>
      <c r="S27" s="3068"/>
      <c r="T27" s="3056"/>
      <c r="U27" s="3063"/>
      <c r="V27" s="3197"/>
      <c r="W27" s="3082"/>
      <c r="X27" s="3070"/>
      <c r="Y27" s="3076">
        <f t="shared" si="2"/>
        <v>0</v>
      </c>
      <c r="Z27" s="3198"/>
      <c r="AA27" s="3198"/>
      <c r="AB27" s="3198"/>
      <c r="AC27" s="3198"/>
      <c r="AD27" s="3198"/>
      <c r="AE27" s="3198"/>
      <c r="AF27" s="3198"/>
      <c r="AG27" s="3198"/>
      <c r="AH27" s="3198"/>
      <c r="AI27" s="3198"/>
      <c r="AJ27" s="3198"/>
      <c r="AK27" s="3198"/>
      <c r="AL27" s="3198"/>
      <c r="AM27" s="3198"/>
      <c r="AN27" s="3198"/>
      <c r="AO27" s="3198"/>
      <c r="AP27" s="3198"/>
      <c r="AQ27" s="3198"/>
      <c r="AR27" s="3198"/>
      <c r="AS27" s="3070"/>
      <c r="AT27" s="3070"/>
      <c r="AU27" s="3070"/>
      <c r="AV27" s="3070"/>
      <c r="AW27" s="3070"/>
    </row>
    <row r="28" spans="3:60">
      <c r="C28" s="3700"/>
      <c r="D28" s="3708"/>
      <c r="E28" s="3711" t="s">
        <v>3203</v>
      </c>
      <c r="F28" s="3703"/>
      <c r="G28" s="3199">
        <v>796</v>
      </c>
      <c r="H28" s="3055" t="s">
        <v>3199</v>
      </c>
      <c r="I28" s="3055"/>
      <c r="J28" s="3173">
        <f>J26-J27</f>
        <v>361.6</v>
      </c>
      <c r="L28" s="3781"/>
      <c r="M28" s="3782"/>
      <c r="N28" s="3067"/>
      <c r="O28" s="3082"/>
      <c r="P28" s="3082"/>
      <c r="Q28" s="3082"/>
      <c r="R28" s="3068"/>
      <c r="S28" s="3068"/>
      <c r="T28" s="3056"/>
      <c r="U28" s="3063"/>
      <c r="V28" s="3197"/>
      <c r="W28" s="3082"/>
      <c r="X28" s="3070"/>
      <c r="Y28" s="3076">
        <f t="shared" si="2"/>
        <v>0</v>
      </c>
      <c r="Z28" s="3198"/>
      <c r="AA28" s="3198"/>
      <c r="AB28" s="3198"/>
      <c r="AC28" s="3198"/>
      <c r="AD28" s="3198"/>
      <c r="AE28" s="3198"/>
      <c r="AF28" s="3198"/>
      <c r="AG28" s="3198"/>
      <c r="AH28" s="3198"/>
      <c r="AI28" s="3198"/>
      <c r="AJ28" s="3198"/>
      <c r="AK28" s="3198"/>
      <c r="AL28" s="3198"/>
      <c r="AM28" s="3198"/>
      <c r="AN28" s="3198"/>
      <c r="AO28" s="3198"/>
      <c r="AP28" s="3198"/>
      <c r="AQ28" s="3198"/>
      <c r="AR28" s="3198"/>
      <c r="AS28" s="3070"/>
      <c r="AT28" s="3070"/>
      <c r="AU28" s="3070"/>
      <c r="AV28" s="3070"/>
      <c r="AW28" s="3070"/>
    </row>
    <row r="29" spans="3:60">
      <c r="L29" s="3781"/>
      <c r="M29" s="3782"/>
      <c r="N29" s="3067"/>
      <c r="O29" s="3082"/>
      <c r="P29" s="3082"/>
      <c r="Q29" s="3082"/>
      <c r="R29" s="3068"/>
      <c r="S29" s="3068"/>
      <c r="T29" s="3056"/>
      <c r="U29" s="3063"/>
      <c r="V29" s="3197"/>
      <c r="W29" s="3082"/>
      <c r="X29" s="3070"/>
      <c r="Y29" s="3076">
        <f t="shared" si="2"/>
        <v>0</v>
      </c>
      <c r="Z29" s="3198"/>
      <c r="AA29" s="3198"/>
      <c r="AB29" s="3198"/>
      <c r="AC29" s="3198"/>
      <c r="AD29" s="3198"/>
      <c r="AE29" s="3198"/>
      <c r="AF29" s="3198"/>
      <c r="AG29" s="3198"/>
      <c r="AH29" s="3198"/>
      <c r="AI29" s="3198"/>
      <c r="AJ29" s="3198"/>
      <c r="AK29" s="3198"/>
      <c r="AL29" s="3198"/>
      <c r="AM29" s="3198"/>
      <c r="AN29" s="3198"/>
      <c r="AO29" s="3198"/>
      <c r="AP29" s="3198"/>
      <c r="AQ29" s="3198"/>
      <c r="AR29" s="3198"/>
      <c r="AS29" s="3070"/>
      <c r="AT29" s="3070"/>
      <c r="AU29" s="3070"/>
      <c r="AV29" s="3070"/>
      <c r="AW29" s="3070"/>
    </row>
    <row r="30" spans="3:60">
      <c r="L30" s="3774" t="s">
        <v>3340</v>
      </c>
      <c r="M30" s="3775"/>
      <c r="N30" s="3108">
        <f t="shared" si="3"/>
        <v>817.15</v>
      </c>
      <c r="O30" s="3185">
        <v>722.35</v>
      </c>
      <c r="P30" s="3185">
        <v>94.8</v>
      </c>
      <c r="Q30" s="3185">
        <v>310.33999999999997</v>
      </c>
      <c r="R30" s="3180">
        <v>4</v>
      </c>
      <c r="S30" s="3180">
        <f t="shared" si="4"/>
        <v>12.8</v>
      </c>
      <c r="T30" s="3050" t="s">
        <v>3328</v>
      </c>
      <c r="U30" s="3183"/>
      <c r="V30" s="3182"/>
      <c r="W30" s="3185">
        <v>305.45999999999998</v>
      </c>
      <c r="Y30" s="3058">
        <f t="shared" si="2"/>
        <v>4</v>
      </c>
      <c r="Z30" s="3071"/>
      <c r="AA30" s="3071"/>
      <c r="AB30" s="3071"/>
      <c r="AC30" s="3071"/>
      <c r="AD30" s="3071"/>
      <c r="AE30" s="3071"/>
      <c r="AF30" s="3071"/>
      <c r="AG30" s="3071"/>
      <c r="AH30" s="3071"/>
      <c r="AI30" s="3071"/>
      <c r="AJ30" s="3071"/>
      <c r="AK30" s="3071"/>
      <c r="AL30" s="3071"/>
      <c r="AM30" s="3071"/>
      <c r="AN30" s="3071"/>
      <c r="AO30" s="3071"/>
      <c r="AP30" s="3071"/>
      <c r="AQ30" s="3071"/>
      <c r="AR30" s="3200">
        <v>4</v>
      </c>
    </row>
    <row r="31" spans="3:60">
      <c r="L31" s="3774" t="s">
        <v>3341</v>
      </c>
      <c r="M31" s="3775"/>
      <c r="N31" s="3108">
        <f t="shared" si="3"/>
        <v>817.15</v>
      </c>
      <c r="O31" s="3185">
        <v>722.35</v>
      </c>
      <c r="P31" s="3185">
        <v>94.8</v>
      </c>
      <c r="Q31" s="3185">
        <v>310.33999999999997</v>
      </c>
      <c r="R31" s="3180">
        <v>4</v>
      </c>
      <c r="S31" s="3180">
        <f t="shared" si="4"/>
        <v>12.8</v>
      </c>
      <c r="T31" s="3050" t="s">
        <v>3328</v>
      </c>
      <c r="U31" s="3183"/>
      <c r="V31" s="3182"/>
      <c r="W31" s="3185">
        <v>305.45999999999998</v>
      </c>
      <c r="Y31" s="3058">
        <f t="shared" si="2"/>
        <v>4</v>
      </c>
      <c r="Z31" s="3071"/>
      <c r="AA31" s="3071"/>
      <c r="AB31" s="3071"/>
      <c r="AC31" s="3071"/>
      <c r="AD31" s="3071"/>
      <c r="AE31" s="3071"/>
      <c r="AF31" s="3071"/>
      <c r="AG31" s="3071"/>
      <c r="AH31" s="3071"/>
      <c r="AI31" s="3071"/>
      <c r="AJ31" s="3071"/>
      <c r="AK31" s="3071"/>
      <c r="AL31" s="3071"/>
      <c r="AM31" s="3071"/>
      <c r="AN31" s="3071"/>
      <c r="AO31" s="3071"/>
      <c r="AP31" s="3071"/>
      <c r="AQ31" s="3071"/>
      <c r="AR31" s="3200">
        <v>4</v>
      </c>
    </row>
    <row r="32" spans="3:60">
      <c r="L32" s="3774" t="s">
        <v>3342</v>
      </c>
      <c r="M32" s="3775"/>
      <c r="N32" s="3108">
        <f t="shared" si="3"/>
        <v>1113.6799999999998</v>
      </c>
      <c r="O32" s="3185">
        <v>905.92</v>
      </c>
      <c r="P32" s="3185">
        <v>207.76</v>
      </c>
      <c r="Q32" s="3185">
        <v>388.88</v>
      </c>
      <c r="R32" s="3180">
        <v>5</v>
      </c>
      <c r="S32" s="3180">
        <f t="shared" si="4"/>
        <v>16</v>
      </c>
      <c r="T32" s="3050" t="s">
        <v>3328</v>
      </c>
      <c r="U32" s="3183"/>
      <c r="V32" s="3182"/>
      <c r="W32" s="3185">
        <v>382.78</v>
      </c>
      <c r="Y32" s="3058">
        <f t="shared" si="2"/>
        <v>5</v>
      </c>
      <c r="Z32" s="3071"/>
      <c r="AA32" s="3071"/>
      <c r="AB32" s="3071"/>
      <c r="AC32" s="3071"/>
      <c r="AD32" s="3071"/>
      <c r="AE32" s="3071"/>
      <c r="AF32" s="3071"/>
      <c r="AG32" s="3071"/>
      <c r="AH32" s="3071"/>
      <c r="AI32" s="3071"/>
      <c r="AJ32" s="3071"/>
      <c r="AK32" s="3071"/>
      <c r="AL32" s="3071"/>
      <c r="AM32" s="3071"/>
      <c r="AN32" s="3071"/>
      <c r="AO32" s="3071"/>
      <c r="AP32" s="3071"/>
      <c r="AQ32" s="3071"/>
      <c r="AR32" s="3200">
        <v>5</v>
      </c>
    </row>
    <row r="33" spans="12:44">
      <c r="L33" s="3774" t="s">
        <v>3343</v>
      </c>
      <c r="M33" s="3775"/>
      <c r="N33" s="3108">
        <f t="shared" si="3"/>
        <v>1024.42</v>
      </c>
      <c r="O33" s="3185">
        <v>905.92</v>
      </c>
      <c r="P33" s="3185">
        <v>118.5</v>
      </c>
      <c r="Q33" s="3185">
        <v>388.88</v>
      </c>
      <c r="R33" s="3180">
        <v>5</v>
      </c>
      <c r="S33" s="3180">
        <f t="shared" si="4"/>
        <v>16</v>
      </c>
      <c r="T33" s="3050" t="s">
        <v>3328</v>
      </c>
      <c r="U33" s="3183"/>
      <c r="V33" s="3182"/>
      <c r="W33" s="3185">
        <v>382.78</v>
      </c>
      <c r="Y33" s="3058">
        <f t="shared" si="2"/>
        <v>5</v>
      </c>
      <c r="Z33" s="3071"/>
      <c r="AA33" s="3071"/>
      <c r="AB33" s="3071"/>
      <c r="AC33" s="3071"/>
      <c r="AD33" s="3071"/>
      <c r="AE33" s="3071"/>
      <c r="AF33" s="3071"/>
      <c r="AG33" s="3071"/>
      <c r="AH33" s="3071"/>
      <c r="AI33" s="3071"/>
      <c r="AJ33" s="3071"/>
      <c r="AK33" s="3071"/>
      <c r="AL33" s="3071"/>
      <c r="AM33" s="3071"/>
      <c r="AN33" s="3071"/>
      <c r="AO33" s="3071"/>
      <c r="AP33" s="3071"/>
      <c r="AQ33" s="3071"/>
      <c r="AR33" s="3200">
        <v>5</v>
      </c>
    </row>
    <row r="34" spans="12:44">
      <c r="L34" s="3774" t="s">
        <v>3344</v>
      </c>
      <c r="M34" s="3775"/>
      <c r="N34" s="3108">
        <f t="shared" si="3"/>
        <v>1024.42</v>
      </c>
      <c r="O34" s="3185">
        <v>905.92</v>
      </c>
      <c r="P34" s="3185">
        <v>118.5</v>
      </c>
      <c r="Q34" s="3185">
        <v>388.88</v>
      </c>
      <c r="R34" s="3180">
        <v>5</v>
      </c>
      <c r="S34" s="3180">
        <f t="shared" si="4"/>
        <v>16</v>
      </c>
      <c r="T34" s="3050" t="s">
        <v>3328</v>
      </c>
      <c r="U34" s="3183"/>
      <c r="V34" s="3182"/>
      <c r="W34" s="3185">
        <v>382.78</v>
      </c>
      <c r="Y34" s="3058">
        <f t="shared" si="2"/>
        <v>5</v>
      </c>
      <c r="Z34" s="3071"/>
      <c r="AA34" s="3071"/>
      <c r="AB34" s="3071"/>
      <c r="AC34" s="3071"/>
      <c r="AD34" s="3071"/>
      <c r="AE34" s="3071"/>
      <c r="AF34" s="3071"/>
      <c r="AG34" s="3071"/>
      <c r="AH34" s="3071"/>
      <c r="AI34" s="3071"/>
      <c r="AJ34" s="3071"/>
      <c r="AK34" s="3071"/>
      <c r="AL34" s="3071"/>
      <c r="AM34" s="3071"/>
      <c r="AN34" s="3071"/>
      <c r="AO34" s="3071"/>
      <c r="AP34" s="3071"/>
      <c r="AQ34" s="3071"/>
      <c r="AR34" s="3200">
        <v>5</v>
      </c>
    </row>
    <row r="35" spans="12:44">
      <c r="L35" s="3774" t="s">
        <v>3345</v>
      </c>
      <c r="M35" s="3775"/>
      <c r="N35" s="3108">
        <f t="shared" si="3"/>
        <v>1024.42</v>
      </c>
      <c r="O35" s="3185">
        <v>905.92</v>
      </c>
      <c r="P35" s="3185">
        <v>118.5</v>
      </c>
      <c r="Q35" s="3185">
        <v>388.88</v>
      </c>
      <c r="R35" s="3180">
        <v>5</v>
      </c>
      <c r="S35" s="3180">
        <f t="shared" si="4"/>
        <v>16</v>
      </c>
      <c r="T35" s="3050" t="s">
        <v>3328</v>
      </c>
      <c r="U35" s="3183"/>
      <c r="V35" s="3182"/>
      <c r="W35" s="3185">
        <v>382.78</v>
      </c>
      <c r="Y35" s="3058">
        <f t="shared" si="2"/>
        <v>5</v>
      </c>
      <c r="Z35" s="3071"/>
      <c r="AA35" s="3071"/>
      <c r="AB35" s="3071"/>
      <c r="AC35" s="3071"/>
      <c r="AD35" s="3071"/>
      <c r="AE35" s="3071"/>
      <c r="AF35" s="3071"/>
      <c r="AG35" s="3071"/>
      <c r="AH35" s="3071"/>
      <c r="AI35" s="3071"/>
      <c r="AJ35" s="3071"/>
      <c r="AK35" s="3071"/>
      <c r="AL35" s="3071"/>
      <c r="AM35" s="3071"/>
      <c r="AN35" s="3071"/>
      <c r="AO35" s="3071"/>
      <c r="AP35" s="3071"/>
      <c r="AQ35" s="3071"/>
      <c r="AR35" s="3200">
        <v>5</v>
      </c>
    </row>
    <row r="36" spans="12:44">
      <c r="L36" s="3774" t="s">
        <v>3346</v>
      </c>
      <c r="M36" s="3775"/>
      <c r="N36" s="3108">
        <f t="shared" si="3"/>
        <v>1269.01</v>
      </c>
      <c r="O36" s="3185">
        <v>1081.78</v>
      </c>
      <c r="P36" s="3185">
        <v>187.23</v>
      </c>
      <c r="Q36" s="3185">
        <v>464.64</v>
      </c>
      <c r="R36" s="3180">
        <v>6</v>
      </c>
      <c r="S36" s="3180">
        <f t="shared" si="4"/>
        <v>19.200000000000003</v>
      </c>
      <c r="T36" s="3050" t="s">
        <v>3328</v>
      </c>
      <c r="U36" s="3183"/>
      <c r="V36" s="3182"/>
      <c r="W36" s="3185">
        <v>457.31</v>
      </c>
      <c r="Y36" s="3058">
        <f t="shared" si="2"/>
        <v>6</v>
      </c>
      <c r="Z36" s="3071"/>
      <c r="AA36" s="3071"/>
      <c r="AB36" s="3071"/>
      <c r="AC36" s="3071"/>
      <c r="AD36" s="3071"/>
      <c r="AE36" s="3071"/>
      <c r="AF36" s="3071"/>
      <c r="AG36" s="3071"/>
      <c r="AH36" s="3071"/>
      <c r="AI36" s="3071"/>
      <c r="AJ36" s="3071"/>
      <c r="AK36" s="3071"/>
      <c r="AL36" s="3071"/>
      <c r="AM36" s="3071"/>
      <c r="AN36" s="3071"/>
      <c r="AO36" s="3071"/>
      <c r="AP36" s="3071"/>
      <c r="AQ36" s="3071"/>
      <c r="AR36" s="3200">
        <v>6</v>
      </c>
    </row>
    <row r="37" spans="12:44">
      <c r="L37" s="3774" t="s">
        <v>3347</v>
      </c>
      <c r="M37" s="3775"/>
      <c r="N37" s="3108">
        <f t="shared" si="3"/>
        <v>1024.42</v>
      </c>
      <c r="O37" s="3185">
        <v>905.92</v>
      </c>
      <c r="P37" s="3185">
        <v>118.5</v>
      </c>
      <c r="Q37" s="3185">
        <v>388.88</v>
      </c>
      <c r="R37" s="3180">
        <v>5</v>
      </c>
      <c r="S37" s="3180">
        <f t="shared" si="4"/>
        <v>16</v>
      </c>
      <c r="T37" s="3050" t="s">
        <v>3328</v>
      </c>
      <c r="U37" s="3183"/>
      <c r="V37" s="3182"/>
      <c r="W37" s="3185">
        <v>382.78</v>
      </c>
      <c r="Y37" s="3058">
        <f t="shared" si="2"/>
        <v>5</v>
      </c>
      <c r="Z37" s="3071"/>
      <c r="AA37" s="3071"/>
      <c r="AB37" s="3071"/>
      <c r="AC37" s="3071"/>
      <c r="AD37" s="3071"/>
      <c r="AE37" s="3071"/>
      <c r="AF37" s="3071"/>
      <c r="AG37" s="3071"/>
      <c r="AH37" s="3071"/>
      <c r="AI37" s="3071"/>
      <c r="AJ37" s="3071"/>
      <c r="AK37" s="3071"/>
      <c r="AL37" s="3071"/>
      <c r="AM37" s="3071"/>
      <c r="AN37" s="3071"/>
      <c r="AO37" s="3071"/>
      <c r="AP37" s="3071"/>
      <c r="AQ37" s="3071"/>
      <c r="AR37" s="3200">
        <v>5</v>
      </c>
    </row>
    <row r="38" spans="12:44">
      <c r="L38" s="3774" t="s">
        <v>3348</v>
      </c>
      <c r="M38" s="3775"/>
      <c r="N38" s="3108">
        <f t="shared" si="3"/>
        <v>1223.98</v>
      </c>
      <c r="O38" s="3185">
        <v>1081.78</v>
      </c>
      <c r="P38" s="3185">
        <v>142.19999999999999</v>
      </c>
      <c r="Q38" s="3185">
        <v>464.64</v>
      </c>
      <c r="R38" s="3180">
        <v>6</v>
      </c>
      <c r="S38" s="3180">
        <f t="shared" si="4"/>
        <v>19.200000000000003</v>
      </c>
      <c r="T38" s="3050" t="s">
        <v>3328</v>
      </c>
      <c r="U38" s="3183"/>
      <c r="V38" s="3182"/>
      <c r="W38" s="3185">
        <v>457.31</v>
      </c>
      <c r="Y38" s="3058">
        <f t="shared" si="2"/>
        <v>6</v>
      </c>
      <c r="Z38" s="3071"/>
      <c r="AA38" s="3071"/>
      <c r="AB38" s="3071"/>
      <c r="AC38" s="3071"/>
      <c r="AD38" s="3071"/>
      <c r="AE38" s="3071"/>
      <c r="AF38" s="3071"/>
      <c r="AG38" s="3071"/>
      <c r="AH38" s="3071"/>
      <c r="AI38" s="3071"/>
      <c r="AJ38" s="3071"/>
      <c r="AK38" s="3071"/>
      <c r="AL38" s="3071"/>
      <c r="AM38" s="3071"/>
      <c r="AN38" s="3071"/>
      <c r="AO38" s="3071"/>
      <c r="AP38" s="3071"/>
      <c r="AQ38" s="3071"/>
      <c r="AR38" s="3200">
        <v>6</v>
      </c>
    </row>
    <row r="39" spans="12:44">
      <c r="L39" s="3774" t="s">
        <v>3349</v>
      </c>
      <c r="M39" s="3775"/>
      <c r="N39" s="3108">
        <f t="shared" si="3"/>
        <v>1223.98</v>
      </c>
      <c r="O39" s="3185">
        <v>1081.78</v>
      </c>
      <c r="P39" s="3185">
        <v>142.19999999999999</v>
      </c>
      <c r="Q39" s="3185">
        <v>464.64</v>
      </c>
      <c r="R39" s="3180">
        <v>6</v>
      </c>
      <c r="S39" s="3180">
        <f t="shared" si="4"/>
        <v>19.200000000000003</v>
      </c>
      <c r="T39" s="3050" t="s">
        <v>3328</v>
      </c>
      <c r="U39" s="3183"/>
      <c r="V39" s="3182"/>
      <c r="W39" s="3185">
        <v>457.31</v>
      </c>
      <c r="Y39" s="3058">
        <f t="shared" si="2"/>
        <v>6</v>
      </c>
      <c r="Z39" s="3071"/>
      <c r="AA39" s="3071"/>
      <c r="AB39" s="3071"/>
      <c r="AC39" s="3071"/>
      <c r="AD39" s="3071"/>
      <c r="AE39" s="3071"/>
      <c r="AF39" s="3071"/>
      <c r="AG39" s="3071"/>
      <c r="AH39" s="3071"/>
      <c r="AI39" s="3071"/>
      <c r="AJ39" s="3071"/>
      <c r="AK39" s="3071"/>
      <c r="AL39" s="3071"/>
      <c r="AM39" s="3071"/>
      <c r="AN39" s="3071"/>
      <c r="AO39" s="3071"/>
      <c r="AP39" s="3071"/>
      <c r="AQ39" s="3071"/>
      <c r="AR39" s="3200">
        <v>6</v>
      </c>
    </row>
    <row r="40" spans="12:44">
      <c r="L40" s="3774" t="s">
        <v>3350</v>
      </c>
      <c r="M40" s="3775"/>
      <c r="N40" s="3108">
        <f t="shared" si="3"/>
        <v>1223.98</v>
      </c>
      <c r="O40" s="3185">
        <v>1081.78</v>
      </c>
      <c r="P40" s="3185">
        <v>142.19999999999999</v>
      </c>
      <c r="Q40" s="3185">
        <v>464.64</v>
      </c>
      <c r="R40" s="3180">
        <v>6</v>
      </c>
      <c r="S40" s="3180">
        <f t="shared" si="4"/>
        <v>19.200000000000003</v>
      </c>
      <c r="T40" s="3050" t="s">
        <v>3328</v>
      </c>
      <c r="U40" s="3183"/>
      <c r="V40" s="3182"/>
      <c r="W40" s="3185">
        <v>457.31</v>
      </c>
      <c r="Y40" s="3058">
        <f t="shared" si="2"/>
        <v>6</v>
      </c>
      <c r="Z40" s="3071"/>
      <c r="AA40" s="3071"/>
      <c r="AB40" s="3071"/>
      <c r="AC40" s="3071"/>
      <c r="AD40" s="3071"/>
      <c r="AE40" s="3071"/>
      <c r="AF40" s="3071"/>
      <c r="AG40" s="3071"/>
      <c r="AH40" s="3071"/>
      <c r="AI40" s="3071"/>
      <c r="AJ40" s="3071"/>
      <c r="AK40" s="3071"/>
      <c r="AL40" s="3071"/>
      <c r="AM40" s="3071"/>
      <c r="AN40" s="3071"/>
      <c r="AO40" s="3071"/>
      <c r="AP40" s="3071"/>
      <c r="AQ40" s="3071"/>
      <c r="AR40" s="3200">
        <v>6</v>
      </c>
    </row>
    <row r="41" spans="12:44">
      <c r="L41" s="3774" t="s">
        <v>3351</v>
      </c>
      <c r="M41" s="3775"/>
      <c r="N41" s="3108">
        <f t="shared" si="3"/>
        <v>1431.4</v>
      </c>
      <c r="O41" s="3201">
        <v>1265.5</v>
      </c>
      <c r="P41" s="3185">
        <v>165.9</v>
      </c>
      <c r="Q41" s="3185">
        <v>543.20000000000005</v>
      </c>
      <c r="R41" s="3180">
        <v>7</v>
      </c>
      <c r="S41" s="3180">
        <f t="shared" si="4"/>
        <v>22.400000000000002</v>
      </c>
      <c r="T41" s="3050" t="s">
        <v>3328</v>
      </c>
      <c r="U41" s="3183"/>
      <c r="V41" s="3182"/>
      <c r="W41" s="3185">
        <v>534.64</v>
      </c>
      <c r="Y41" s="3058">
        <f t="shared" si="2"/>
        <v>7</v>
      </c>
      <c r="Z41" s="3071"/>
      <c r="AA41" s="3071"/>
      <c r="AB41" s="3071"/>
      <c r="AC41" s="3071"/>
      <c r="AD41" s="3071"/>
      <c r="AE41" s="3071"/>
      <c r="AF41" s="3071"/>
      <c r="AG41" s="3071"/>
      <c r="AH41" s="3071"/>
      <c r="AI41" s="3071"/>
      <c r="AJ41" s="3071"/>
      <c r="AK41" s="3071"/>
      <c r="AL41" s="3071"/>
      <c r="AM41" s="3071"/>
      <c r="AN41" s="3071"/>
      <c r="AO41" s="3071"/>
      <c r="AP41" s="3071"/>
      <c r="AQ41" s="3071"/>
      <c r="AR41" s="3200">
        <v>7</v>
      </c>
    </row>
    <row r="42" spans="12:44">
      <c r="L42" s="3774" t="s">
        <v>3352</v>
      </c>
      <c r="M42" s="3775"/>
      <c r="N42" s="3108">
        <f t="shared" si="3"/>
        <v>1838.0900000000001</v>
      </c>
      <c r="O42" s="3201">
        <v>1265.5</v>
      </c>
      <c r="P42" s="3185">
        <v>572.59</v>
      </c>
      <c r="Q42" s="3185">
        <v>543.20000000000005</v>
      </c>
      <c r="R42" s="3180">
        <v>7</v>
      </c>
      <c r="S42" s="3180">
        <f t="shared" si="4"/>
        <v>22.400000000000002</v>
      </c>
      <c r="T42" s="3050" t="s">
        <v>3328</v>
      </c>
      <c r="U42" s="3183"/>
      <c r="V42" s="3182"/>
      <c r="W42" s="3185">
        <v>534.64</v>
      </c>
      <c r="Y42" s="3058">
        <f t="shared" si="2"/>
        <v>7</v>
      </c>
      <c r="Z42" s="3071"/>
      <c r="AA42" s="3071"/>
      <c r="AB42" s="3071"/>
      <c r="AC42" s="3071"/>
      <c r="AD42" s="3071"/>
      <c r="AE42" s="3071"/>
      <c r="AF42" s="3071"/>
      <c r="AG42" s="3071"/>
      <c r="AH42" s="3071"/>
      <c r="AI42" s="3071"/>
      <c r="AJ42" s="3071"/>
      <c r="AK42" s="3071"/>
      <c r="AL42" s="3071"/>
      <c r="AM42" s="3071"/>
      <c r="AN42" s="3071"/>
      <c r="AO42" s="3071"/>
      <c r="AP42" s="3071"/>
      <c r="AQ42" s="3071"/>
      <c r="AR42" s="3200">
        <v>7</v>
      </c>
    </row>
    <row r="43" spans="12:44">
      <c r="L43" s="3774" t="s">
        <v>3353</v>
      </c>
      <c r="M43" s="3775"/>
      <c r="N43" s="3108">
        <f t="shared" si="3"/>
        <v>1572.59</v>
      </c>
      <c r="O43" s="3185">
        <v>1081.78</v>
      </c>
      <c r="P43" s="3185">
        <v>490.81</v>
      </c>
      <c r="Q43" s="3185">
        <v>464.64</v>
      </c>
      <c r="R43" s="3180">
        <v>6</v>
      </c>
      <c r="S43" s="3180">
        <f t="shared" si="4"/>
        <v>19.200000000000003</v>
      </c>
      <c r="T43" s="3050" t="s">
        <v>3328</v>
      </c>
      <c r="U43" s="3183"/>
      <c r="V43" s="3182"/>
      <c r="W43" s="3185">
        <v>457.31</v>
      </c>
      <c r="Y43" s="3058">
        <f t="shared" si="2"/>
        <v>6</v>
      </c>
      <c r="Z43" s="3071"/>
      <c r="AA43" s="3071"/>
      <c r="AB43" s="3071"/>
      <c r="AC43" s="3071"/>
      <c r="AD43" s="3071"/>
      <c r="AE43" s="3071"/>
      <c r="AF43" s="3071"/>
      <c r="AG43" s="3071"/>
      <c r="AH43" s="3071"/>
      <c r="AI43" s="3071"/>
      <c r="AJ43" s="3071"/>
      <c r="AK43" s="3071"/>
      <c r="AL43" s="3071"/>
      <c r="AM43" s="3071"/>
      <c r="AN43" s="3071"/>
      <c r="AO43" s="3071"/>
      <c r="AP43" s="3071"/>
      <c r="AQ43" s="3071"/>
      <c r="AR43" s="3200">
        <v>6</v>
      </c>
    </row>
    <row r="44" spans="12:44">
      <c r="L44" s="3783" t="s">
        <v>3209</v>
      </c>
      <c r="M44" s="3783"/>
      <c r="N44" s="3202">
        <f t="shared" ref="N44:Q44" si="5">SUM(N6:N43)</f>
        <v>63623.420000000013</v>
      </c>
      <c r="O44" s="3202">
        <f t="shared" si="5"/>
        <v>57628.499999999964</v>
      </c>
      <c r="P44" s="3202">
        <f t="shared" si="5"/>
        <v>5994.9199999999992</v>
      </c>
      <c r="Q44" s="3202">
        <f t="shared" si="5"/>
        <v>15475.899999999994</v>
      </c>
      <c r="R44" s="3203">
        <f>SUM(R6:R43)</f>
        <v>452</v>
      </c>
      <c r="S44" s="3203">
        <f>SUM(S6:S43)</f>
        <v>1446.4000000000008</v>
      </c>
      <c r="T44" s="3084"/>
      <c r="U44" s="3084"/>
      <c r="V44" s="3084"/>
      <c r="W44" s="3202">
        <f>SUM(W6:W43)</f>
        <v>14400.439999999999</v>
      </c>
      <c r="X44" s="3084" t="s">
        <v>3209</v>
      </c>
      <c r="Y44" s="3058">
        <f t="shared" si="2"/>
        <v>452</v>
      </c>
      <c r="Z44" s="3200">
        <f>SUM(Z6:Z43)</f>
        <v>36</v>
      </c>
      <c r="AA44" s="3200">
        <f t="shared" ref="AA44:AR44" si="6">SUM(AA6:AA43)</f>
        <v>12</v>
      </c>
      <c r="AB44" s="3200">
        <f t="shared" si="6"/>
        <v>12</v>
      </c>
      <c r="AC44" s="3200">
        <f t="shared" si="6"/>
        <v>12</v>
      </c>
      <c r="AD44" s="3200">
        <f t="shared" si="6"/>
        <v>3</v>
      </c>
      <c r="AE44" s="3200">
        <f t="shared" si="6"/>
        <v>47</v>
      </c>
      <c r="AF44" s="3200">
        <f t="shared" si="6"/>
        <v>10</v>
      </c>
      <c r="AG44" s="3200">
        <f t="shared" si="6"/>
        <v>6</v>
      </c>
      <c r="AH44" s="3200">
        <f t="shared" si="6"/>
        <v>8</v>
      </c>
      <c r="AI44" s="3200">
        <f t="shared" si="6"/>
        <v>82</v>
      </c>
      <c r="AJ44" s="3200">
        <f t="shared" si="6"/>
        <v>50</v>
      </c>
      <c r="AK44" s="3200">
        <f t="shared" si="6"/>
        <v>16</v>
      </c>
      <c r="AL44" s="3071">
        <f t="shared" si="6"/>
        <v>0</v>
      </c>
      <c r="AM44" s="3071">
        <f t="shared" si="6"/>
        <v>0</v>
      </c>
      <c r="AN44" s="3071">
        <f t="shared" si="6"/>
        <v>0</v>
      </c>
      <c r="AO44" s="3071">
        <f t="shared" si="6"/>
        <v>0</v>
      </c>
      <c r="AP44" s="3071">
        <f t="shared" si="6"/>
        <v>0</v>
      </c>
      <c r="AQ44" s="3071">
        <f t="shared" si="6"/>
        <v>0</v>
      </c>
      <c r="AR44" s="3200">
        <f t="shared" si="6"/>
        <v>158</v>
      </c>
    </row>
    <row r="45" spans="12:44">
      <c r="Y45" s="3204" t="s">
        <v>3210</v>
      </c>
      <c r="Z45" s="3205">
        <f>Z44/Y44</f>
        <v>7.9646017699115043E-2</v>
      </c>
      <c r="AA45" s="3205">
        <f>AA44/Y44</f>
        <v>2.6548672566371681E-2</v>
      </c>
      <c r="AB45" s="3205">
        <f>AB44/Y44</f>
        <v>2.6548672566371681E-2</v>
      </c>
      <c r="AC45" s="3205">
        <f>AC44/Y44</f>
        <v>2.6548672566371681E-2</v>
      </c>
      <c r="AD45" s="3205">
        <f>AD44/Y44</f>
        <v>6.6371681415929203E-3</v>
      </c>
      <c r="AE45" s="3205">
        <f>AE44/Y44</f>
        <v>0.10398230088495575</v>
      </c>
      <c r="AF45" s="3205">
        <f>AF44/Y44</f>
        <v>2.2123893805309734E-2</v>
      </c>
      <c r="AG45" s="3205">
        <f>AG44/Y44</f>
        <v>1.3274336283185841E-2</v>
      </c>
      <c r="AH45" s="3205">
        <f>AH44/Y44</f>
        <v>1.7699115044247787E-2</v>
      </c>
      <c r="AI45" s="3205">
        <f>AI44/Y44</f>
        <v>0.18141592920353983</v>
      </c>
      <c r="AJ45" s="3205">
        <f>AJ44/Y44</f>
        <v>0.11061946902654868</v>
      </c>
      <c r="AK45" s="3205">
        <f>AK44/Y44</f>
        <v>3.5398230088495575E-2</v>
      </c>
      <c r="AL45" s="3206"/>
      <c r="AM45" s="3206"/>
      <c r="AN45" s="3206"/>
      <c r="AO45" s="3206"/>
      <c r="AP45" s="3206"/>
      <c r="AQ45" s="3206"/>
      <c r="AR45" s="3205">
        <f>AR44/Y44</f>
        <v>0.34955752212389379</v>
      </c>
    </row>
    <row r="49" spans="3:21">
      <c r="C49" s="3606" t="s">
        <v>3211</v>
      </c>
      <c r="D49" s="3607"/>
      <c r="E49" s="3607"/>
      <c r="F49" s="3607"/>
      <c r="G49" s="3607"/>
      <c r="L49" s="3774" t="s">
        <v>3354</v>
      </c>
      <c r="M49" s="3775"/>
      <c r="N49" s="3207">
        <f>SUM(N50:N52)</f>
        <v>27309.81</v>
      </c>
      <c r="O49" s="3207"/>
      <c r="P49" s="3207"/>
      <c r="Q49" s="3207"/>
      <c r="R49" s="3208"/>
      <c r="S49" s="3208"/>
      <c r="T49" s="3207"/>
      <c r="U49" s="3207"/>
    </row>
    <row r="50" spans="3:21">
      <c r="C50" s="3113"/>
      <c r="D50" s="3113"/>
      <c r="E50" s="3114" t="s">
        <v>3214</v>
      </c>
      <c r="F50" s="3059" t="s">
        <v>3215</v>
      </c>
      <c r="G50" s="3059" t="s">
        <v>3216</v>
      </c>
      <c r="L50" s="3784" t="s">
        <v>3149</v>
      </c>
      <c r="M50" s="3183" t="s">
        <v>3355</v>
      </c>
      <c r="N50" s="3183"/>
      <c r="O50" s="3183"/>
      <c r="P50" s="3207"/>
      <c r="Q50" s="3207"/>
      <c r="R50" s="3208"/>
      <c r="S50" s="3208"/>
      <c r="T50" s="3207"/>
      <c r="U50" s="3207"/>
    </row>
    <row r="51" spans="3:21">
      <c r="C51" s="3612" t="s">
        <v>3217</v>
      </c>
      <c r="D51" s="3115" t="s">
        <v>3218</v>
      </c>
      <c r="E51" s="3116"/>
      <c r="F51" s="3059"/>
      <c r="G51" s="3059"/>
      <c r="L51" s="3785"/>
      <c r="M51" s="3183" t="s">
        <v>3223</v>
      </c>
      <c r="N51" s="3207"/>
      <c r="O51" s="3207"/>
      <c r="P51" s="3207"/>
      <c r="Q51" s="3207"/>
      <c r="R51" s="3208"/>
      <c r="S51" s="3208"/>
      <c r="T51" s="3207"/>
      <c r="U51" s="3207"/>
    </row>
    <row r="52" spans="3:21">
      <c r="C52" s="3613"/>
      <c r="D52" s="3115" t="s">
        <v>3219</v>
      </c>
      <c r="E52" s="3116"/>
      <c r="F52" s="3059"/>
      <c r="G52" s="3059"/>
      <c r="L52" s="3786"/>
      <c r="M52" s="3183" t="s">
        <v>48</v>
      </c>
      <c r="N52" s="3207">
        <v>27309.81</v>
      </c>
      <c r="O52" s="3207"/>
      <c r="P52" s="3207"/>
      <c r="Q52" s="3207"/>
      <c r="R52" s="3208"/>
      <c r="S52" s="3208"/>
      <c r="T52" s="3207"/>
      <c r="U52" s="3207"/>
    </row>
    <row r="53" spans="3:21" ht="14.25" thickBot="1">
      <c r="C53" s="3615" t="s">
        <v>3221</v>
      </c>
      <c r="D53" s="3115" t="s">
        <v>3222</v>
      </c>
      <c r="E53" s="3616"/>
      <c r="F53" s="3059"/>
      <c r="G53" s="3059"/>
      <c r="L53" s="3209"/>
      <c r="M53" s="3209"/>
      <c r="N53" s="3210"/>
      <c r="O53" s="3210"/>
      <c r="P53" s="3210"/>
      <c r="Q53" s="3210"/>
      <c r="R53" s="3211"/>
      <c r="S53" s="3211"/>
      <c r="T53" s="3210"/>
      <c r="U53" s="3210"/>
    </row>
    <row r="54" spans="3:21">
      <c r="C54" s="3615"/>
      <c r="D54" s="3115" t="s">
        <v>3224</v>
      </c>
      <c r="E54" s="3617"/>
      <c r="F54" s="3059"/>
      <c r="G54" s="3059"/>
    </row>
    <row r="55" spans="3:21">
      <c r="C55" s="3615"/>
      <c r="D55" s="3115" t="s">
        <v>3226</v>
      </c>
      <c r="E55" s="3617"/>
      <c r="F55" s="3059"/>
      <c r="G55" s="3059"/>
    </row>
    <row r="56" spans="3:21">
      <c r="C56" s="3615"/>
      <c r="D56" s="3115" t="s">
        <v>3228</v>
      </c>
      <c r="E56" s="3617"/>
      <c r="F56" s="3059"/>
      <c r="G56" s="3059"/>
    </row>
    <row r="57" spans="3:21">
      <c r="C57" s="3615"/>
      <c r="D57" s="3115" t="s">
        <v>3230</v>
      </c>
      <c r="E57" s="3618"/>
      <c r="F57" s="3059"/>
      <c r="G57" s="3059"/>
    </row>
    <row r="58" spans="3:21">
      <c r="C58" s="3113"/>
      <c r="D58" s="3113"/>
      <c r="E58" s="3116"/>
      <c r="F58" s="3059"/>
      <c r="G58" s="3059"/>
    </row>
    <row r="59" spans="3:21">
      <c r="C59" s="3084" t="s">
        <v>3231</v>
      </c>
      <c r="D59" s="3119" t="s">
        <v>3232</v>
      </c>
      <c r="E59" s="3116"/>
      <c r="F59" s="3059"/>
      <c r="G59" s="3059"/>
    </row>
    <row r="60" spans="3:21">
      <c r="C60" s="3115"/>
      <c r="D60" s="3120"/>
      <c r="E60" s="3120"/>
      <c r="F60" s="3059"/>
      <c r="G60" s="3059"/>
    </row>
    <row r="61" spans="3:21">
      <c r="C61" s="3605" t="s">
        <v>3233</v>
      </c>
      <c r="D61" s="3119" t="s">
        <v>3234</v>
      </c>
      <c r="E61" s="3116"/>
      <c r="F61" s="3059"/>
      <c r="G61" s="3059"/>
    </row>
    <row r="62" spans="3:21">
      <c r="C62" s="3605"/>
      <c r="D62" s="3115" t="s">
        <v>3235</v>
      </c>
      <c r="E62" s="3116"/>
      <c r="F62" s="3059"/>
      <c r="G62" s="3059"/>
    </row>
    <row r="63" spans="3:21">
      <c r="C63" s="3121"/>
      <c r="D63" s="3113"/>
      <c r="E63" s="3116"/>
      <c r="F63" s="3059"/>
      <c r="G63" s="3059"/>
    </row>
    <row r="64" spans="3:21">
      <c r="C64" s="3113"/>
      <c r="D64" s="3113"/>
      <c r="E64" s="3116"/>
      <c r="F64" s="3059"/>
      <c r="G64" s="3059"/>
    </row>
    <row r="65" spans="3:7">
      <c r="C65" s="3620" t="s">
        <v>3236</v>
      </c>
      <c r="D65" s="3119" t="s">
        <v>3271</v>
      </c>
      <c r="E65" s="3622"/>
      <c r="F65" s="3059"/>
      <c r="G65" s="3059"/>
    </row>
    <row r="66" spans="3:7">
      <c r="C66" s="3621"/>
      <c r="D66" s="3119" t="s">
        <v>3272</v>
      </c>
      <c r="E66" s="3618"/>
      <c r="F66" s="3059"/>
      <c r="G66" s="3059"/>
    </row>
    <row r="67" spans="3:7">
      <c r="C67" s="3113"/>
      <c r="D67" s="3113"/>
      <c r="E67" s="3116"/>
      <c r="F67" s="3059"/>
      <c r="G67" s="3059"/>
    </row>
    <row r="68" spans="3:7">
      <c r="C68" s="3620" t="s">
        <v>3273</v>
      </c>
      <c r="D68" s="3119" t="s">
        <v>3274</v>
      </c>
      <c r="E68" s="3116"/>
      <c r="F68" s="3059"/>
      <c r="G68" s="3059"/>
    </row>
    <row r="69" spans="3:7">
      <c r="C69" s="3623"/>
      <c r="D69" s="3119" t="s">
        <v>3275</v>
      </c>
      <c r="E69" s="3116"/>
      <c r="F69" s="3059"/>
      <c r="G69" s="3059"/>
    </row>
    <row r="70" spans="3:7">
      <c r="C70" s="3623"/>
      <c r="D70" s="3119" t="s">
        <v>3276</v>
      </c>
      <c r="E70" s="3116"/>
      <c r="F70" s="3059"/>
      <c r="G70" s="3059"/>
    </row>
    <row r="71" spans="3:7">
      <c r="C71" s="3623"/>
      <c r="D71" s="3119" t="s">
        <v>3277</v>
      </c>
      <c r="E71" s="3116"/>
      <c r="F71" s="3059"/>
      <c r="G71" s="3059"/>
    </row>
    <row r="72" spans="3:7">
      <c r="C72" s="3621"/>
      <c r="D72" s="3115" t="s">
        <v>3278</v>
      </c>
      <c r="E72" s="3116">
        <f>O8</f>
        <v>806.38</v>
      </c>
      <c r="F72" s="3059"/>
      <c r="G72" s="3059"/>
    </row>
    <row r="73" spans="3:7">
      <c r="C73" s="3615" t="s">
        <v>3279</v>
      </c>
      <c r="D73" s="3115" t="s">
        <v>3280</v>
      </c>
      <c r="E73" s="3116"/>
      <c r="F73" s="3059"/>
      <c r="G73" s="3059"/>
    </row>
    <row r="74" spans="3:7">
      <c r="C74" s="3615"/>
      <c r="D74" s="3119" t="s">
        <v>3281</v>
      </c>
      <c r="E74" s="3116"/>
      <c r="F74" s="3059"/>
      <c r="G74" s="3059"/>
    </row>
    <row r="75" spans="3:7">
      <c r="C75" s="3615"/>
      <c r="D75" s="3119" t="s">
        <v>3282</v>
      </c>
      <c r="E75" s="3116"/>
      <c r="F75" s="3059"/>
      <c r="G75" s="3059"/>
    </row>
    <row r="76" spans="3:7">
      <c r="C76" s="3615"/>
      <c r="D76" s="3115" t="s">
        <v>3283</v>
      </c>
      <c r="E76" s="3116"/>
      <c r="F76" s="3059"/>
      <c r="G76" s="3059"/>
    </row>
    <row r="77" spans="3:7">
      <c r="C77" s="3615"/>
      <c r="D77" s="3115" t="s">
        <v>3284</v>
      </c>
      <c r="E77" s="3116"/>
      <c r="F77" s="3059"/>
      <c r="G77" s="3059"/>
    </row>
    <row r="78" spans="3:7">
      <c r="C78" s="3615"/>
      <c r="D78" s="3115"/>
      <c r="E78" s="3116"/>
      <c r="F78" s="3059"/>
      <c r="G78" s="3059"/>
    </row>
    <row r="79" spans="3:7">
      <c r="C79" s="3615"/>
      <c r="D79" s="3115" t="s">
        <v>3285</v>
      </c>
      <c r="E79" s="3116"/>
      <c r="F79" s="3059"/>
      <c r="G79" s="3059"/>
    </row>
    <row r="80" spans="3:7">
      <c r="C80" s="3615"/>
      <c r="D80" s="3115" t="s">
        <v>3286</v>
      </c>
      <c r="E80" s="3116"/>
      <c r="F80" s="3059"/>
      <c r="G80" s="3059"/>
    </row>
    <row r="81" spans="3:7">
      <c r="C81" s="3615"/>
      <c r="D81" s="3115" t="s">
        <v>3287</v>
      </c>
      <c r="E81" s="3116"/>
      <c r="F81" s="3059"/>
      <c r="G81" s="3059"/>
    </row>
    <row r="82" spans="3:7">
      <c r="C82" s="3615"/>
      <c r="D82" s="3115" t="s">
        <v>3288</v>
      </c>
      <c r="E82" s="3116"/>
      <c r="F82" s="3059"/>
      <c r="G82" s="3059"/>
    </row>
    <row r="83" spans="3:7">
      <c r="C83" s="3615"/>
      <c r="D83" s="3115" t="s">
        <v>3289</v>
      </c>
      <c r="E83" s="3116"/>
      <c r="F83" s="3059"/>
      <c r="G83" s="3059"/>
    </row>
    <row r="84" spans="3:7">
      <c r="C84" s="3058" t="s">
        <v>3209</v>
      </c>
      <c r="D84" s="3058"/>
      <c r="E84" s="3058">
        <f>SUM(E51:E83)</f>
        <v>806.38</v>
      </c>
      <c r="F84" s="3058"/>
      <c r="G84" s="3059"/>
    </row>
    <row r="85" spans="3:7">
      <c r="C85" s="3120"/>
      <c r="D85" s="3120"/>
      <c r="E85" s="3120"/>
    </row>
    <row r="86" spans="3:7">
      <c r="C86" s="3122" t="s">
        <v>3290</v>
      </c>
      <c r="D86" s="3123" t="s">
        <v>3291</v>
      </c>
      <c r="E86" s="3120"/>
    </row>
  </sheetData>
  <mergeCells count="79">
    <mergeCell ref="C68:C72"/>
    <mergeCell ref="C73:C83"/>
    <mergeCell ref="L50:L52"/>
    <mergeCell ref="C51:C52"/>
    <mergeCell ref="C53:C57"/>
    <mergeCell ref="E53:E57"/>
    <mergeCell ref="C61:C62"/>
    <mergeCell ref="C65:C66"/>
    <mergeCell ref="E65:E66"/>
    <mergeCell ref="L41:M41"/>
    <mergeCell ref="L42:M42"/>
    <mergeCell ref="L43:M43"/>
    <mergeCell ref="L44:M44"/>
    <mergeCell ref="C49:G49"/>
    <mergeCell ref="L49:M49"/>
    <mergeCell ref="L40:M40"/>
    <mergeCell ref="L29:M29"/>
    <mergeCell ref="L30:M30"/>
    <mergeCell ref="L31:M31"/>
    <mergeCell ref="L32:M32"/>
    <mergeCell ref="L33:M33"/>
    <mergeCell ref="L34:M34"/>
    <mergeCell ref="L35:M35"/>
    <mergeCell ref="L36:M36"/>
    <mergeCell ref="L37:M37"/>
    <mergeCell ref="L38:M38"/>
    <mergeCell ref="L39:M39"/>
    <mergeCell ref="D26:F26"/>
    <mergeCell ref="L26:M26"/>
    <mergeCell ref="C27:C28"/>
    <mergeCell ref="D27:D28"/>
    <mergeCell ref="E27:F27"/>
    <mergeCell ref="L27:M27"/>
    <mergeCell ref="E28:F28"/>
    <mergeCell ref="L28:M28"/>
    <mergeCell ref="D23:F23"/>
    <mergeCell ref="L23:M23"/>
    <mergeCell ref="D24:F24"/>
    <mergeCell ref="L24:M24"/>
    <mergeCell ref="D25:F25"/>
    <mergeCell ref="L25:M25"/>
    <mergeCell ref="D20:F20"/>
    <mergeCell ref="L20:M20"/>
    <mergeCell ref="D21:F21"/>
    <mergeCell ref="L21:M21"/>
    <mergeCell ref="D22:F22"/>
    <mergeCell ref="L22:M22"/>
    <mergeCell ref="E16:F16"/>
    <mergeCell ref="L16:M16"/>
    <mergeCell ref="D17:F17"/>
    <mergeCell ref="L17:M17"/>
    <mergeCell ref="D18:D19"/>
    <mergeCell ref="E18:F18"/>
    <mergeCell ref="L18:M18"/>
    <mergeCell ref="E19:F19"/>
    <mergeCell ref="L19:M19"/>
    <mergeCell ref="D8:F8"/>
    <mergeCell ref="L8:M8"/>
    <mergeCell ref="C9:C19"/>
    <mergeCell ref="D9:F9"/>
    <mergeCell ref="L9:M9"/>
    <mergeCell ref="D10:D16"/>
    <mergeCell ref="E10:F10"/>
    <mergeCell ref="L10:M10"/>
    <mergeCell ref="E11:E13"/>
    <mergeCell ref="L11:M11"/>
    <mergeCell ref="L12:M12"/>
    <mergeCell ref="L13:M13"/>
    <mergeCell ref="E14:F14"/>
    <mergeCell ref="L14:M14"/>
    <mergeCell ref="E15:F15"/>
    <mergeCell ref="L15:M15"/>
    <mergeCell ref="D7:F7"/>
    <mergeCell ref="L7:M7"/>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495" t="str">
        <f>项目基本情况!B1</f>
        <v>河北省固安温泉休闲商务产业园区独流一排村东北房地产抵押价值预评估</v>
      </c>
      <c r="C37" s="3495"/>
      <c r="D37" s="3495"/>
      <c r="E37" s="3495"/>
      <c r="F37" s="3495"/>
      <c r="G37" s="3495"/>
      <c r="H37" s="3495"/>
      <c r="I37" s="3495"/>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R73"/>
  <sheetViews>
    <sheetView topLeftCell="J16" zoomScaleNormal="100" workbookViewId="0">
      <selection activeCell="M45" sqref="M45"/>
    </sheetView>
  </sheetViews>
  <sheetFormatPr defaultRowHeight="13.5"/>
  <cols>
    <col min="1" max="3" width="9" style="3044"/>
    <col min="4" max="4" width="22.375" style="3044" customWidth="1"/>
    <col min="5" max="5" width="16.375" style="3044" customWidth="1"/>
    <col min="6" max="6" width="22.75" style="3044" customWidth="1"/>
    <col min="7" max="7" width="20.625" style="3044" customWidth="1"/>
    <col min="8" max="8" width="9" style="3044"/>
    <col min="9" max="9" width="14.375" style="3044" customWidth="1"/>
    <col min="10" max="12" width="9" style="3044"/>
    <col min="13" max="13" width="19.875" style="3044" customWidth="1"/>
    <col min="14" max="14" width="13.75" style="3044" customWidth="1"/>
    <col min="15" max="15" width="12.5" style="3044" customWidth="1"/>
    <col min="16" max="16" width="9.5" style="3044" bestFit="1" customWidth="1"/>
    <col min="17" max="21" width="9" style="3044"/>
    <col min="22" max="22" width="21.875" style="3044" customWidth="1"/>
    <col min="23" max="29" width="9" style="3044"/>
    <col min="30" max="30" width="16.375" style="3044" customWidth="1"/>
    <col min="31" max="16384" width="9" style="3044"/>
  </cols>
  <sheetData>
    <row r="4" spans="3:44" ht="14.25" thickBot="1">
      <c r="K4" s="3719" t="s">
        <v>3292</v>
      </c>
      <c r="L4" s="3720"/>
      <c r="M4" s="3720"/>
      <c r="N4" s="3720"/>
      <c r="O4" s="3720"/>
      <c r="P4" s="3720"/>
      <c r="Q4" s="3720"/>
      <c r="R4" s="3720"/>
      <c r="S4" s="3720"/>
      <c r="T4" s="3720"/>
      <c r="U4" s="3720"/>
      <c r="V4" s="3721"/>
      <c r="W4" s="3120"/>
      <c r="Y4" s="3044" t="s">
        <v>3053</v>
      </c>
    </row>
    <row r="5" spans="3:44" ht="81">
      <c r="C5" s="3789" t="s">
        <v>3313</v>
      </c>
      <c r="D5" s="3790"/>
      <c r="E5" s="3790"/>
      <c r="F5" s="3790"/>
      <c r="G5" s="3790"/>
      <c r="H5" s="3790"/>
      <c r="I5" s="3791"/>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051"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054" t="s">
        <v>3260</v>
      </c>
      <c r="AM5" s="3054" t="s">
        <v>3261</v>
      </c>
      <c r="AN5" s="3054" t="s">
        <v>3262</v>
      </c>
      <c r="AO5" s="3054" t="s">
        <v>3263</v>
      </c>
      <c r="AP5" s="3054" t="s">
        <v>3264</v>
      </c>
      <c r="AQ5" s="3054" t="s">
        <v>3265</v>
      </c>
      <c r="AR5" s="3054" t="s">
        <v>3266</v>
      </c>
    </row>
    <row r="6" spans="3:44">
      <c r="C6" s="3055" t="s">
        <v>3134</v>
      </c>
      <c r="D6" s="3700" t="s">
        <v>3135</v>
      </c>
      <c r="E6" s="3700"/>
      <c r="F6" s="3700"/>
      <c r="G6" s="3055" t="s">
        <v>3136</v>
      </c>
      <c r="H6" s="3055" t="s">
        <v>3137</v>
      </c>
      <c r="I6" s="3055" t="s">
        <v>3110</v>
      </c>
      <c r="J6" s="3120"/>
      <c r="L6" s="3792" t="s">
        <v>3298</v>
      </c>
      <c r="M6" s="3793"/>
      <c r="N6" s="3132">
        <f>O6+P6</f>
        <v>7547.8499999999995</v>
      </c>
      <c r="O6" s="3132">
        <v>7320.2</v>
      </c>
      <c r="P6" s="3132">
        <v>227.65</v>
      </c>
      <c r="Q6" s="3133">
        <v>681.43</v>
      </c>
      <c r="R6" s="3134">
        <v>66</v>
      </c>
      <c r="S6" s="3134">
        <f t="shared" ref="S6" si="0">R6*3.2</f>
        <v>211.20000000000002</v>
      </c>
      <c r="T6" s="3133" t="s">
        <v>3148</v>
      </c>
      <c r="U6" s="3133">
        <v>34.799999999999997</v>
      </c>
      <c r="V6" s="3135"/>
      <c r="W6" s="3136">
        <v>652.79</v>
      </c>
      <c r="X6" s="3137"/>
      <c r="Y6" s="3138">
        <f>SUM(Z6:AR6)</f>
        <v>66</v>
      </c>
      <c r="Z6" s="3139"/>
      <c r="AA6" s="3139"/>
      <c r="AB6" s="3139"/>
      <c r="AC6" s="3139"/>
      <c r="AD6" s="3140"/>
      <c r="AE6" s="3140"/>
      <c r="AF6" s="3140"/>
      <c r="AG6" s="3140"/>
      <c r="AH6" s="3141">
        <v>3</v>
      </c>
      <c r="AI6" s="3141">
        <v>37</v>
      </c>
      <c r="AJ6" s="3141">
        <v>20</v>
      </c>
      <c r="AK6" s="3141">
        <v>6</v>
      </c>
      <c r="AL6" s="3071"/>
      <c r="AM6" s="3071"/>
      <c r="AN6" s="3071"/>
      <c r="AO6" s="3071"/>
      <c r="AP6" s="3071"/>
      <c r="AQ6" s="3071"/>
      <c r="AR6" s="3071"/>
    </row>
    <row r="7" spans="3:44">
      <c r="C7" s="3055" t="s">
        <v>3140</v>
      </c>
      <c r="D7" s="3701" t="s">
        <v>3141</v>
      </c>
      <c r="E7" s="3702"/>
      <c r="F7" s="3703"/>
      <c r="G7" s="3142">
        <f>42172.91-'[1]3.2.1期指标'!G7</f>
        <v>23966.150000000005</v>
      </c>
      <c r="H7" s="3055" t="s">
        <v>3142</v>
      </c>
      <c r="I7" s="3055"/>
      <c r="J7" s="3120"/>
      <c r="L7" s="3787" t="s">
        <v>3149</v>
      </c>
      <c r="M7" s="3143"/>
      <c r="N7" s="3144" t="s">
        <v>3164</v>
      </c>
      <c r="O7" s="3145"/>
      <c r="P7" s="3145"/>
      <c r="Q7" s="3145"/>
      <c r="R7" s="3146"/>
      <c r="S7" s="3146"/>
      <c r="T7" s="3145"/>
      <c r="U7" s="3145"/>
      <c r="V7" s="3147"/>
      <c r="W7" s="3148"/>
      <c r="X7" s="3149"/>
      <c r="Y7" s="3058">
        <f t="shared" ref="Y7:Y26" si="1">SUM(Z7:AR7)</f>
        <v>0</v>
      </c>
      <c r="Z7" s="3071"/>
      <c r="AA7" s="3071"/>
      <c r="AB7" s="3071"/>
      <c r="AC7" s="3071"/>
      <c r="AD7" s="3071"/>
      <c r="AE7" s="3071"/>
      <c r="AF7" s="3071"/>
      <c r="AG7" s="3071"/>
      <c r="AH7" s="3071"/>
      <c r="AI7" s="3071"/>
      <c r="AJ7" s="3071"/>
      <c r="AK7" s="3071"/>
      <c r="AL7" s="3071"/>
      <c r="AM7" s="3071"/>
      <c r="AN7" s="3071"/>
      <c r="AO7" s="3071"/>
      <c r="AP7" s="3071"/>
      <c r="AQ7" s="3071"/>
      <c r="AR7" s="3071"/>
    </row>
    <row r="8" spans="3:44">
      <c r="C8" s="3055"/>
      <c r="D8" s="3150"/>
      <c r="E8" s="3151"/>
      <c r="F8" s="3152"/>
      <c r="G8" s="3066"/>
      <c r="H8" s="3055"/>
      <c r="I8" s="3055"/>
      <c r="J8" s="3120"/>
      <c r="L8" s="3788"/>
      <c r="M8" s="3143"/>
      <c r="N8" s="3144"/>
      <c r="O8" s="3145"/>
      <c r="P8" s="3145"/>
      <c r="Q8" s="3145"/>
      <c r="R8" s="3146"/>
      <c r="S8" s="3146"/>
      <c r="T8" s="3145"/>
      <c r="U8" s="3145"/>
      <c r="V8" s="3147"/>
      <c r="W8" s="3148"/>
      <c r="X8" s="3149"/>
      <c r="Y8" s="3058"/>
      <c r="Z8" s="3071"/>
      <c r="AA8" s="3071"/>
      <c r="AB8" s="3071"/>
      <c r="AC8" s="3071"/>
      <c r="AD8" s="3071"/>
      <c r="AE8" s="3071"/>
      <c r="AF8" s="3071"/>
      <c r="AG8" s="3071"/>
      <c r="AH8" s="3071"/>
      <c r="AI8" s="3071"/>
      <c r="AJ8" s="3071"/>
      <c r="AK8" s="3071"/>
      <c r="AL8" s="3071"/>
      <c r="AM8" s="3071"/>
      <c r="AN8" s="3071"/>
      <c r="AO8" s="3071"/>
      <c r="AP8" s="3071"/>
      <c r="AQ8" s="3071"/>
      <c r="AR8" s="3071"/>
    </row>
    <row r="9" spans="3:44">
      <c r="C9" s="3055" t="s">
        <v>3145</v>
      </c>
      <c r="D9" s="3700" t="s">
        <v>3146</v>
      </c>
      <c r="E9" s="3700"/>
      <c r="F9" s="3700"/>
      <c r="G9" s="3066">
        <f>G10+G19</f>
        <v>70993.66</v>
      </c>
      <c r="H9" s="3055" t="s">
        <v>3142</v>
      </c>
      <c r="I9" s="3055"/>
      <c r="J9" s="3120"/>
      <c r="L9" s="3788"/>
      <c r="M9" s="3143"/>
      <c r="N9" s="3144" t="s">
        <v>3164</v>
      </c>
      <c r="O9" s="3145"/>
      <c r="P9" s="3145"/>
      <c r="Q9" s="3145"/>
      <c r="R9" s="3146"/>
      <c r="S9" s="3146"/>
      <c r="T9" s="3145"/>
      <c r="U9" s="3145"/>
      <c r="V9" s="3147"/>
      <c r="W9" s="3148"/>
      <c r="X9" s="3149"/>
      <c r="Y9" s="3058">
        <f t="shared" si="1"/>
        <v>0</v>
      </c>
      <c r="Z9" s="3071"/>
      <c r="AA9" s="3071"/>
      <c r="AB9" s="3071"/>
      <c r="AC9" s="3071"/>
      <c r="AD9" s="3071"/>
      <c r="AE9" s="3071"/>
      <c r="AF9" s="3071"/>
      <c r="AG9" s="3071"/>
      <c r="AH9" s="3071"/>
      <c r="AI9" s="3071"/>
      <c r="AJ9" s="3071"/>
      <c r="AK9" s="3071"/>
      <c r="AL9" s="3071"/>
      <c r="AM9" s="3071"/>
      <c r="AN9" s="3071"/>
      <c r="AO9" s="3071"/>
      <c r="AP9" s="3071"/>
      <c r="AQ9" s="3071"/>
      <c r="AR9" s="3071"/>
    </row>
    <row r="10" spans="3:44">
      <c r="C10" s="3704" t="s">
        <v>3149</v>
      </c>
      <c r="D10" s="3700" t="s">
        <v>3150</v>
      </c>
      <c r="E10" s="3700"/>
      <c r="F10" s="3700"/>
      <c r="G10" s="3066">
        <f>G11+G14+G15+G16+G17</f>
        <v>48611.579999999994</v>
      </c>
      <c r="H10" s="3055" t="s">
        <v>3142</v>
      </c>
      <c r="I10" s="3055"/>
      <c r="J10" s="3120"/>
      <c r="L10" s="3779" t="s">
        <v>3299</v>
      </c>
      <c r="M10" s="3780"/>
      <c r="N10" s="3144"/>
      <c r="O10" s="3144"/>
      <c r="P10" s="3144"/>
      <c r="Q10" s="3153"/>
      <c r="R10" s="3146"/>
      <c r="S10" s="3146"/>
      <c r="T10" s="3153"/>
      <c r="U10" s="3153"/>
      <c r="V10" s="3147"/>
      <c r="W10" s="3154"/>
      <c r="X10" s="3155"/>
      <c r="Y10" s="3058"/>
      <c r="Z10" s="3092"/>
      <c r="AA10" s="3092"/>
      <c r="AB10" s="3092"/>
      <c r="AC10" s="3092"/>
      <c r="AD10" s="3084"/>
      <c r="AE10" s="3084"/>
      <c r="AF10" s="3084"/>
      <c r="AG10" s="3084"/>
      <c r="AH10" s="3071"/>
      <c r="AI10" s="3071"/>
      <c r="AJ10" s="3071"/>
      <c r="AK10" s="3071"/>
      <c r="AL10" s="3071"/>
      <c r="AM10" s="3071"/>
      <c r="AN10" s="3071"/>
      <c r="AO10" s="3071"/>
      <c r="AP10" s="3071"/>
      <c r="AQ10" s="3071"/>
      <c r="AR10" s="3071"/>
    </row>
    <row r="11" spans="3:44">
      <c r="C11" s="3705"/>
      <c r="D11" s="3700" t="s">
        <v>3149</v>
      </c>
      <c r="E11" s="3707" t="s">
        <v>3153</v>
      </c>
      <c r="F11" s="3707"/>
      <c r="G11" s="3066">
        <f>G12+G13</f>
        <v>48611.579999999994</v>
      </c>
      <c r="H11" s="3055" t="s">
        <v>3142</v>
      </c>
      <c r="I11" s="3055"/>
      <c r="J11" s="3120"/>
      <c r="L11" s="3794" t="s">
        <v>3149</v>
      </c>
      <c r="M11" s="3143" t="s">
        <v>3163</v>
      </c>
      <c r="N11" s="3144"/>
      <c r="O11" s="3145"/>
      <c r="P11" s="3156"/>
      <c r="Q11" s="3156"/>
      <c r="R11" s="3156"/>
      <c r="S11" s="3156"/>
      <c r="T11" s="3156"/>
      <c r="U11" s="3156"/>
      <c r="V11" s="3157"/>
      <c r="W11" s="3084"/>
      <c r="X11" s="3149"/>
      <c r="Y11" s="3058"/>
      <c r="Z11" s="3071"/>
      <c r="AA11" s="3071"/>
      <c r="AB11" s="3071"/>
      <c r="AC11" s="3071"/>
      <c r="AD11" s="3071"/>
      <c r="AE11" s="3071"/>
      <c r="AF11" s="3071"/>
      <c r="AG11" s="3071"/>
      <c r="AH11" s="3071"/>
      <c r="AI11" s="3071"/>
      <c r="AJ11" s="3071"/>
      <c r="AK11" s="3071"/>
      <c r="AL11" s="3071"/>
      <c r="AM11" s="3071"/>
      <c r="AN11" s="3071"/>
      <c r="AO11" s="3071"/>
      <c r="AP11" s="3071"/>
      <c r="AQ11" s="3071"/>
      <c r="AR11" s="3071"/>
    </row>
    <row r="12" spans="3:44">
      <c r="C12" s="3705"/>
      <c r="D12" s="3700"/>
      <c r="E12" s="3727" t="s">
        <v>3149</v>
      </c>
      <c r="F12" s="3078" t="s">
        <v>3300</v>
      </c>
      <c r="G12" s="3079">
        <f>O7+O11+O14+O15+O17+O20+O21+O22+O23+O24+O25+O6</f>
        <v>48611.579999999994</v>
      </c>
      <c r="H12" s="3055" t="s">
        <v>3142</v>
      </c>
      <c r="I12" s="3055"/>
      <c r="J12" s="3120"/>
      <c r="L12" s="3795"/>
      <c r="M12" s="3143" t="s">
        <v>3154</v>
      </c>
      <c r="N12" s="3144"/>
      <c r="O12" s="3145"/>
      <c r="P12" s="3145"/>
      <c r="Q12" s="3145"/>
      <c r="R12" s="3146"/>
      <c r="S12" s="3146"/>
      <c r="T12" s="3145"/>
      <c r="U12" s="3145"/>
      <c r="V12" s="3147"/>
      <c r="W12" s="3143"/>
      <c r="X12" s="3149"/>
      <c r="Y12" s="3058"/>
      <c r="Z12" s="3071"/>
      <c r="AA12" s="3071"/>
      <c r="AB12" s="3071"/>
      <c r="AC12" s="3071"/>
      <c r="AD12" s="3071"/>
      <c r="AE12" s="3071"/>
      <c r="AF12" s="3071"/>
      <c r="AG12" s="3071"/>
      <c r="AH12" s="3071"/>
      <c r="AI12" s="3071"/>
      <c r="AJ12" s="3071"/>
      <c r="AK12" s="3071"/>
      <c r="AL12" s="3071"/>
      <c r="AM12" s="3071"/>
      <c r="AN12" s="3071"/>
      <c r="AO12" s="3071"/>
      <c r="AP12" s="3071"/>
      <c r="AQ12" s="3071"/>
      <c r="AR12" s="3071"/>
    </row>
    <row r="13" spans="3:44">
      <c r="C13" s="3705"/>
      <c r="D13" s="3700"/>
      <c r="E13" s="3706"/>
      <c r="F13" s="3078"/>
      <c r="G13" s="3079"/>
      <c r="H13" s="3055"/>
      <c r="I13" s="3055"/>
      <c r="J13" s="3120"/>
      <c r="L13" s="3796"/>
      <c r="M13" s="3143" t="s">
        <v>3157</v>
      </c>
      <c r="N13" s="3144"/>
      <c r="O13" s="3145"/>
      <c r="P13" s="3145"/>
      <c r="Q13" s="3145"/>
      <c r="R13" s="3146"/>
      <c r="S13" s="3146"/>
      <c r="T13" s="3145"/>
      <c r="U13" s="3145"/>
      <c r="V13" s="3158"/>
      <c r="W13" s="3143"/>
      <c r="X13" s="3149"/>
      <c r="Y13" s="3058"/>
      <c r="Z13" s="3071"/>
      <c r="AA13" s="3071"/>
      <c r="AB13" s="3071"/>
      <c r="AC13" s="3071"/>
      <c r="AD13" s="3071"/>
      <c r="AE13" s="3071"/>
      <c r="AF13" s="3071"/>
      <c r="AG13" s="3071"/>
      <c r="AH13" s="3071"/>
      <c r="AI13" s="3071"/>
      <c r="AJ13" s="3071"/>
      <c r="AK13" s="3071"/>
      <c r="AL13" s="3071"/>
      <c r="AM13" s="3071"/>
      <c r="AN13" s="3071"/>
      <c r="AO13" s="3071"/>
      <c r="AP13" s="3071"/>
      <c r="AQ13" s="3071"/>
      <c r="AR13" s="3071"/>
    </row>
    <row r="14" spans="3:44">
      <c r="C14" s="3705"/>
      <c r="D14" s="3700"/>
      <c r="E14" s="3700"/>
      <c r="F14" s="3700"/>
      <c r="G14" s="3066"/>
      <c r="H14" s="3055"/>
      <c r="I14" s="3055"/>
      <c r="J14" s="3120"/>
      <c r="L14" s="3779" t="s">
        <v>3302</v>
      </c>
      <c r="M14" s="3780"/>
      <c r="N14" s="3144">
        <f t="shared" ref="N14:N22" si="2">O14+P14</f>
        <v>9989.5999999999985</v>
      </c>
      <c r="O14" s="3144">
        <v>9665.39</v>
      </c>
      <c r="P14" s="3144">
        <v>324.20999999999998</v>
      </c>
      <c r="Q14" s="3159">
        <v>901.89</v>
      </c>
      <c r="R14" s="3146">
        <f>11*8</f>
        <v>88</v>
      </c>
      <c r="S14" s="3146">
        <f t="shared" ref="S14" si="3">R14*3.2</f>
        <v>281.60000000000002</v>
      </c>
      <c r="T14" s="3159" t="s">
        <v>3148</v>
      </c>
      <c r="U14" s="3159">
        <v>34.799999999999997</v>
      </c>
      <c r="V14" s="3160"/>
      <c r="W14" s="3148">
        <v>866.29</v>
      </c>
      <c r="X14" s="3161"/>
      <c r="Y14" s="3058">
        <f t="shared" si="1"/>
        <v>88</v>
      </c>
      <c r="Z14" s="3071"/>
      <c r="AA14" s="3071"/>
      <c r="AB14" s="3071"/>
      <c r="AC14" s="3071"/>
      <c r="AD14" s="3071"/>
      <c r="AE14" s="3071"/>
      <c r="AF14" s="3071"/>
      <c r="AG14" s="3071"/>
      <c r="AH14" s="3072">
        <v>6</v>
      </c>
      <c r="AI14" s="3072">
        <v>56</v>
      </c>
      <c r="AJ14" s="3072">
        <v>18</v>
      </c>
      <c r="AK14" s="3072">
        <v>8</v>
      </c>
      <c r="AL14" s="3071"/>
      <c r="AM14" s="3071"/>
      <c r="AN14" s="3071"/>
      <c r="AO14" s="3071"/>
      <c r="AP14" s="3071"/>
      <c r="AQ14" s="3071"/>
      <c r="AR14" s="3071"/>
    </row>
    <row r="15" spans="3:44">
      <c r="C15" s="3705"/>
      <c r="D15" s="3700"/>
      <c r="E15" s="3701"/>
      <c r="F15" s="3703"/>
      <c r="G15" s="3066"/>
      <c r="H15" s="3055"/>
      <c r="I15" s="3055"/>
      <c r="J15" s="3120"/>
      <c r="L15" s="3779" t="s">
        <v>3303</v>
      </c>
      <c r="M15" s="3780"/>
      <c r="N15" s="3144">
        <f t="shared" si="2"/>
        <v>7547.88</v>
      </c>
      <c r="O15" s="3162">
        <f>O6</f>
        <v>7320.2</v>
      </c>
      <c r="P15" s="3144">
        <v>227.68</v>
      </c>
      <c r="Q15" s="3145">
        <v>681.43</v>
      </c>
      <c r="R15" s="3146">
        <f>11*2*3</f>
        <v>66</v>
      </c>
      <c r="S15" s="3146">
        <f>R15*3.2</f>
        <v>211.20000000000002</v>
      </c>
      <c r="T15" s="3159" t="s">
        <v>3148</v>
      </c>
      <c r="U15" s="3159">
        <v>34.799999999999997</v>
      </c>
      <c r="V15" s="3147"/>
      <c r="W15" s="3143">
        <v>652.79</v>
      </c>
      <c r="X15" s="3161"/>
      <c r="Y15" s="3058">
        <f t="shared" si="1"/>
        <v>66</v>
      </c>
      <c r="Z15" s="3071"/>
      <c r="AA15" s="3071"/>
      <c r="AB15" s="3071"/>
      <c r="AC15" s="3071"/>
      <c r="AD15" s="3071"/>
      <c r="AE15" s="3071"/>
      <c r="AF15" s="3071"/>
      <c r="AG15" s="3071"/>
      <c r="AH15" s="3072">
        <v>3</v>
      </c>
      <c r="AI15" s="3072">
        <v>37</v>
      </c>
      <c r="AJ15" s="3072">
        <v>20</v>
      </c>
      <c r="AK15" s="3072">
        <v>6</v>
      </c>
      <c r="AL15" s="3071"/>
      <c r="AM15" s="3071"/>
      <c r="AN15" s="3071"/>
      <c r="AO15" s="3071"/>
      <c r="AP15" s="3071"/>
      <c r="AQ15" s="3071"/>
      <c r="AR15" s="3071"/>
    </row>
    <row r="16" spans="3:44">
      <c r="C16" s="3705"/>
      <c r="D16" s="3700"/>
      <c r="E16" s="3709" t="s">
        <v>3165</v>
      </c>
      <c r="F16" s="3710"/>
      <c r="G16" s="3066">
        <f>O8+O12+O18</f>
        <v>0</v>
      </c>
      <c r="H16" s="3055" t="s">
        <v>3142</v>
      </c>
      <c r="I16" s="3055"/>
      <c r="J16" s="3120"/>
      <c r="L16" s="3779" t="s">
        <v>3304</v>
      </c>
      <c r="M16" s="3780"/>
      <c r="N16" s="3144"/>
      <c r="O16" s="3144"/>
      <c r="P16" s="3144"/>
      <c r="Q16" s="3153"/>
      <c r="R16" s="3146"/>
      <c r="S16" s="3146"/>
      <c r="T16" s="3153"/>
      <c r="U16" s="3153"/>
      <c r="V16" s="3147"/>
      <c r="W16" s="3154"/>
      <c r="X16" s="3155"/>
      <c r="Y16" s="3058"/>
      <c r="Z16" s="3092"/>
      <c r="AA16" s="3092"/>
      <c r="AB16" s="3092"/>
      <c r="AC16" s="3092"/>
      <c r="AD16" s="3084"/>
      <c r="AE16" s="3084"/>
      <c r="AF16" s="3084"/>
      <c r="AG16" s="3084"/>
      <c r="AH16" s="3071"/>
      <c r="AI16" s="3071"/>
      <c r="AJ16" s="3071"/>
      <c r="AK16" s="3071"/>
      <c r="AL16" s="3071"/>
      <c r="AM16" s="3071"/>
      <c r="AN16" s="3071"/>
      <c r="AO16" s="3071"/>
      <c r="AP16" s="3071"/>
      <c r="AQ16" s="3071"/>
      <c r="AR16" s="3071"/>
    </row>
    <row r="17" spans="3:44">
      <c r="C17" s="3705"/>
      <c r="D17" s="3700"/>
      <c r="E17" s="3700" t="s">
        <v>3168</v>
      </c>
      <c r="F17" s="3700"/>
      <c r="G17" s="3066">
        <f>O13+O9+O19</f>
        <v>0</v>
      </c>
      <c r="H17" s="3055" t="s">
        <v>3142</v>
      </c>
      <c r="I17" s="3163"/>
      <c r="J17" s="3120"/>
      <c r="L17" s="3787" t="s">
        <v>3149</v>
      </c>
      <c r="M17" s="3143" t="s">
        <v>3163</v>
      </c>
      <c r="N17" s="3144"/>
      <c r="O17" s="3145"/>
      <c r="P17" s="3145"/>
      <c r="Q17" s="3145"/>
      <c r="R17" s="3146"/>
      <c r="S17" s="3146"/>
      <c r="T17" s="3145"/>
      <c r="U17" s="3145"/>
      <c r="V17" s="3147"/>
      <c r="W17" s="3143"/>
      <c r="X17" s="3149"/>
      <c r="Y17" s="3058"/>
      <c r="Z17" s="3071"/>
      <c r="AA17" s="3071"/>
      <c r="AB17" s="3071"/>
      <c r="AC17" s="3071"/>
      <c r="AD17" s="3071"/>
      <c r="AE17" s="3071"/>
      <c r="AF17" s="3071"/>
      <c r="AG17" s="3071"/>
      <c r="AH17" s="3071"/>
      <c r="AI17" s="3071"/>
      <c r="AJ17" s="3071"/>
      <c r="AK17" s="3071"/>
      <c r="AL17" s="3071"/>
      <c r="AM17" s="3071"/>
      <c r="AN17" s="3071"/>
      <c r="AO17" s="3071"/>
      <c r="AP17" s="3071"/>
      <c r="AQ17" s="3071"/>
      <c r="AR17" s="3071"/>
    </row>
    <row r="18" spans="3:44">
      <c r="C18" s="3705"/>
      <c r="D18" s="3150"/>
      <c r="E18" s="3151"/>
      <c r="F18" s="3152"/>
      <c r="G18" s="3066"/>
      <c r="H18" s="3055"/>
      <c r="I18" s="3163"/>
      <c r="J18" s="3120"/>
      <c r="L18" s="3788"/>
      <c r="M18" s="3143" t="s">
        <v>3154</v>
      </c>
      <c r="N18" s="3144"/>
      <c r="O18" s="3145"/>
      <c r="P18" s="3145"/>
      <c r="Q18" s="3145"/>
      <c r="R18" s="3146"/>
      <c r="S18" s="3146"/>
      <c r="T18" s="3145"/>
      <c r="U18" s="3145"/>
      <c r="V18" s="3147"/>
      <c r="W18" s="3143"/>
      <c r="X18" s="3149"/>
      <c r="Y18" s="3058"/>
      <c r="Z18" s="3071"/>
      <c r="AA18" s="3071"/>
      <c r="AB18" s="3071"/>
      <c r="AC18" s="3071"/>
      <c r="AD18" s="3071"/>
      <c r="AE18" s="3071"/>
      <c r="AF18" s="3071"/>
      <c r="AG18" s="3071"/>
      <c r="AH18" s="3071"/>
      <c r="AI18" s="3071"/>
      <c r="AJ18" s="3071"/>
      <c r="AK18" s="3071"/>
      <c r="AL18" s="3071"/>
      <c r="AM18" s="3071"/>
      <c r="AN18" s="3071"/>
      <c r="AO18" s="3071"/>
      <c r="AP18" s="3071"/>
      <c r="AQ18" s="3071"/>
      <c r="AR18" s="3071"/>
    </row>
    <row r="19" spans="3:44">
      <c r="C19" s="3705"/>
      <c r="D19" s="3701" t="s">
        <v>3171</v>
      </c>
      <c r="E19" s="3702"/>
      <c r="F19" s="3703"/>
      <c r="G19" s="3066">
        <f>G20+G21</f>
        <v>22382.080000000002</v>
      </c>
      <c r="H19" s="3055" t="s">
        <v>3142</v>
      </c>
      <c r="I19" s="3055"/>
      <c r="J19" s="3120"/>
      <c r="L19" s="3788"/>
      <c r="M19" s="3143" t="s">
        <v>3157</v>
      </c>
      <c r="N19" s="3144"/>
      <c r="O19" s="3145"/>
      <c r="P19" s="3145"/>
      <c r="Q19" s="3145"/>
      <c r="R19" s="3146"/>
      <c r="S19" s="3146"/>
      <c r="T19" s="3145"/>
      <c r="U19" s="3145"/>
      <c r="V19" s="3147"/>
      <c r="W19" s="3143"/>
      <c r="X19" s="3149"/>
      <c r="Y19" s="3058"/>
      <c r="Z19" s="3071"/>
      <c r="AA19" s="3071"/>
      <c r="AB19" s="3071"/>
      <c r="AC19" s="3071"/>
      <c r="AD19" s="3071"/>
      <c r="AE19" s="3071"/>
      <c r="AF19" s="3071"/>
      <c r="AG19" s="3071"/>
      <c r="AH19" s="3071"/>
      <c r="AI19" s="3071"/>
      <c r="AJ19" s="3071"/>
      <c r="AK19" s="3071"/>
      <c r="AL19" s="3071"/>
      <c r="AM19" s="3071"/>
      <c r="AN19" s="3071"/>
      <c r="AO19" s="3071"/>
      <c r="AP19" s="3071"/>
      <c r="AQ19" s="3071"/>
      <c r="AR19" s="3071"/>
    </row>
    <row r="20" spans="3:44">
      <c r="C20" s="3705"/>
      <c r="D20" s="3700" t="s">
        <v>3149</v>
      </c>
      <c r="E20" s="3708" t="s">
        <v>3172</v>
      </c>
      <c r="F20" s="3708"/>
      <c r="G20" s="3087">
        <f>P26</f>
        <v>1559.1100000000001</v>
      </c>
      <c r="H20" s="3055" t="s">
        <v>3142</v>
      </c>
      <c r="I20" s="3055"/>
      <c r="J20" s="3120"/>
      <c r="L20" s="3779" t="s">
        <v>3306</v>
      </c>
      <c r="M20" s="3780"/>
      <c r="N20" s="3144">
        <f t="shared" ref="N20" si="4">O20+P20</f>
        <v>7547.88</v>
      </c>
      <c r="O20" s="3162">
        <f>O15</f>
        <v>7320.2</v>
      </c>
      <c r="P20" s="3144">
        <v>227.68</v>
      </c>
      <c r="Q20" s="3145">
        <v>681.43</v>
      </c>
      <c r="R20" s="3146">
        <f>11*2*3</f>
        <v>66</v>
      </c>
      <c r="S20" s="3146">
        <f t="shared" ref="S20:S22" si="5">R20*3.2</f>
        <v>211.20000000000002</v>
      </c>
      <c r="T20" s="3159" t="s">
        <v>3148</v>
      </c>
      <c r="U20" s="3159">
        <v>34.799999999999997</v>
      </c>
      <c r="V20" s="3147"/>
      <c r="W20" s="3143">
        <v>652.79</v>
      </c>
      <c r="X20" s="3161"/>
      <c r="Y20" s="3058">
        <f t="shared" si="1"/>
        <v>66</v>
      </c>
      <c r="Z20" s="3071"/>
      <c r="AA20" s="3071"/>
      <c r="AB20" s="3071"/>
      <c r="AC20" s="3071"/>
      <c r="AD20" s="3071"/>
      <c r="AE20" s="3071"/>
      <c r="AF20" s="3071"/>
      <c r="AG20" s="3071"/>
      <c r="AH20" s="3072">
        <v>3</v>
      </c>
      <c r="AI20" s="3072">
        <v>37</v>
      </c>
      <c r="AJ20" s="3072">
        <v>20</v>
      </c>
      <c r="AK20" s="3072">
        <v>6</v>
      </c>
      <c r="AL20" s="3071"/>
      <c r="AM20" s="3071"/>
      <c r="AN20" s="3071"/>
      <c r="AO20" s="3071"/>
      <c r="AP20" s="3071"/>
      <c r="AQ20" s="3071"/>
      <c r="AR20" s="3071"/>
    </row>
    <row r="21" spans="3:44">
      <c r="C21" s="3706"/>
      <c r="D21" s="3700"/>
      <c r="E21" s="3707" t="s">
        <v>3173</v>
      </c>
      <c r="F21" s="3707"/>
      <c r="G21" s="3066">
        <f>N36</f>
        <v>20822.97</v>
      </c>
      <c r="H21" s="3055" t="s">
        <v>3142</v>
      </c>
      <c r="I21" s="3055" t="s">
        <v>3174</v>
      </c>
      <c r="J21" s="3120"/>
      <c r="L21" s="3779" t="s">
        <v>3307</v>
      </c>
      <c r="M21" s="3780"/>
      <c r="N21" s="3144">
        <f t="shared" si="2"/>
        <v>9989.5999999999985</v>
      </c>
      <c r="O21" s="3144">
        <f>O14</f>
        <v>9665.39</v>
      </c>
      <c r="P21" s="3144">
        <v>324.20999999999998</v>
      </c>
      <c r="Q21" s="3159">
        <v>901.89</v>
      </c>
      <c r="R21" s="3146">
        <f>11*8</f>
        <v>88</v>
      </c>
      <c r="S21" s="3146">
        <f t="shared" si="5"/>
        <v>281.60000000000002</v>
      </c>
      <c r="T21" s="3159" t="s">
        <v>3148</v>
      </c>
      <c r="U21" s="3159">
        <v>34.799999999999997</v>
      </c>
      <c r="V21" s="3160"/>
      <c r="W21" s="3148">
        <v>866.29</v>
      </c>
      <c r="X21" s="3161"/>
      <c r="Y21" s="3058">
        <f t="shared" si="1"/>
        <v>88</v>
      </c>
      <c r="Z21" s="3071"/>
      <c r="AA21" s="3071"/>
      <c r="AB21" s="3071"/>
      <c r="AC21" s="3071"/>
      <c r="AD21" s="3071"/>
      <c r="AE21" s="3071"/>
      <c r="AF21" s="3071"/>
      <c r="AG21" s="3071"/>
      <c r="AH21" s="3072">
        <v>6</v>
      </c>
      <c r="AI21" s="3072">
        <v>56</v>
      </c>
      <c r="AJ21" s="3072">
        <v>18</v>
      </c>
      <c r="AK21" s="3072">
        <v>8</v>
      </c>
      <c r="AL21" s="3071"/>
      <c r="AM21" s="3071"/>
      <c r="AN21" s="3071"/>
      <c r="AO21" s="3071"/>
      <c r="AP21" s="3071"/>
      <c r="AQ21" s="3071"/>
      <c r="AR21" s="3071"/>
    </row>
    <row r="22" spans="3:44">
      <c r="C22" s="3055" t="s">
        <v>3176</v>
      </c>
      <c r="D22" s="3701" t="s">
        <v>3177</v>
      </c>
      <c r="E22" s="3702"/>
      <c r="F22" s="3703"/>
      <c r="G22" s="3066">
        <f>G10/G7</f>
        <v>2.0283433092090295</v>
      </c>
      <c r="H22" s="3055"/>
      <c r="I22" s="3055"/>
      <c r="J22" s="3120"/>
      <c r="L22" s="3779" t="s">
        <v>3308</v>
      </c>
      <c r="M22" s="3780"/>
      <c r="N22" s="3144">
        <f t="shared" si="2"/>
        <v>7547.88</v>
      </c>
      <c r="O22" s="3162">
        <f>O20</f>
        <v>7320.2</v>
      </c>
      <c r="P22" s="3144">
        <v>227.68</v>
      </c>
      <c r="Q22" s="3145">
        <v>681.43</v>
      </c>
      <c r="R22" s="3146">
        <f>11*2*3</f>
        <v>66</v>
      </c>
      <c r="S22" s="3146">
        <f t="shared" si="5"/>
        <v>211.20000000000002</v>
      </c>
      <c r="T22" s="3159" t="s">
        <v>3148</v>
      </c>
      <c r="U22" s="3159">
        <v>34.799999999999997</v>
      </c>
      <c r="V22" s="3147"/>
      <c r="W22" s="3143">
        <v>652.79</v>
      </c>
      <c r="X22" s="3161"/>
      <c r="Y22" s="3058">
        <f t="shared" si="1"/>
        <v>66</v>
      </c>
      <c r="Z22" s="3071"/>
      <c r="AA22" s="3071"/>
      <c r="AB22" s="3071"/>
      <c r="AC22" s="3071"/>
      <c r="AD22" s="3071"/>
      <c r="AE22" s="3071"/>
      <c r="AF22" s="3071"/>
      <c r="AG22" s="3071"/>
      <c r="AH22" s="3072">
        <v>3</v>
      </c>
      <c r="AI22" s="3072">
        <v>37</v>
      </c>
      <c r="AJ22" s="3072">
        <v>20</v>
      </c>
      <c r="AK22" s="3072">
        <v>6</v>
      </c>
      <c r="AL22" s="3071"/>
      <c r="AM22" s="3071"/>
      <c r="AN22" s="3071"/>
      <c r="AO22" s="3071"/>
      <c r="AP22" s="3071"/>
      <c r="AQ22" s="3071"/>
      <c r="AR22" s="3071"/>
    </row>
    <row r="23" spans="3:44">
      <c r="C23" s="3055" t="s">
        <v>3179</v>
      </c>
      <c r="D23" s="3701" t="s">
        <v>3180</v>
      </c>
      <c r="E23" s="3702"/>
      <c r="F23" s="3703"/>
      <c r="G23" s="3089">
        <f>R26</f>
        <v>440</v>
      </c>
      <c r="H23" s="3055" t="s">
        <v>3181</v>
      </c>
      <c r="I23" s="3055"/>
      <c r="J23" s="3120"/>
      <c r="L23" s="3779" t="s">
        <v>3309</v>
      </c>
      <c r="M23" s="3780"/>
      <c r="N23" s="3144"/>
      <c r="O23" s="3164"/>
      <c r="P23" s="3164"/>
      <c r="Q23" s="3159"/>
      <c r="R23" s="3146"/>
      <c r="S23" s="3146"/>
      <c r="T23" s="3153"/>
      <c r="U23" s="3153"/>
      <c r="V23" s="3147"/>
      <c r="W23" s="3143"/>
      <c r="X23" s="3161"/>
      <c r="Y23" s="3058"/>
      <c r="Z23" s="3092"/>
      <c r="AA23" s="3092"/>
      <c r="AB23" s="3092"/>
      <c r="AC23" s="3092"/>
      <c r="AD23" s="3084"/>
      <c r="AE23" s="3084"/>
      <c r="AF23" s="3084"/>
      <c r="AG23" s="3084"/>
      <c r="AH23" s="3059"/>
      <c r="AI23" s="3059"/>
      <c r="AJ23" s="3059"/>
      <c r="AK23" s="3059"/>
      <c r="AL23" s="3071"/>
      <c r="AM23" s="3071"/>
      <c r="AN23" s="3071"/>
      <c r="AO23" s="3071"/>
      <c r="AP23" s="3071"/>
      <c r="AQ23" s="3071"/>
      <c r="AR23" s="3071"/>
    </row>
    <row r="24" spans="3:44">
      <c r="C24" s="3055" t="s">
        <v>3183</v>
      </c>
      <c r="D24" s="3701" t="s">
        <v>3184</v>
      </c>
      <c r="E24" s="3702"/>
      <c r="F24" s="3703"/>
      <c r="G24" s="3066">
        <v>3.2</v>
      </c>
      <c r="H24" s="3055" t="s">
        <v>3185</v>
      </c>
      <c r="I24" s="3055"/>
      <c r="J24" s="3120"/>
      <c r="L24" s="3779" t="s">
        <v>3310</v>
      </c>
      <c r="M24" s="3780"/>
      <c r="N24" s="3144"/>
      <c r="O24" s="3162"/>
      <c r="P24" s="3144"/>
      <c r="Q24" s="3145"/>
      <c r="R24" s="3146"/>
      <c r="S24" s="3146"/>
      <c r="T24" s="3159"/>
      <c r="U24" s="3159"/>
      <c r="V24" s="3147"/>
      <c r="W24" s="3143"/>
      <c r="X24" s="3161"/>
      <c r="Y24" s="3058"/>
      <c r="Z24" s="3071"/>
      <c r="AA24" s="3071"/>
      <c r="AB24" s="3071"/>
      <c r="AC24" s="3071"/>
      <c r="AD24" s="3071"/>
      <c r="AE24" s="3071"/>
      <c r="AF24" s="3071"/>
      <c r="AG24" s="3071"/>
      <c r="AH24" s="3072"/>
      <c r="AI24" s="3072"/>
      <c r="AJ24" s="3072"/>
      <c r="AK24" s="3072"/>
      <c r="AL24" s="3071"/>
      <c r="AM24" s="3071"/>
      <c r="AN24" s="3071"/>
      <c r="AO24" s="3071"/>
      <c r="AP24" s="3071"/>
      <c r="AQ24" s="3071"/>
      <c r="AR24" s="3071"/>
    </row>
    <row r="25" spans="3:44">
      <c r="C25" s="3055" t="s">
        <v>3187</v>
      </c>
      <c r="D25" s="3701" t="s">
        <v>3188</v>
      </c>
      <c r="E25" s="3702"/>
      <c r="F25" s="3703"/>
      <c r="G25" s="3091">
        <f>G23*G24</f>
        <v>1408</v>
      </c>
      <c r="H25" s="3055" t="s">
        <v>3189</v>
      </c>
      <c r="I25" s="3055"/>
      <c r="J25" s="3120"/>
      <c r="L25" s="3787" t="s">
        <v>3311</v>
      </c>
      <c r="M25" s="3797"/>
      <c r="N25" s="3144"/>
      <c r="O25" s="3144"/>
      <c r="P25" s="3144"/>
      <c r="Q25" s="3159"/>
      <c r="R25" s="3165"/>
      <c r="S25" s="3165"/>
      <c r="T25" s="3159"/>
      <c r="U25" s="3159"/>
      <c r="V25" s="3166"/>
      <c r="W25" s="3167"/>
      <c r="X25" s="3161"/>
      <c r="Y25" s="3058"/>
      <c r="Z25" s="3071"/>
      <c r="AA25" s="3071"/>
      <c r="AB25" s="3071"/>
      <c r="AC25" s="3071"/>
      <c r="AD25" s="3071"/>
      <c r="AE25" s="3071"/>
      <c r="AF25" s="3071"/>
      <c r="AG25" s="3071"/>
      <c r="AH25" s="3072"/>
      <c r="AI25" s="3072"/>
      <c r="AJ25" s="3072"/>
      <c r="AK25" s="3072"/>
      <c r="AL25" s="3071"/>
      <c r="AM25" s="3071"/>
      <c r="AN25" s="3071"/>
      <c r="AO25" s="3071"/>
      <c r="AP25" s="3071"/>
      <c r="AQ25" s="3071"/>
      <c r="AR25" s="3071"/>
    </row>
    <row r="26" spans="3:44">
      <c r="C26" s="3055" t="s">
        <v>3191</v>
      </c>
      <c r="D26" s="3701" t="s">
        <v>3192</v>
      </c>
      <c r="E26" s="3702"/>
      <c r="F26" s="3703"/>
      <c r="G26" s="3066">
        <f>Q26/G7*100</f>
        <v>18.899572939333183</v>
      </c>
      <c r="H26" s="3055" t="s">
        <v>3193</v>
      </c>
      <c r="I26" s="3055"/>
      <c r="J26" s="3120"/>
      <c r="L26" s="3798" t="s">
        <v>3209</v>
      </c>
      <c r="M26" s="3799"/>
      <c r="N26" s="3168">
        <f>SUM(N6:N25)</f>
        <v>50170.689999999995</v>
      </c>
      <c r="O26" s="3168">
        <f>O6+O10+O14+O15+O16+O20+O21+O22+O23+O24+O25</f>
        <v>48611.58</v>
      </c>
      <c r="P26" s="3168">
        <f>SUM(P6:P25)</f>
        <v>1559.1100000000001</v>
      </c>
      <c r="Q26" s="3169">
        <f>SUM(Q6:Q25)</f>
        <v>4529.5</v>
      </c>
      <c r="R26" s="3170">
        <f>SUM(R6:R25)</f>
        <v>440</v>
      </c>
      <c r="S26" s="3170">
        <f>SUM(S6:S25)</f>
        <v>1408.0000000000002</v>
      </c>
      <c r="T26" s="3169"/>
      <c r="U26" s="3169"/>
      <c r="V26" s="3169"/>
      <c r="W26" s="3169">
        <f>SUM(W6:W25)</f>
        <v>4343.74</v>
      </c>
      <c r="X26" s="3169" t="s">
        <v>3209</v>
      </c>
      <c r="Y26" s="3169">
        <f t="shared" si="1"/>
        <v>440</v>
      </c>
      <c r="Z26" s="3169">
        <f>SUM(Z6:Z25)</f>
        <v>0</v>
      </c>
      <c r="AA26" s="3169">
        <f t="shared" ref="AA26:AK26" si="6">SUM(AA6:AA25)</f>
        <v>0</v>
      </c>
      <c r="AB26" s="3169">
        <f t="shared" si="6"/>
        <v>0</v>
      </c>
      <c r="AC26" s="3169">
        <f t="shared" si="6"/>
        <v>0</v>
      </c>
      <c r="AD26" s="3169">
        <f t="shared" si="6"/>
        <v>0</v>
      </c>
      <c r="AE26" s="3169">
        <f t="shared" si="6"/>
        <v>0</v>
      </c>
      <c r="AF26" s="3169">
        <f t="shared" si="6"/>
        <v>0</v>
      </c>
      <c r="AG26" s="3169">
        <f t="shared" si="6"/>
        <v>0</v>
      </c>
      <c r="AH26" s="3169">
        <f t="shared" si="6"/>
        <v>24</v>
      </c>
      <c r="AI26" s="3169">
        <f t="shared" si="6"/>
        <v>260</v>
      </c>
      <c r="AJ26" s="3169">
        <f t="shared" si="6"/>
        <v>116</v>
      </c>
      <c r="AK26" s="3169">
        <f t="shared" si="6"/>
        <v>40</v>
      </c>
      <c r="AL26" s="3071"/>
      <c r="AM26" s="3071"/>
      <c r="AN26" s="3071"/>
      <c r="AO26" s="3071"/>
      <c r="AP26" s="3071"/>
      <c r="AQ26" s="3071"/>
      <c r="AR26" s="3071"/>
    </row>
    <row r="27" spans="3:44">
      <c r="C27" s="3055" t="s">
        <v>3195</v>
      </c>
      <c r="D27" s="3701" t="s">
        <v>3196</v>
      </c>
      <c r="E27" s="3702"/>
      <c r="F27" s="3703"/>
      <c r="G27" s="3066">
        <v>30.1</v>
      </c>
      <c r="H27" s="3055" t="s">
        <v>3193</v>
      </c>
      <c r="I27" s="3055"/>
      <c r="J27" s="3120"/>
      <c r="L27" s="3171"/>
      <c r="M27" s="3171"/>
      <c r="N27" s="3171"/>
      <c r="O27" s="3171"/>
      <c r="P27" s="3171"/>
      <c r="Q27" s="3171"/>
      <c r="R27" s="3171"/>
      <c r="S27" s="3171"/>
      <c r="T27" s="3171"/>
      <c r="U27" s="3171"/>
      <c r="V27" s="3171"/>
      <c r="W27" s="3171"/>
      <c r="X27" s="3171"/>
      <c r="Y27" s="3169" t="s">
        <v>3210</v>
      </c>
      <c r="Z27" s="3172">
        <f>Z26/Y26</f>
        <v>0</v>
      </c>
      <c r="AA27" s="3172">
        <f>AA26/Y26</f>
        <v>0</v>
      </c>
      <c r="AB27" s="3172">
        <f>AB26/Y26</f>
        <v>0</v>
      </c>
      <c r="AC27" s="3172">
        <f>AC26/Y26</f>
        <v>0</v>
      </c>
      <c r="AD27" s="3172">
        <f>AD26/Y26</f>
        <v>0</v>
      </c>
      <c r="AE27" s="3172">
        <f>AE26/Y26</f>
        <v>0</v>
      </c>
      <c r="AF27" s="3172">
        <f>AF26/Y26</f>
        <v>0</v>
      </c>
      <c r="AG27" s="3172">
        <f>AG26/Y26</f>
        <v>0</v>
      </c>
      <c r="AH27" s="3172">
        <f>AH26/Y26</f>
        <v>5.4545454545454543E-2</v>
      </c>
      <c r="AI27" s="3172">
        <f>AI26/Y26</f>
        <v>0.59090909090909094</v>
      </c>
      <c r="AJ27" s="3172">
        <f>AJ26/Y26</f>
        <v>0.26363636363636361</v>
      </c>
      <c r="AK27" s="3172">
        <f>AK26/Y26</f>
        <v>9.0909090909090912E-2</v>
      </c>
    </row>
    <row r="28" spans="3:44">
      <c r="C28" s="3055" t="s">
        <v>3197</v>
      </c>
      <c r="D28" s="3711" t="s">
        <v>3198</v>
      </c>
      <c r="E28" s="3712"/>
      <c r="F28" s="3713"/>
      <c r="G28" s="3093">
        <f>G29+G30</f>
        <v>811</v>
      </c>
      <c r="H28" s="3055" t="s">
        <v>3199</v>
      </c>
      <c r="I28" s="3055"/>
      <c r="J28" s="3173">
        <f>G23+G16/10000*65</f>
        <v>440</v>
      </c>
    </row>
    <row r="29" spans="3:44">
      <c r="C29" s="3700"/>
      <c r="D29" s="3708" t="s">
        <v>3149</v>
      </c>
      <c r="E29" s="3711" t="s">
        <v>3201</v>
      </c>
      <c r="F29" s="3703"/>
      <c r="G29" s="3095">
        <v>73</v>
      </c>
      <c r="H29" s="3055" t="s">
        <v>3199</v>
      </c>
      <c r="I29" s="3055"/>
      <c r="J29" s="3173">
        <f>J28*0.2</f>
        <v>88</v>
      </c>
    </row>
    <row r="30" spans="3:44">
      <c r="C30" s="3700"/>
      <c r="D30" s="3708"/>
      <c r="E30" s="3711" t="s">
        <v>3203</v>
      </c>
      <c r="F30" s="3703"/>
      <c r="G30" s="3095">
        <v>738</v>
      </c>
      <c r="H30" s="3055" t="s">
        <v>3199</v>
      </c>
      <c r="I30" s="3055"/>
      <c r="J30" s="3173">
        <f>J28-J29</f>
        <v>352</v>
      </c>
    </row>
    <row r="36" spans="3:21">
      <c r="C36" s="3606" t="s">
        <v>3211</v>
      </c>
      <c r="D36" s="3607"/>
      <c r="E36" s="3607"/>
      <c r="F36" s="3607"/>
      <c r="G36" s="3607"/>
      <c r="L36" s="3800" t="s">
        <v>3312</v>
      </c>
      <c r="M36" s="3801"/>
      <c r="N36" s="3174">
        <f>SUM(N37:N41)</f>
        <v>20822.97</v>
      </c>
      <c r="O36" s="3175"/>
      <c r="P36" s="3175"/>
      <c r="Q36" s="3175"/>
      <c r="R36" s="3176"/>
      <c r="S36" s="3176"/>
      <c r="T36" s="3175"/>
      <c r="U36" s="3175"/>
    </row>
    <row r="37" spans="3:21">
      <c r="C37" s="3113"/>
      <c r="D37" s="3113"/>
      <c r="E37" s="3114" t="s">
        <v>3214</v>
      </c>
      <c r="F37" s="3059" t="s">
        <v>3215</v>
      </c>
      <c r="G37" s="3059" t="s">
        <v>3216</v>
      </c>
      <c r="L37" s="3794" t="s">
        <v>3149</v>
      </c>
      <c r="M37" s="3177" t="s">
        <v>3223</v>
      </c>
      <c r="N37" s="3175"/>
      <c r="O37" s="3175"/>
      <c r="P37" s="3175"/>
      <c r="Q37" s="3175"/>
      <c r="R37" s="3176"/>
      <c r="S37" s="3176"/>
      <c r="T37" s="3175"/>
      <c r="U37" s="3175"/>
    </row>
    <row r="38" spans="3:21">
      <c r="C38" s="3612" t="s">
        <v>3217</v>
      </c>
      <c r="D38" s="3115" t="s">
        <v>3218</v>
      </c>
      <c r="E38" s="3116"/>
      <c r="F38" s="3059"/>
      <c r="G38" s="3059"/>
      <c r="L38" s="3795"/>
      <c r="M38" s="3177" t="s">
        <v>3225</v>
      </c>
      <c r="N38" s="3175"/>
      <c r="O38" s="3175"/>
      <c r="P38" s="3175"/>
      <c r="Q38" s="3175"/>
      <c r="R38" s="3176"/>
      <c r="S38" s="3176"/>
      <c r="T38" s="3175"/>
      <c r="U38" s="3175"/>
    </row>
    <row r="39" spans="3:21">
      <c r="C39" s="3613"/>
      <c r="D39" s="3115" t="s">
        <v>3219</v>
      </c>
      <c r="E39" s="3116"/>
      <c r="F39" s="3059"/>
      <c r="G39" s="3059"/>
      <c r="L39" s="3795"/>
      <c r="M39" s="3177" t="s">
        <v>3227</v>
      </c>
      <c r="N39" s="3175"/>
      <c r="O39" s="3175"/>
      <c r="P39" s="3175"/>
      <c r="Q39" s="3175"/>
      <c r="R39" s="3176"/>
      <c r="S39" s="3176"/>
      <c r="T39" s="3175"/>
      <c r="U39" s="3175"/>
    </row>
    <row r="40" spans="3:21">
      <c r="C40" s="3615" t="s">
        <v>3221</v>
      </c>
      <c r="D40" s="3115" t="s">
        <v>3222</v>
      </c>
      <c r="E40" s="3616"/>
      <c r="F40" s="3059"/>
      <c r="G40" s="3059"/>
      <c r="L40" s="3795"/>
      <c r="M40" s="3177" t="s">
        <v>3229</v>
      </c>
      <c r="N40" s="3175"/>
      <c r="O40" s="3175"/>
      <c r="P40" s="3175"/>
      <c r="Q40" s="3175"/>
      <c r="R40" s="3176"/>
      <c r="S40" s="3176"/>
      <c r="T40" s="3175"/>
      <c r="U40" s="3175"/>
    </row>
    <row r="41" spans="3:21">
      <c r="C41" s="3615"/>
      <c r="D41" s="3115" t="s">
        <v>3224</v>
      </c>
      <c r="E41" s="3617"/>
      <c r="F41" s="3059"/>
      <c r="G41" s="3059"/>
      <c r="L41" s="3796"/>
      <c r="M41" s="3177" t="s">
        <v>48</v>
      </c>
      <c r="N41" s="3174">
        <v>20822.97</v>
      </c>
      <c r="O41" s="3175"/>
      <c r="P41" s="3175"/>
      <c r="Q41" s="3175"/>
      <c r="R41" s="3176"/>
      <c r="S41" s="3176"/>
      <c r="T41" s="3175"/>
      <c r="U41" s="3175"/>
    </row>
    <row r="42" spans="3:21">
      <c r="C42" s="3615"/>
      <c r="D42" s="3115" t="s">
        <v>3226</v>
      </c>
      <c r="E42" s="3617"/>
      <c r="F42" s="3059"/>
      <c r="G42" s="3059"/>
    </row>
    <row r="43" spans="3:21">
      <c r="C43" s="3615"/>
      <c r="D43" s="3115" t="s">
        <v>3228</v>
      </c>
      <c r="E43" s="3617"/>
      <c r="F43" s="3059"/>
      <c r="G43" s="3059"/>
    </row>
    <row r="44" spans="3:21">
      <c r="C44" s="3615"/>
      <c r="D44" s="3115" t="s">
        <v>3230</v>
      </c>
      <c r="E44" s="3618"/>
      <c r="F44" s="3059"/>
      <c r="G44" s="3059"/>
    </row>
    <row r="45" spans="3:21">
      <c r="C45" s="3113"/>
      <c r="D45" s="3113"/>
      <c r="E45" s="3116"/>
      <c r="F45" s="3059"/>
      <c r="G45" s="3059"/>
    </row>
    <row r="46" spans="3:21">
      <c r="C46" s="3084" t="s">
        <v>3231</v>
      </c>
      <c r="D46" s="3119" t="s">
        <v>3232</v>
      </c>
      <c r="E46" s="3116"/>
      <c r="F46" s="3059"/>
      <c r="G46" s="3059"/>
    </row>
    <row r="47" spans="3:21">
      <c r="C47" s="3115"/>
      <c r="D47" s="3120"/>
      <c r="E47" s="3120"/>
      <c r="F47" s="3059"/>
      <c r="G47" s="3059"/>
    </row>
    <row r="48" spans="3:21">
      <c r="C48" s="3605" t="s">
        <v>3233</v>
      </c>
      <c r="D48" s="3119" t="s">
        <v>3234</v>
      </c>
      <c r="E48" s="3116"/>
      <c r="F48" s="3059"/>
      <c r="G48" s="3059"/>
    </row>
    <row r="49" spans="3:7">
      <c r="C49" s="3605"/>
      <c r="D49" s="3115" t="s">
        <v>3235</v>
      </c>
      <c r="E49" s="3116"/>
      <c r="F49" s="3059"/>
      <c r="G49" s="3059"/>
    </row>
    <row r="50" spans="3:7">
      <c r="C50" s="3121"/>
      <c r="D50" s="3113"/>
      <c r="E50" s="3116"/>
      <c r="F50" s="3059"/>
      <c r="G50" s="3059"/>
    </row>
    <row r="51" spans="3:7">
      <c r="C51" s="3113"/>
      <c r="D51" s="3113"/>
      <c r="E51" s="3116"/>
      <c r="F51" s="3059"/>
      <c r="G51" s="3059"/>
    </row>
    <row r="52" spans="3:7">
      <c r="C52" s="3620" t="s">
        <v>3236</v>
      </c>
      <c r="D52" s="3119" t="s">
        <v>3271</v>
      </c>
      <c r="E52" s="3622"/>
      <c r="F52" s="3059"/>
      <c r="G52" s="3059"/>
    </row>
    <row r="53" spans="3:7">
      <c r="C53" s="3621"/>
      <c r="D53" s="3119" t="s">
        <v>3272</v>
      </c>
      <c r="E53" s="3618"/>
      <c r="F53" s="3059"/>
      <c r="G53" s="3059"/>
    </row>
    <row r="54" spans="3:7">
      <c r="C54" s="3113"/>
      <c r="D54" s="3113"/>
      <c r="E54" s="3116"/>
      <c r="F54" s="3059"/>
      <c r="G54" s="3059"/>
    </row>
    <row r="55" spans="3:7">
      <c r="C55" s="3620" t="s">
        <v>3273</v>
      </c>
      <c r="D55" s="3119" t="s">
        <v>3274</v>
      </c>
      <c r="E55" s="3116"/>
      <c r="F55" s="3059"/>
      <c r="G55" s="3059"/>
    </row>
    <row r="56" spans="3:7">
      <c r="C56" s="3623"/>
      <c r="D56" s="3119" t="s">
        <v>3275</v>
      </c>
      <c r="E56" s="3116"/>
      <c r="F56" s="3059"/>
      <c r="G56" s="3059"/>
    </row>
    <row r="57" spans="3:7">
      <c r="C57" s="3623"/>
      <c r="D57" s="3119" t="s">
        <v>3276</v>
      </c>
      <c r="E57" s="3116"/>
      <c r="F57" s="3059"/>
      <c r="G57" s="3059"/>
    </row>
    <row r="58" spans="3:7">
      <c r="C58" s="3623"/>
      <c r="D58" s="3119" t="s">
        <v>3277</v>
      </c>
      <c r="E58" s="3116"/>
      <c r="F58" s="3059"/>
      <c r="G58" s="3059"/>
    </row>
    <row r="59" spans="3:7">
      <c r="C59" s="3621"/>
      <c r="D59" s="3115" t="s">
        <v>3278</v>
      </c>
      <c r="E59" s="3116"/>
      <c r="F59" s="3059"/>
      <c r="G59" s="3059"/>
    </row>
    <row r="60" spans="3:7">
      <c r="C60" s="3615" t="s">
        <v>3279</v>
      </c>
      <c r="D60" s="3115" t="s">
        <v>3280</v>
      </c>
      <c r="E60" s="3116"/>
      <c r="F60" s="3059"/>
      <c r="G60" s="3059"/>
    </row>
    <row r="61" spans="3:7">
      <c r="C61" s="3615"/>
      <c r="D61" s="3119" t="s">
        <v>3281</v>
      </c>
      <c r="E61" s="3116"/>
      <c r="F61" s="3059"/>
      <c r="G61" s="3059"/>
    </row>
    <row r="62" spans="3:7">
      <c r="C62" s="3615"/>
      <c r="D62" s="3119" t="s">
        <v>3282</v>
      </c>
      <c r="E62" s="3116"/>
      <c r="F62" s="3059"/>
      <c r="G62" s="3059"/>
    </row>
    <row r="63" spans="3:7">
      <c r="C63" s="3615"/>
      <c r="D63" s="3115" t="s">
        <v>3283</v>
      </c>
      <c r="E63" s="3116"/>
      <c r="F63" s="3059"/>
      <c r="G63" s="3059"/>
    </row>
    <row r="64" spans="3:7">
      <c r="C64" s="3615"/>
      <c r="D64" s="3115" t="s">
        <v>3284</v>
      </c>
      <c r="E64" s="3116"/>
      <c r="F64" s="3059"/>
      <c r="G64" s="3059"/>
    </row>
    <row r="65" spans="3:7">
      <c r="C65" s="3615"/>
      <c r="D65" s="3115"/>
      <c r="E65" s="3116"/>
      <c r="F65" s="3059"/>
      <c r="G65" s="3059"/>
    </row>
    <row r="66" spans="3:7">
      <c r="C66" s="3615"/>
      <c r="D66" s="3115" t="s">
        <v>3285</v>
      </c>
      <c r="E66" s="3116"/>
      <c r="F66" s="3059"/>
      <c r="G66" s="3059"/>
    </row>
    <row r="67" spans="3:7">
      <c r="C67" s="3615"/>
      <c r="D67" s="3115" t="s">
        <v>3286</v>
      </c>
      <c r="E67" s="3116"/>
      <c r="F67" s="3059"/>
      <c r="G67" s="3059"/>
    </row>
    <row r="68" spans="3:7">
      <c r="C68" s="3615"/>
      <c r="D68" s="3115" t="s">
        <v>3287</v>
      </c>
      <c r="E68" s="3116"/>
      <c r="F68" s="3059"/>
      <c r="G68" s="3059"/>
    </row>
    <row r="69" spans="3:7">
      <c r="C69" s="3615"/>
      <c r="D69" s="3115" t="s">
        <v>3288</v>
      </c>
      <c r="E69" s="3116"/>
      <c r="F69" s="3059"/>
      <c r="G69" s="3059"/>
    </row>
    <row r="70" spans="3:7">
      <c r="C70" s="3615"/>
      <c r="D70" s="3115" t="s">
        <v>3289</v>
      </c>
      <c r="E70" s="3116"/>
      <c r="F70" s="3059"/>
      <c r="G70" s="3059"/>
    </row>
    <row r="71" spans="3:7">
      <c r="C71" s="3058" t="s">
        <v>3209</v>
      </c>
      <c r="D71" s="3058"/>
      <c r="E71" s="3058">
        <f>SUM(E38:E70)</f>
        <v>0</v>
      </c>
      <c r="F71" s="3058"/>
      <c r="G71" s="3059"/>
    </row>
    <row r="72" spans="3:7">
      <c r="C72" s="3120"/>
      <c r="D72" s="3120"/>
      <c r="E72" s="3120"/>
    </row>
    <row r="73" spans="3:7">
      <c r="C73" s="3122" t="s">
        <v>3290</v>
      </c>
      <c r="D73" s="3123" t="s">
        <v>3291</v>
      </c>
      <c r="E73" s="3120"/>
    </row>
  </sheetData>
  <mergeCells count="56">
    <mergeCell ref="C48:C49"/>
    <mergeCell ref="C52:C53"/>
    <mergeCell ref="E52:E53"/>
    <mergeCell ref="C55:C59"/>
    <mergeCell ref="C60:C70"/>
    <mergeCell ref="C36:G36"/>
    <mergeCell ref="L36:M36"/>
    <mergeCell ref="L37:L41"/>
    <mergeCell ref="C38:C39"/>
    <mergeCell ref="C40:C44"/>
    <mergeCell ref="E40:E44"/>
    <mergeCell ref="D26:F26"/>
    <mergeCell ref="L26:M26"/>
    <mergeCell ref="D27:F27"/>
    <mergeCell ref="D28:F28"/>
    <mergeCell ref="C29:C30"/>
    <mergeCell ref="D29:D30"/>
    <mergeCell ref="E29:F29"/>
    <mergeCell ref="E30:F30"/>
    <mergeCell ref="D23:F23"/>
    <mergeCell ref="L23:M23"/>
    <mergeCell ref="D24:F24"/>
    <mergeCell ref="L24:M24"/>
    <mergeCell ref="D25:F25"/>
    <mergeCell ref="L25:M25"/>
    <mergeCell ref="D22:F22"/>
    <mergeCell ref="L22:M22"/>
    <mergeCell ref="L15:M15"/>
    <mergeCell ref="E16:F16"/>
    <mergeCell ref="L16:M16"/>
    <mergeCell ref="E17:F17"/>
    <mergeCell ref="L17:L19"/>
    <mergeCell ref="D19:F19"/>
    <mergeCell ref="D20:D21"/>
    <mergeCell ref="E20:F20"/>
    <mergeCell ref="L20:M20"/>
    <mergeCell ref="E21:F21"/>
    <mergeCell ref="L21:M21"/>
    <mergeCell ref="C10:C21"/>
    <mergeCell ref="D10:F10"/>
    <mergeCell ref="L10:M10"/>
    <mergeCell ref="D11:D17"/>
    <mergeCell ref="E11:F11"/>
    <mergeCell ref="L11:L13"/>
    <mergeCell ref="E12:E13"/>
    <mergeCell ref="E14:F14"/>
    <mergeCell ref="L14:M14"/>
    <mergeCell ref="E15:F15"/>
    <mergeCell ref="D7:F7"/>
    <mergeCell ref="L7:L9"/>
    <mergeCell ref="D9:F9"/>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R73"/>
  <sheetViews>
    <sheetView zoomScale="115" zoomScaleNormal="115" workbookViewId="0">
      <selection activeCell="N30" sqref="N30"/>
    </sheetView>
  </sheetViews>
  <sheetFormatPr defaultRowHeight="13.5"/>
  <cols>
    <col min="1" max="3" width="9" style="3044"/>
    <col min="4" max="4" width="22.375" style="3044" customWidth="1"/>
    <col min="5" max="5" width="16.375" style="3044" customWidth="1"/>
    <col min="6" max="6" width="22.75" style="3044" customWidth="1"/>
    <col min="7" max="7" width="20.625" style="3044" customWidth="1"/>
    <col min="8" max="8" width="9" style="3044"/>
    <col min="9" max="9" width="14.375" style="3044" customWidth="1"/>
    <col min="10" max="12" width="9" style="3044"/>
    <col min="13" max="13" width="19.875" style="3044" customWidth="1"/>
    <col min="14" max="14" width="13.75" style="3044" customWidth="1"/>
    <col min="15" max="15" width="12.5" style="3044" customWidth="1"/>
    <col min="16" max="16" width="9.5" style="3044" bestFit="1" customWidth="1"/>
    <col min="17" max="21" width="9" style="3044"/>
    <col min="22" max="22" width="21.875" style="3044" customWidth="1"/>
    <col min="23" max="23" width="9.5" style="3044" bestFit="1" customWidth="1"/>
    <col min="24" max="29" width="9" style="3044"/>
    <col min="30" max="30" width="16.375" style="3044" customWidth="1"/>
    <col min="31" max="16384" width="9" style="3044"/>
  </cols>
  <sheetData>
    <row r="4" spans="3:44" ht="14.25" thickBot="1">
      <c r="K4" s="3719" t="s">
        <v>3292</v>
      </c>
      <c r="L4" s="3720"/>
      <c r="M4" s="3720"/>
      <c r="N4" s="3720"/>
      <c r="O4" s="3720"/>
      <c r="P4" s="3720"/>
      <c r="Q4" s="3720"/>
      <c r="R4" s="3720"/>
      <c r="S4" s="3720"/>
      <c r="T4" s="3720"/>
      <c r="U4" s="3720"/>
      <c r="V4" s="3721"/>
      <c r="W4" s="3120"/>
      <c r="Y4" s="3044" t="s">
        <v>3053</v>
      </c>
    </row>
    <row r="5" spans="3:44" ht="81">
      <c r="C5" s="3789" t="s">
        <v>3293</v>
      </c>
      <c r="D5" s="3790"/>
      <c r="E5" s="3790"/>
      <c r="F5" s="3790"/>
      <c r="G5" s="3790"/>
      <c r="H5" s="3790"/>
      <c r="I5" s="3791"/>
      <c r="J5" s="3120"/>
      <c r="K5" s="3125"/>
      <c r="L5" s="3725" t="s">
        <v>3101</v>
      </c>
      <c r="M5" s="3726"/>
      <c r="N5" s="3126" t="s">
        <v>3102</v>
      </c>
      <c r="O5" s="3126" t="s">
        <v>3103</v>
      </c>
      <c r="P5" s="3127" t="s">
        <v>3104</v>
      </c>
      <c r="Q5" s="3128" t="s">
        <v>3105</v>
      </c>
      <c r="R5" s="3129" t="s">
        <v>3106</v>
      </c>
      <c r="S5" s="3129" t="s">
        <v>3107</v>
      </c>
      <c r="T5" s="3129" t="s">
        <v>3108</v>
      </c>
      <c r="U5" s="3126" t="s">
        <v>3109</v>
      </c>
      <c r="V5" s="3130" t="s">
        <v>3110</v>
      </c>
      <c r="W5" s="3131" t="s">
        <v>3111</v>
      </c>
      <c r="Y5" s="3050" t="s">
        <v>3112</v>
      </c>
      <c r="Z5" s="3051" t="s">
        <v>3294</v>
      </c>
      <c r="AA5" s="3051" t="s">
        <v>3295</v>
      </c>
      <c r="AB5" s="3051" t="s">
        <v>3296</v>
      </c>
      <c r="AC5" s="3051" t="s">
        <v>3297</v>
      </c>
      <c r="AD5" s="3052" t="s">
        <v>3117</v>
      </c>
      <c r="AE5" s="3052" t="s">
        <v>3118</v>
      </c>
      <c r="AF5" s="3052" t="s">
        <v>3119</v>
      </c>
      <c r="AG5" s="3052" t="s">
        <v>3120</v>
      </c>
      <c r="AH5" s="3053" t="s">
        <v>3121</v>
      </c>
      <c r="AI5" s="3053" t="s">
        <v>3122</v>
      </c>
      <c r="AJ5" s="3053" t="s">
        <v>3123</v>
      </c>
      <c r="AK5" s="3053" t="s">
        <v>3124</v>
      </c>
      <c r="AL5" s="3054" t="s">
        <v>3260</v>
      </c>
      <c r="AM5" s="3054" t="s">
        <v>3261</v>
      </c>
      <c r="AN5" s="3054" t="s">
        <v>3262</v>
      </c>
      <c r="AO5" s="3054" t="s">
        <v>3263</v>
      </c>
      <c r="AP5" s="3054" t="s">
        <v>3264</v>
      </c>
      <c r="AQ5" s="3054" t="s">
        <v>3265</v>
      </c>
      <c r="AR5" s="3054" t="s">
        <v>3266</v>
      </c>
    </row>
    <row r="6" spans="3:44">
      <c r="C6" s="3055" t="s">
        <v>3134</v>
      </c>
      <c r="D6" s="3700" t="s">
        <v>3135</v>
      </c>
      <c r="E6" s="3700"/>
      <c r="F6" s="3700"/>
      <c r="G6" s="3055" t="s">
        <v>3136</v>
      </c>
      <c r="H6" s="3055" t="s">
        <v>3137</v>
      </c>
      <c r="I6" s="3055" t="s">
        <v>3110</v>
      </c>
      <c r="J6" s="3120"/>
      <c r="L6" s="3792" t="s">
        <v>3298</v>
      </c>
      <c r="M6" s="3793"/>
      <c r="N6" s="3132"/>
      <c r="O6" s="3132"/>
      <c r="P6" s="3132"/>
      <c r="Q6" s="3133"/>
      <c r="R6" s="3134"/>
      <c r="S6" s="3134"/>
      <c r="T6" s="3133"/>
      <c r="U6" s="3133"/>
      <c r="V6" s="3135"/>
      <c r="W6" s="3136"/>
      <c r="X6" s="3137"/>
      <c r="Y6" s="3138"/>
      <c r="Z6" s="3139"/>
      <c r="AA6" s="3139"/>
      <c r="AB6" s="3139"/>
      <c r="AC6" s="3139"/>
      <c r="AD6" s="3140"/>
      <c r="AE6" s="3140"/>
      <c r="AF6" s="3140"/>
      <c r="AG6" s="3140"/>
      <c r="AH6" s="3141"/>
      <c r="AI6" s="3141"/>
      <c r="AJ6" s="3141"/>
      <c r="AK6" s="3141"/>
      <c r="AL6" s="3071"/>
      <c r="AM6" s="3071"/>
      <c r="AN6" s="3071"/>
      <c r="AO6" s="3071"/>
      <c r="AP6" s="3071"/>
      <c r="AQ6" s="3071"/>
      <c r="AR6" s="3071"/>
    </row>
    <row r="7" spans="3:44">
      <c r="C7" s="3055" t="s">
        <v>3140</v>
      </c>
      <c r="D7" s="3701" t="s">
        <v>3141</v>
      </c>
      <c r="E7" s="3702"/>
      <c r="F7" s="3703"/>
      <c r="G7" s="3142">
        <v>18206.759999999998</v>
      </c>
      <c r="H7" s="3055" t="s">
        <v>3142</v>
      </c>
      <c r="I7" s="3055"/>
      <c r="J7" s="3120"/>
      <c r="L7" s="3787" t="s">
        <v>3149</v>
      </c>
      <c r="M7" s="3143"/>
      <c r="N7" s="3144"/>
      <c r="O7" s="3145"/>
      <c r="P7" s="3145"/>
      <c r="Q7" s="3145"/>
      <c r="R7" s="3146"/>
      <c r="S7" s="3146"/>
      <c r="T7" s="3145"/>
      <c r="U7" s="3145"/>
      <c r="V7" s="3147"/>
      <c r="W7" s="3148"/>
      <c r="X7" s="3149"/>
      <c r="Y7" s="3058"/>
      <c r="Z7" s="3071"/>
      <c r="AA7" s="3071"/>
      <c r="AB7" s="3071"/>
      <c r="AC7" s="3071"/>
      <c r="AD7" s="3071"/>
      <c r="AE7" s="3071"/>
      <c r="AF7" s="3071"/>
      <c r="AG7" s="3071"/>
      <c r="AH7" s="3071"/>
      <c r="AI7" s="3071"/>
      <c r="AJ7" s="3071"/>
      <c r="AK7" s="3071"/>
      <c r="AL7" s="3071"/>
      <c r="AM7" s="3071"/>
      <c r="AN7" s="3071"/>
      <c r="AO7" s="3071"/>
      <c r="AP7" s="3071"/>
      <c r="AQ7" s="3071"/>
      <c r="AR7" s="3071"/>
    </row>
    <row r="8" spans="3:44">
      <c r="C8" s="3055"/>
      <c r="D8" s="3150"/>
      <c r="E8" s="3151"/>
      <c r="F8" s="3152"/>
      <c r="G8" s="3066"/>
      <c r="H8" s="3055"/>
      <c r="I8" s="3055"/>
      <c r="J8" s="3120"/>
      <c r="L8" s="3788"/>
      <c r="M8" s="3143"/>
      <c r="N8" s="3144"/>
      <c r="O8" s="3145"/>
      <c r="P8" s="3145"/>
      <c r="Q8" s="3145"/>
      <c r="R8" s="3146"/>
      <c r="S8" s="3146"/>
      <c r="T8" s="3145"/>
      <c r="U8" s="3145"/>
      <c r="V8" s="3147"/>
      <c r="W8" s="3148"/>
      <c r="X8" s="3149"/>
      <c r="Y8" s="3058"/>
      <c r="Z8" s="3071"/>
      <c r="AA8" s="3071"/>
      <c r="AB8" s="3071"/>
      <c r="AC8" s="3071"/>
      <c r="AD8" s="3071"/>
      <c r="AE8" s="3071"/>
      <c r="AF8" s="3071"/>
      <c r="AG8" s="3071"/>
      <c r="AH8" s="3071"/>
      <c r="AI8" s="3071"/>
      <c r="AJ8" s="3071"/>
      <c r="AK8" s="3071"/>
      <c r="AL8" s="3071"/>
      <c r="AM8" s="3071"/>
      <c r="AN8" s="3071"/>
      <c r="AO8" s="3071"/>
      <c r="AP8" s="3071"/>
      <c r="AQ8" s="3071"/>
      <c r="AR8" s="3071"/>
    </row>
    <row r="9" spans="3:44">
      <c r="C9" s="3055" t="s">
        <v>3145</v>
      </c>
      <c r="D9" s="3700" t="s">
        <v>3146</v>
      </c>
      <c r="E9" s="3700"/>
      <c r="F9" s="3700"/>
      <c r="G9" s="3066">
        <f>G10+G19</f>
        <v>51586.109999999993</v>
      </c>
      <c r="H9" s="3055" t="s">
        <v>3142</v>
      </c>
      <c r="I9" s="3055"/>
      <c r="J9" s="3120"/>
      <c r="L9" s="3788"/>
      <c r="M9" s="3143"/>
      <c r="N9" s="3144" t="s">
        <v>3164</v>
      </c>
      <c r="O9" s="3145"/>
      <c r="P9" s="3145"/>
      <c r="Q9" s="3145"/>
      <c r="R9" s="3146"/>
      <c r="S9" s="3146"/>
      <c r="T9" s="3145"/>
      <c r="U9" s="3145"/>
      <c r="V9" s="3147"/>
      <c r="W9" s="3148"/>
      <c r="X9" s="3149"/>
      <c r="Y9" s="3058">
        <f t="shared" ref="Y9:Y26" si="0">SUM(Z9:AR9)</f>
        <v>0</v>
      </c>
      <c r="Z9" s="3071"/>
      <c r="AA9" s="3071"/>
      <c r="AB9" s="3071"/>
      <c r="AC9" s="3071"/>
      <c r="AD9" s="3071"/>
      <c r="AE9" s="3071"/>
      <c r="AF9" s="3071"/>
      <c r="AG9" s="3071"/>
      <c r="AH9" s="3071"/>
      <c r="AI9" s="3071"/>
      <c r="AJ9" s="3071"/>
      <c r="AK9" s="3071"/>
      <c r="AL9" s="3071"/>
      <c r="AM9" s="3071"/>
      <c r="AN9" s="3071"/>
      <c r="AO9" s="3071"/>
      <c r="AP9" s="3071"/>
      <c r="AQ9" s="3071"/>
      <c r="AR9" s="3071"/>
    </row>
    <row r="10" spans="3:44">
      <c r="C10" s="3704" t="s">
        <v>3149</v>
      </c>
      <c r="D10" s="3700" t="s">
        <v>3150</v>
      </c>
      <c r="E10" s="3700"/>
      <c r="F10" s="3700"/>
      <c r="G10" s="3066">
        <f>G11+G14+G15+G16+G17</f>
        <v>50391.869999999995</v>
      </c>
      <c r="H10" s="3055" t="s">
        <v>3142</v>
      </c>
      <c r="I10" s="3055"/>
      <c r="J10" s="3120"/>
      <c r="L10" s="3779" t="s">
        <v>3299</v>
      </c>
      <c r="M10" s="3780"/>
      <c r="N10" s="3144">
        <f>O10+P10</f>
        <v>11722</v>
      </c>
      <c r="O10" s="3144">
        <f>O11+O12+O13</f>
        <v>11462.37</v>
      </c>
      <c r="P10" s="3144">
        <v>259.63</v>
      </c>
      <c r="Q10" s="3153">
        <v>1332.47</v>
      </c>
      <c r="R10" s="3146">
        <v>126</v>
      </c>
      <c r="S10" s="3146">
        <f>R10*3.2</f>
        <v>403.20000000000005</v>
      </c>
      <c r="T10" s="3153" t="s">
        <v>3148</v>
      </c>
      <c r="U10" s="3153">
        <v>34.950000000000003</v>
      </c>
      <c r="V10" s="3147"/>
      <c r="W10" s="3154">
        <v>1004.26</v>
      </c>
      <c r="X10" s="3155"/>
      <c r="Y10" s="3058">
        <f t="shared" si="0"/>
        <v>126</v>
      </c>
      <c r="Z10" s="3092">
        <v>30</v>
      </c>
      <c r="AA10" s="3092">
        <v>10</v>
      </c>
      <c r="AB10" s="3092">
        <v>10</v>
      </c>
      <c r="AC10" s="3092">
        <v>10</v>
      </c>
      <c r="AD10" s="3084">
        <v>3</v>
      </c>
      <c r="AE10" s="3084">
        <v>47</v>
      </c>
      <c r="AF10" s="3084">
        <v>10</v>
      </c>
      <c r="AG10" s="3084">
        <v>6</v>
      </c>
      <c r="AH10" s="3071"/>
      <c r="AI10" s="3071"/>
      <c r="AJ10" s="3071"/>
      <c r="AK10" s="3071"/>
      <c r="AL10" s="3071"/>
      <c r="AM10" s="3071"/>
      <c r="AN10" s="3071"/>
      <c r="AO10" s="3071"/>
      <c r="AP10" s="3071"/>
      <c r="AQ10" s="3071"/>
      <c r="AR10" s="3071"/>
    </row>
    <row r="11" spans="3:44">
      <c r="C11" s="3705"/>
      <c r="D11" s="3700" t="s">
        <v>3149</v>
      </c>
      <c r="E11" s="3707" t="s">
        <v>3153</v>
      </c>
      <c r="F11" s="3707"/>
      <c r="G11" s="3066">
        <f>G12+G13</f>
        <v>47961.35</v>
      </c>
      <c r="H11" s="3055" t="s">
        <v>3142</v>
      </c>
      <c r="I11" s="3055"/>
      <c r="J11" s="3120"/>
      <c r="L11" s="3794" t="s">
        <v>3149</v>
      </c>
      <c r="M11" s="3143" t="s">
        <v>3163</v>
      </c>
      <c r="N11" s="3144" t="s">
        <v>3164</v>
      </c>
      <c r="O11" s="3145">
        <v>10117.370000000001</v>
      </c>
      <c r="P11" s="3156"/>
      <c r="Q11" s="3156"/>
      <c r="R11" s="3156"/>
      <c r="S11" s="3156"/>
      <c r="T11" s="3156"/>
      <c r="U11" s="3156"/>
      <c r="V11" s="3157"/>
      <c r="W11" s="3084"/>
      <c r="X11" s="3149"/>
      <c r="Y11" s="3058">
        <f t="shared" si="0"/>
        <v>0</v>
      </c>
      <c r="Z11" s="3071"/>
      <c r="AA11" s="3071"/>
      <c r="AB11" s="3071"/>
      <c r="AC11" s="3071"/>
      <c r="AD11" s="3071"/>
      <c r="AE11" s="3071"/>
      <c r="AF11" s="3071"/>
      <c r="AG11" s="3071"/>
      <c r="AH11" s="3071"/>
      <c r="AI11" s="3071"/>
      <c r="AJ11" s="3071"/>
      <c r="AK11" s="3071"/>
      <c r="AL11" s="3071"/>
      <c r="AM11" s="3071"/>
      <c r="AN11" s="3071"/>
      <c r="AO11" s="3071"/>
      <c r="AP11" s="3071"/>
      <c r="AQ11" s="3071"/>
      <c r="AR11" s="3071"/>
    </row>
    <row r="12" spans="3:44">
      <c r="C12" s="3705"/>
      <c r="D12" s="3700"/>
      <c r="E12" s="3727" t="s">
        <v>3149</v>
      </c>
      <c r="F12" s="3078" t="s">
        <v>3300</v>
      </c>
      <c r="G12" s="3079">
        <f>O7+O11+O14+O15+O17+O20+O21+O22+O23+O24+O25+O6</f>
        <v>47961.35</v>
      </c>
      <c r="H12" s="3055" t="s">
        <v>3142</v>
      </c>
      <c r="I12" s="3055"/>
      <c r="J12" s="3120"/>
      <c r="L12" s="3795"/>
      <c r="M12" s="3143" t="s">
        <v>3154</v>
      </c>
      <c r="N12" s="3144"/>
      <c r="O12" s="3145">
        <v>960.83</v>
      </c>
      <c r="P12" s="3145"/>
      <c r="Q12" s="3145"/>
      <c r="R12" s="3146"/>
      <c r="S12" s="3146"/>
      <c r="T12" s="3145"/>
      <c r="U12" s="3145"/>
      <c r="V12" s="3147"/>
      <c r="W12" s="3143"/>
      <c r="X12" s="3149"/>
      <c r="Y12" s="3058">
        <f t="shared" si="0"/>
        <v>0</v>
      </c>
      <c r="Z12" s="3071"/>
      <c r="AA12" s="3071"/>
      <c r="AB12" s="3071"/>
      <c r="AC12" s="3071"/>
      <c r="AD12" s="3071"/>
      <c r="AE12" s="3071"/>
      <c r="AF12" s="3071"/>
      <c r="AG12" s="3071"/>
      <c r="AH12" s="3071"/>
      <c r="AI12" s="3071"/>
      <c r="AJ12" s="3071"/>
      <c r="AK12" s="3071"/>
      <c r="AL12" s="3071"/>
      <c r="AM12" s="3071"/>
      <c r="AN12" s="3071"/>
      <c r="AO12" s="3071"/>
      <c r="AP12" s="3071"/>
      <c r="AQ12" s="3071"/>
      <c r="AR12" s="3071"/>
    </row>
    <row r="13" spans="3:44">
      <c r="C13" s="3705"/>
      <c r="D13" s="3700"/>
      <c r="E13" s="3706"/>
      <c r="F13" s="3078"/>
      <c r="G13" s="3079"/>
      <c r="H13" s="3055"/>
      <c r="I13" s="3055"/>
      <c r="J13" s="3120"/>
      <c r="L13" s="3796"/>
      <c r="M13" s="3143" t="s">
        <v>3157</v>
      </c>
      <c r="N13" s="3144" t="s">
        <v>3164</v>
      </c>
      <c r="O13" s="3145">
        <v>384.17</v>
      </c>
      <c r="P13" s="3145"/>
      <c r="Q13" s="3145"/>
      <c r="R13" s="3146"/>
      <c r="S13" s="3146"/>
      <c r="T13" s="3145"/>
      <c r="U13" s="3145"/>
      <c r="V13" s="3158" t="s">
        <v>3301</v>
      </c>
      <c r="W13" s="3143"/>
      <c r="X13" s="3149"/>
      <c r="Y13" s="3058">
        <f t="shared" si="0"/>
        <v>0</v>
      </c>
      <c r="Z13" s="3071"/>
      <c r="AA13" s="3071"/>
      <c r="AB13" s="3071"/>
      <c r="AC13" s="3071"/>
      <c r="AD13" s="3071"/>
      <c r="AE13" s="3071"/>
      <c r="AF13" s="3071"/>
      <c r="AG13" s="3071"/>
      <c r="AH13" s="3071"/>
      <c r="AI13" s="3071"/>
      <c r="AJ13" s="3071"/>
      <c r="AK13" s="3071"/>
      <c r="AL13" s="3071"/>
      <c r="AM13" s="3071"/>
      <c r="AN13" s="3071"/>
      <c r="AO13" s="3071"/>
      <c r="AP13" s="3071"/>
      <c r="AQ13" s="3071"/>
      <c r="AR13" s="3071"/>
    </row>
    <row r="14" spans="3:44">
      <c r="C14" s="3705"/>
      <c r="D14" s="3700"/>
      <c r="E14" s="3700"/>
      <c r="F14" s="3700"/>
      <c r="G14" s="3066"/>
      <c r="H14" s="3055"/>
      <c r="I14" s="3055"/>
      <c r="J14" s="3120"/>
      <c r="L14" s="3779" t="s">
        <v>3302</v>
      </c>
      <c r="M14" s="3780"/>
      <c r="N14" s="3144"/>
      <c r="O14" s="3144"/>
      <c r="P14" s="3144"/>
      <c r="Q14" s="3159"/>
      <c r="R14" s="3146"/>
      <c r="S14" s="3146"/>
      <c r="T14" s="3159"/>
      <c r="U14" s="3159"/>
      <c r="V14" s="3160"/>
      <c r="W14" s="3148"/>
      <c r="X14" s="3161"/>
      <c r="Y14" s="3058"/>
      <c r="Z14" s="3071"/>
      <c r="AA14" s="3071"/>
      <c r="AB14" s="3071"/>
      <c r="AC14" s="3071"/>
      <c r="AD14" s="3071"/>
      <c r="AE14" s="3071"/>
      <c r="AF14" s="3071"/>
      <c r="AG14" s="3071"/>
      <c r="AH14" s="3072"/>
      <c r="AI14" s="3072"/>
      <c r="AJ14" s="3072"/>
      <c r="AK14" s="3072"/>
      <c r="AL14" s="3071"/>
      <c r="AM14" s="3071"/>
      <c r="AN14" s="3071"/>
      <c r="AO14" s="3071"/>
      <c r="AP14" s="3071"/>
      <c r="AQ14" s="3071"/>
      <c r="AR14" s="3071"/>
    </row>
    <row r="15" spans="3:44">
      <c r="C15" s="3705"/>
      <c r="D15" s="3700"/>
      <c r="E15" s="3701"/>
      <c r="F15" s="3703"/>
      <c r="G15" s="3066"/>
      <c r="H15" s="3055"/>
      <c r="I15" s="3055"/>
      <c r="J15" s="3120"/>
      <c r="L15" s="3779" t="s">
        <v>3303</v>
      </c>
      <c r="M15" s="3780"/>
      <c r="N15" s="3144"/>
      <c r="O15" s="3162"/>
      <c r="P15" s="3144"/>
      <c r="Q15" s="3145"/>
      <c r="R15" s="3146"/>
      <c r="S15" s="3146"/>
      <c r="T15" s="3159"/>
      <c r="U15" s="3159"/>
      <c r="V15" s="3147"/>
      <c r="W15" s="3143"/>
      <c r="X15" s="3161"/>
      <c r="Y15" s="3058"/>
      <c r="Z15" s="3071"/>
      <c r="AA15" s="3071"/>
      <c r="AB15" s="3071"/>
      <c r="AC15" s="3071"/>
      <c r="AD15" s="3071"/>
      <c r="AE15" s="3071"/>
      <c r="AF15" s="3071"/>
      <c r="AG15" s="3071"/>
      <c r="AH15" s="3072"/>
      <c r="AI15" s="3072"/>
      <c r="AJ15" s="3072"/>
      <c r="AK15" s="3072"/>
      <c r="AL15" s="3071"/>
      <c r="AM15" s="3071"/>
      <c r="AN15" s="3071"/>
      <c r="AO15" s="3071"/>
      <c r="AP15" s="3071"/>
      <c r="AQ15" s="3071"/>
      <c r="AR15" s="3071"/>
    </row>
    <row r="16" spans="3:44">
      <c r="C16" s="3705"/>
      <c r="D16" s="3700"/>
      <c r="E16" s="3709" t="s">
        <v>3165</v>
      </c>
      <c r="F16" s="3710"/>
      <c r="G16" s="3066">
        <f>O8+O12+O18</f>
        <v>1802.6</v>
      </c>
      <c r="H16" s="3055" t="s">
        <v>3142</v>
      </c>
      <c r="I16" s="3055"/>
      <c r="J16" s="3120"/>
      <c r="L16" s="3779" t="s">
        <v>3304</v>
      </c>
      <c r="M16" s="3780"/>
      <c r="N16" s="3144">
        <f t="shared" ref="N16:N25" si="1">O16+P16</f>
        <v>11462.52</v>
      </c>
      <c r="O16" s="3144">
        <f>O17+O19+O18</f>
        <v>11202.890000000001</v>
      </c>
      <c r="P16" s="3144">
        <v>259.63</v>
      </c>
      <c r="Q16" s="3153">
        <v>1201.68</v>
      </c>
      <c r="R16" s="3146">
        <v>126</v>
      </c>
      <c r="S16" s="3146">
        <f>R16*3.2</f>
        <v>403.20000000000005</v>
      </c>
      <c r="T16" s="3153" t="s">
        <v>3148</v>
      </c>
      <c r="U16" s="3153">
        <v>34.950000000000003</v>
      </c>
      <c r="V16" s="3147"/>
      <c r="W16" s="3154">
        <v>998.82</v>
      </c>
      <c r="X16" s="3155"/>
      <c r="Y16" s="3058">
        <f t="shared" si="0"/>
        <v>126</v>
      </c>
      <c r="Z16" s="3092">
        <v>30</v>
      </c>
      <c r="AA16" s="3092">
        <v>10</v>
      </c>
      <c r="AB16" s="3092">
        <v>10</v>
      </c>
      <c r="AC16" s="3092">
        <v>10</v>
      </c>
      <c r="AD16" s="3084">
        <v>3</v>
      </c>
      <c r="AE16" s="3084">
        <v>47</v>
      </c>
      <c r="AF16" s="3084">
        <v>10</v>
      </c>
      <c r="AG16" s="3084">
        <v>6</v>
      </c>
      <c r="AH16" s="3071"/>
      <c r="AI16" s="3071"/>
      <c r="AJ16" s="3071"/>
      <c r="AK16" s="3071"/>
      <c r="AL16" s="3071"/>
      <c r="AM16" s="3071"/>
      <c r="AN16" s="3071"/>
      <c r="AO16" s="3071"/>
      <c r="AP16" s="3071"/>
      <c r="AQ16" s="3071"/>
      <c r="AR16" s="3071"/>
    </row>
    <row r="17" spans="3:44">
      <c r="C17" s="3705"/>
      <c r="D17" s="3700"/>
      <c r="E17" s="3700" t="s">
        <v>3168</v>
      </c>
      <c r="F17" s="3700"/>
      <c r="G17" s="3066">
        <f>O13+O9+O19</f>
        <v>627.92000000000007</v>
      </c>
      <c r="H17" s="3055" t="s">
        <v>3142</v>
      </c>
      <c r="I17" s="3163" t="s">
        <v>3232</v>
      </c>
      <c r="J17" s="3120"/>
      <c r="L17" s="3787" t="s">
        <v>3149</v>
      </c>
      <c r="M17" s="3143" t="s">
        <v>3163</v>
      </c>
      <c r="N17" s="3144" t="s">
        <v>3164</v>
      </c>
      <c r="O17" s="3145">
        <f>O11</f>
        <v>10117.370000000001</v>
      </c>
      <c r="P17" s="3145"/>
      <c r="Q17" s="3145"/>
      <c r="R17" s="3146"/>
      <c r="S17" s="3146"/>
      <c r="T17" s="3145"/>
      <c r="U17" s="3145"/>
      <c r="V17" s="3147"/>
      <c r="W17" s="3143"/>
      <c r="X17" s="3149"/>
      <c r="Y17" s="3058">
        <f t="shared" si="0"/>
        <v>0</v>
      </c>
      <c r="Z17" s="3071"/>
      <c r="AA17" s="3071"/>
      <c r="AB17" s="3071"/>
      <c r="AC17" s="3071"/>
      <c r="AD17" s="3071"/>
      <c r="AE17" s="3071"/>
      <c r="AF17" s="3071"/>
      <c r="AG17" s="3071"/>
      <c r="AH17" s="3071"/>
      <c r="AI17" s="3071"/>
      <c r="AJ17" s="3071"/>
      <c r="AK17" s="3071"/>
      <c r="AL17" s="3071"/>
      <c r="AM17" s="3071"/>
      <c r="AN17" s="3071"/>
      <c r="AO17" s="3071"/>
      <c r="AP17" s="3071"/>
      <c r="AQ17" s="3071"/>
      <c r="AR17" s="3071"/>
    </row>
    <row r="18" spans="3:44">
      <c r="C18" s="3705"/>
      <c r="D18" s="3150"/>
      <c r="E18" s="3151"/>
      <c r="F18" s="3152"/>
      <c r="G18" s="3066"/>
      <c r="H18" s="3055"/>
      <c r="I18" s="3163"/>
      <c r="J18" s="3120"/>
      <c r="L18" s="3788"/>
      <c r="M18" s="3143" t="s">
        <v>3154</v>
      </c>
      <c r="N18" s="3144"/>
      <c r="O18" s="3145">
        <v>841.77</v>
      </c>
      <c r="P18" s="3145"/>
      <c r="Q18" s="3145"/>
      <c r="R18" s="3146"/>
      <c r="S18" s="3146"/>
      <c r="T18" s="3145"/>
      <c r="U18" s="3145"/>
      <c r="V18" s="3147"/>
      <c r="W18" s="3143"/>
      <c r="X18" s="3149"/>
      <c r="Y18" s="3058"/>
      <c r="Z18" s="3071"/>
      <c r="AA18" s="3071"/>
      <c r="AB18" s="3071"/>
      <c r="AC18" s="3071"/>
      <c r="AD18" s="3071"/>
      <c r="AE18" s="3071"/>
      <c r="AF18" s="3071"/>
      <c r="AG18" s="3071"/>
      <c r="AH18" s="3071"/>
      <c r="AI18" s="3071"/>
      <c r="AJ18" s="3071"/>
      <c r="AK18" s="3071"/>
      <c r="AL18" s="3071"/>
      <c r="AM18" s="3071"/>
      <c r="AN18" s="3071"/>
      <c r="AO18" s="3071"/>
      <c r="AP18" s="3071"/>
      <c r="AQ18" s="3071"/>
      <c r="AR18" s="3071"/>
    </row>
    <row r="19" spans="3:44">
      <c r="C19" s="3705"/>
      <c r="D19" s="3701" t="s">
        <v>3171</v>
      </c>
      <c r="E19" s="3702"/>
      <c r="F19" s="3703"/>
      <c r="G19" s="3066">
        <f>G20+G21</f>
        <v>1194.24</v>
      </c>
      <c r="H19" s="3055" t="s">
        <v>3142</v>
      </c>
      <c r="I19" s="3055"/>
      <c r="J19" s="3120"/>
      <c r="L19" s="3788"/>
      <c r="M19" s="3143" t="s">
        <v>3157</v>
      </c>
      <c r="N19" s="3144" t="s">
        <v>3164</v>
      </c>
      <c r="O19" s="3145">
        <v>243.75</v>
      </c>
      <c r="P19" s="3145"/>
      <c r="Q19" s="3145"/>
      <c r="R19" s="3146"/>
      <c r="S19" s="3146"/>
      <c r="T19" s="3145"/>
      <c r="U19" s="3145"/>
      <c r="V19" s="3147" t="s">
        <v>3305</v>
      </c>
      <c r="W19" s="3143"/>
      <c r="X19" s="3149"/>
      <c r="Y19" s="3058">
        <f t="shared" si="0"/>
        <v>0</v>
      </c>
      <c r="Z19" s="3071"/>
      <c r="AA19" s="3071"/>
      <c r="AB19" s="3071"/>
      <c r="AC19" s="3071"/>
      <c r="AD19" s="3071"/>
      <c r="AE19" s="3071"/>
      <c r="AF19" s="3071"/>
      <c r="AG19" s="3071"/>
      <c r="AH19" s="3071"/>
      <c r="AI19" s="3071"/>
      <c r="AJ19" s="3071"/>
      <c r="AK19" s="3071"/>
      <c r="AL19" s="3071"/>
      <c r="AM19" s="3071"/>
      <c r="AN19" s="3071"/>
      <c r="AO19" s="3071"/>
      <c r="AP19" s="3071"/>
      <c r="AQ19" s="3071"/>
      <c r="AR19" s="3071"/>
    </row>
    <row r="20" spans="3:44">
      <c r="C20" s="3705"/>
      <c r="D20" s="3700" t="s">
        <v>3149</v>
      </c>
      <c r="E20" s="3708" t="s">
        <v>3172</v>
      </c>
      <c r="F20" s="3708"/>
      <c r="G20" s="3087">
        <f>P26</f>
        <v>1194.24</v>
      </c>
      <c r="H20" s="3055" t="s">
        <v>3142</v>
      </c>
      <c r="I20" s="3055"/>
      <c r="J20" s="3120"/>
      <c r="L20" s="3779" t="s">
        <v>3306</v>
      </c>
      <c r="M20" s="3780"/>
      <c r="N20" s="3144"/>
      <c r="O20" s="3162"/>
      <c r="P20" s="3144"/>
      <c r="Q20" s="3145"/>
      <c r="R20" s="3146"/>
      <c r="S20" s="3146"/>
      <c r="T20" s="3159"/>
      <c r="U20" s="3159"/>
      <c r="V20" s="3147"/>
      <c r="W20" s="3143"/>
      <c r="X20" s="3161"/>
      <c r="Y20" s="3058"/>
      <c r="Z20" s="3071"/>
      <c r="AA20" s="3071"/>
      <c r="AB20" s="3071"/>
      <c r="AC20" s="3071"/>
      <c r="AD20" s="3071"/>
      <c r="AE20" s="3071"/>
      <c r="AF20" s="3071"/>
      <c r="AG20" s="3071"/>
      <c r="AH20" s="3072"/>
      <c r="AI20" s="3072"/>
      <c r="AJ20" s="3072"/>
      <c r="AK20" s="3072"/>
      <c r="AL20" s="3071"/>
      <c r="AM20" s="3071"/>
      <c r="AN20" s="3071"/>
      <c r="AO20" s="3071"/>
      <c r="AP20" s="3071"/>
      <c r="AQ20" s="3071"/>
      <c r="AR20" s="3071"/>
    </row>
    <row r="21" spans="3:44">
      <c r="C21" s="3706"/>
      <c r="D21" s="3700"/>
      <c r="E21" s="3707" t="s">
        <v>3173</v>
      </c>
      <c r="F21" s="3707"/>
      <c r="G21" s="3066">
        <f>N36</f>
        <v>0</v>
      </c>
      <c r="H21" s="3055" t="s">
        <v>3142</v>
      </c>
      <c r="I21" s="3055" t="s">
        <v>3174</v>
      </c>
      <c r="J21" s="3120"/>
      <c r="L21" s="3779" t="s">
        <v>3307</v>
      </c>
      <c r="M21" s="3780"/>
      <c r="N21" s="3144"/>
      <c r="O21" s="3144"/>
      <c r="P21" s="3144"/>
      <c r="Q21" s="3159"/>
      <c r="R21" s="3146"/>
      <c r="S21" s="3146"/>
      <c r="T21" s="3159"/>
      <c r="U21" s="3159"/>
      <c r="V21" s="3160"/>
      <c r="W21" s="3148"/>
      <c r="X21" s="3161"/>
      <c r="Y21" s="3058"/>
      <c r="Z21" s="3071"/>
      <c r="AA21" s="3071"/>
      <c r="AB21" s="3071"/>
      <c r="AC21" s="3071"/>
      <c r="AD21" s="3071"/>
      <c r="AE21" s="3071"/>
      <c r="AF21" s="3071"/>
      <c r="AG21" s="3071"/>
      <c r="AH21" s="3072"/>
      <c r="AI21" s="3072"/>
      <c r="AJ21" s="3072"/>
      <c r="AK21" s="3072"/>
      <c r="AL21" s="3071"/>
      <c r="AM21" s="3071"/>
      <c r="AN21" s="3071"/>
      <c r="AO21" s="3071"/>
      <c r="AP21" s="3071"/>
      <c r="AQ21" s="3071"/>
      <c r="AR21" s="3071"/>
    </row>
    <row r="22" spans="3:44">
      <c r="C22" s="3055" t="s">
        <v>3176</v>
      </c>
      <c r="D22" s="3701" t="s">
        <v>3177</v>
      </c>
      <c r="E22" s="3702"/>
      <c r="F22" s="3703"/>
      <c r="G22" s="3066">
        <f>G10/G7</f>
        <v>2.767756042261226</v>
      </c>
      <c r="H22" s="3055"/>
      <c r="I22" s="3055"/>
      <c r="J22" s="3120"/>
      <c r="L22" s="3779" t="s">
        <v>3308</v>
      </c>
      <c r="M22" s="3780"/>
      <c r="N22" s="3144"/>
      <c r="O22" s="3162"/>
      <c r="P22" s="3144"/>
      <c r="Q22" s="3145"/>
      <c r="R22" s="3146"/>
      <c r="S22" s="3146"/>
      <c r="T22" s="3159"/>
      <c r="U22" s="3159"/>
      <c r="V22" s="3147"/>
      <c r="W22" s="3143"/>
      <c r="X22" s="3161"/>
      <c r="Y22" s="3058"/>
      <c r="Z22" s="3071"/>
      <c r="AA22" s="3071"/>
      <c r="AB22" s="3071"/>
      <c r="AC22" s="3071"/>
      <c r="AD22" s="3071"/>
      <c r="AE22" s="3071"/>
      <c r="AF22" s="3071"/>
      <c r="AG22" s="3071"/>
      <c r="AH22" s="3072"/>
      <c r="AI22" s="3072"/>
      <c r="AJ22" s="3072"/>
      <c r="AK22" s="3072"/>
      <c r="AL22" s="3071"/>
      <c r="AM22" s="3071"/>
      <c r="AN22" s="3071"/>
      <c r="AO22" s="3071"/>
      <c r="AP22" s="3071"/>
      <c r="AQ22" s="3071"/>
      <c r="AR22" s="3071"/>
    </row>
    <row r="23" spans="3:44">
      <c r="C23" s="3055" t="s">
        <v>3179</v>
      </c>
      <c r="D23" s="3701" t="s">
        <v>3180</v>
      </c>
      <c r="E23" s="3702"/>
      <c r="F23" s="3703"/>
      <c r="G23" s="3089">
        <f>R26</f>
        <v>544</v>
      </c>
      <c r="H23" s="3055" t="s">
        <v>3181</v>
      </c>
      <c r="I23" s="3055"/>
      <c r="J23" s="3120"/>
      <c r="L23" s="3779" t="s">
        <v>3309</v>
      </c>
      <c r="M23" s="3780"/>
      <c r="N23" s="3144">
        <f t="shared" si="1"/>
        <v>11000.65</v>
      </c>
      <c r="O23" s="3164">
        <v>10741.02</v>
      </c>
      <c r="P23" s="3164">
        <v>259.63</v>
      </c>
      <c r="Q23" s="3159">
        <v>993.78</v>
      </c>
      <c r="R23" s="3146">
        <f>11*2*3+12*6</f>
        <v>138</v>
      </c>
      <c r="S23" s="3146">
        <f t="shared" ref="S23:S25" si="2">R23*3.2</f>
        <v>441.6</v>
      </c>
      <c r="T23" s="3153" t="s">
        <v>3148</v>
      </c>
      <c r="U23" s="3153">
        <v>34.799999999999997</v>
      </c>
      <c r="V23" s="3147"/>
      <c r="W23" s="3143">
        <v>948.94</v>
      </c>
      <c r="X23" s="3161"/>
      <c r="Y23" s="3058">
        <f t="shared" si="0"/>
        <v>138</v>
      </c>
      <c r="Z23" s="3092">
        <v>36</v>
      </c>
      <c r="AA23" s="3092">
        <v>12</v>
      </c>
      <c r="AB23" s="3092">
        <v>12</v>
      </c>
      <c r="AC23" s="3092">
        <v>12</v>
      </c>
      <c r="AD23" s="3084">
        <v>3</v>
      </c>
      <c r="AE23" s="3084">
        <v>47</v>
      </c>
      <c r="AF23" s="3084">
        <v>10</v>
      </c>
      <c r="AG23" s="3084">
        <v>6</v>
      </c>
      <c r="AH23" s="3059"/>
      <c r="AI23" s="3059"/>
      <c r="AJ23" s="3059"/>
      <c r="AK23" s="3059"/>
      <c r="AL23" s="3071"/>
      <c r="AM23" s="3071"/>
      <c r="AN23" s="3071"/>
      <c r="AO23" s="3071"/>
      <c r="AP23" s="3071"/>
      <c r="AQ23" s="3071"/>
      <c r="AR23" s="3071"/>
    </row>
    <row r="24" spans="3:44">
      <c r="C24" s="3055" t="s">
        <v>3183</v>
      </c>
      <c r="D24" s="3701" t="s">
        <v>3184</v>
      </c>
      <c r="E24" s="3702"/>
      <c r="F24" s="3703"/>
      <c r="G24" s="3066">
        <v>3.2</v>
      </c>
      <c r="H24" s="3055" t="s">
        <v>3185</v>
      </c>
      <c r="I24" s="3055"/>
      <c r="J24" s="3120"/>
      <c r="L24" s="3779" t="s">
        <v>3310</v>
      </c>
      <c r="M24" s="3780"/>
      <c r="N24" s="3144">
        <f t="shared" si="1"/>
        <v>7492.8</v>
      </c>
      <c r="O24" s="3162">
        <v>7320.2</v>
      </c>
      <c r="P24" s="3144">
        <v>172.6</v>
      </c>
      <c r="Q24" s="3145">
        <v>681.43</v>
      </c>
      <c r="R24" s="3146">
        <f>11*2*3</f>
        <v>66</v>
      </c>
      <c r="S24" s="3146">
        <f t="shared" si="2"/>
        <v>211.20000000000002</v>
      </c>
      <c r="T24" s="3159" t="s">
        <v>3148</v>
      </c>
      <c r="U24" s="3159">
        <v>34.799999999999997</v>
      </c>
      <c r="V24" s="3147"/>
      <c r="W24" s="3143">
        <v>652.79</v>
      </c>
      <c r="X24" s="3161"/>
      <c r="Y24" s="3058">
        <f t="shared" si="0"/>
        <v>66</v>
      </c>
      <c r="Z24" s="3071"/>
      <c r="AA24" s="3071"/>
      <c r="AB24" s="3071"/>
      <c r="AC24" s="3071"/>
      <c r="AD24" s="3071"/>
      <c r="AE24" s="3071"/>
      <c r="AF24" s="3071"/>
      <c r="AG24" s="3071"/>
      <c r="AH24" s="3072">
        <v>3</v>
      </c>
      <c r="AI24" s="3072">
        <v>37</v>
      </c>
      <c r="AJ24" s="3072">
        <v>20</v>
      </c>
      <c r="AK24" s="3072">
        <v>6</v>
      </c>
      <c r="AL24" s="3071"/>
      <c r="AM24" s="3071"/>
      <c r="AN24" s="3071"/>
      <c r="AO24" s="3071"/>
      <c r="AP24" s="3071"/>
      <c r="AQ24" s="3071"/>
      <c r="AR24" s="3071"/>
    </row>
    <row r="25" spans="3:44">
      <c r="C25" s="3055" t="s">
        <v>3187</v>
      </c>
      <c r="D25" s="3701" t="s">
        <v>3188</v>
      </c>
      <c r="E25" s="3702"/>
      <c r="F25" s="3703"/>
      <c r="G25" s="3091">
        <f>G23*G24</f>
        <v>1740.8000000000002</v>
      </c>
      <c r="H25" s="3055" t="s">
        <v>3189</v>
      </c>
      <c r="I25" s="3055"/>
      <c r="J25" s="3120"/>
      <c r="L25" s="3787" t="s">
        <v>3311</v>
      </c>
      <c r="M25" s="3797"/>
      <c r="N25" s="3144">
        <f t="shared" si="1"/>
        <v>9908.14</v>
      </c>
      <c r="O25" s="3144">
        <v>9665.39</v>
      </c>
      <c r="P25" s="3144">
        <v>242.75</v>
      </c>
      <c r="Q25" s="3159">
        <v>901.89</v>
      </c>
      <c r="R25" s="3165">
        <f>11*8</f>
        <v>88</v>
      </c>
      <c r="S25" s="3165">
        <f t="shared" si="2"/>
        <v>281.60000000000002</v>
      </c>
      <c r="T25" s="3159" t="s">
        <v>3148</v>
      </c>
      <c r="U25" s="3159">
        <v>34.799999999999997</v>
      </c>
      <c r="V25" s="3166"/>
      <c r="W25" s="3167">
        <v>866.29</v>
      </c>
      <c r="X25" s="3161"/>
      <c r="Y25" s="3058">
        <f t="shared" si="0"/>
        <v>88</v>
      </c>
      <c r="Z25" s="3071"/>
      <c r="AA25" s="3071"/>
      <c r="AB25" s="3071"/>
      <c r="AC25" s="3071"/>
      <c r="AD25" s="3071"/>
      <c r="AE25" s="3071"/>
      <c r="AF25" s="3071"/>
      <c r="AG25" s="3071"/>
      <c r="AH25" s="3072">
        <v>6</v>
      </c>
      <c r="AI25" s="3072">
        <v>56</v>
      </c>
      <c r="AJ25" s="3072">
        <v>18</v>
      </c>
      <c r="AK25" s="3072">
        <v>8</v>
      </c>
      <c r="AL25" s="3071"/>
      <c r="AM25" s="3071"/>
      <c r="AN25" s="3071"/>
      <c r="AO25" s="3071"/>
      <c r="AP25" s="3071"/>
      <c r="AQ25" s="3071"/>
      <c r="AR25" s="3071"/>
    </row>
    <row r="26" spans="3:44">
      <c r="C26" s="3055" t="s">
        <v>3191</v>
      </c>
      <c r="D26" s="3701" t="s">
        <v>3192</v>
      </c>
      <c r="E26" s="3702"/>
      <c r="F26" s="3703"/>
      <c r="G26" s="3066">
        <f>Q26/G7*100</f>
        <v>28.073363959320613</v>
      </c>
      <c r="H26" s="3055" t="s">
        <v>3193</v>
      </c>
      <c r="I26" s="3055"/>
      <c r="J26" s="3120"/>
      <c r="L26" s="3798" t="s">
        <v>3209</v>
      </c>
      <c r="M26" s="3799"/>
      <c r="N26" s="3168">
        <f>SUM(N6:N25)</f>
        <v>51586.11</v>
      </c>
      <c r="O26" s="3168">
        <f>O6+O10+O14+O15+O16+O20+O21+O22+O23+O24+O25</f>
        <v>50391.869999999995</v>
      </c>
      <c r="P26" s="3168">
        <f>SUM(P6:P25)</f>
        <v>1194.24</v>
      </c>
      <c r="Q26" s="3169">
        <f>SUM(Q6:Q25)</f>
        <v>5111.2500000000009</v>
      </c>
      <c r="R26" s="3170">
        <f>SUM(R6:R25)</f>
        <v>544</v>
      </c>
      <c r="S26" s="3170">
        <f>SUM(S6:S25)</f>
        <v>1740.8000000000002</v>
      </c>
      <c r="T26" s="3169"/>
      <c r="U26" s="3169"/>
      <c r="V26" s="3169"/>
      <c r="W26" s="3169">
        <f>SUM(W6:W25)</f>
        <v>4471.1000000000004</v>
      </c>
      <c r="X26" s="3169" t="s">
        <v>3209</v>
      </c>
      <c r="Y26" s="3169">
        <f t="shared" si="0"/>
        <v>544</v>
      </c>
      <c r="Z26" s="3169">
        <f>SUM(Z6:Z25)</f>
        <v>96</v>
      </c>
      <c r="AA26" s="3169">
        <f t="shared" ref="AA26:AK26" si="3">SUM(AA6:AA25)</f>
        <v>32</v>
      </c>
      <c r="AB26" s="3169">
        <f t="shared" si="3"/>
        <v>32</v>
      </c>
      <c r="AC26" s="3169">
        <f t="shared" si="3"/>
        <v>32</v>
      </c>
      <c r="AD26" s="3169">
        <f t="shared" si="3"/>
        <v>9</v>
      </c>
      <c r="AE26" s="3169">
        <f t="shared" si="3"/>
        <v>141</v>
      </c>
      <c r="AF26" s="3169">
        <f t="shared" si="3"/>
        <v>30</v>
      </c>
      <c r="AG26" s="3169">
        <f t="shared" si="3"/>
        <v>18</v>
      </c>
      <c r="AH26" s="3169">
        <f t="shared" si="3"/>
        <v>9</v>
      </c>
      <c r="AI26" s="3169">
        <f t="shared" si="3"/>
        <v>93</v>
      </c>
      <c r="AJ26" s="3169">
        <f t="shared" si="3"/>
        <v>38</v>
      </c>
      <c r="AK26" s="3169">
        <f t="shared" si="3"/>
        <v>14</v>
      </c>
      <c r="AL26" s="3071"/>
      <c r="AM26" s="3071"/>
      <c r="AN26" s="3071"/>
      <c r="AO26" s="3071"/>
      <c r="AP26" s="3071"/>
      <c r="AQ26" s="3071"/>
      <c r="AR26" s="3071"/>
    </row>
    <row r="27" spans="3:44">
      <c r="C27" s="3055" t="s">
        <v>3195</v>
      </c>
      <c r="D27" s="3701" t="s">
        <v>3196</v>
      </c>
      <c r="E27" s="3702"/>
      <c r="F27" s="3703"/>
      <c r="G27" s="3066">
        <v>30.1</v>
      </c>
      <c r="H27" s="3055" t="s">
        <v>3193</v>
      </c>
      <c r="I27" s="3055"/>
      <c r="J27" s="3120"/>
      <c r="L27" s="3171"/>
      <c r="M27" s="3171"/>
      <c r="N27" s="3171"/>
      <c r="O27" s="3171"/>
      <c r="P27" s="3171"/>
      <c r="Q27" s="3171"/>
      <c r="R27" s="3171"/>
      <c r="S27" s="3171"/>
      <c r="T27" s="3171"/>
      <c r="U27" s="3171"/>
      <c r="V27" s="3171"/>
      <c r="W27" s="3171"/>
      <c r="X27" s="3171"/>
      <c r="Y27" s="3169" t="s">
        <v>3210</v>
      </c>
      <c r="Z27" s="3172">
        <f>Z26/Y26</f>
        <v>0.17647058823529413</v>
      </c>
      <c r="AA27" s="3172">
        <f>AA26/Y26</f>
        <v>5.8823529411764705E-2</v>
      </c>
      <c r="AB27" s="3172">
        <f>AB26/Y26</f>
        <v>5.8823529411764705E-2</v>
      </c>
      <c r="AC27" s="3172">
        <f>AC26/Y26</f>
        <v>5.8823529411764705E-2</v>
      </c>
      <c r="AD27" s="3172">
        <f>AD26/Y26</f>
        <v>1.6544117647058824E-2</v>
      </c>
      <c r="AE27" s="3172">
        <f>AE26/Y26</f>
        <v>0.25919117647058826</v>
      </c>
      <c r="AF27" s="3172">
        <f>AF26/Y26</f>
        <v>5.514705882352941E-2</v>
      </c>
      <c r="AG27" s="3172">
        <f>AG26/Y26</f>
        <v>3.3088235294117647E-2</v>
      </c>
      <c r="AH27" s="3172">
        <f>AH26/Y26</f>
        <v>1.6544117647058824E-2</v>
      </c>
      <c r="AI27" s="3172">
        <f>AI26/Y26</f>
        <v>0.17095588235294118</v>
      </c>
      <c r="AJ27" s="3172">
        <f>AJ26/Y26</f>
        <v>6.985294117647059E-2</v>
      </c>
      <c r="AK27" s="3172">
        <f>AK26/Y26</f>
        <v>2.5735294117647058E-2</v>
      </c>
    </row>
    <row r="28" spans="3:44">
      <c r="C28" s="3055" t="s">
        <v>3197</v>
      </c>
      <c r="D28" s="3711" t="s">
        <v>3198</v>
      </c>
      <c r="E28" s="3712"/>
      <c r="F28" s="3713"/>
      <c r="G28" s="3093">
        <f>G29+G30</f>
        <v>78</v>
      </c>
      <c r="H28" s="3055" t="s">
        <v>3199</v>
      </c>
      <c r="I28" s="3055"/>
      <c r="J28" s="3173">
        <f>G23+G16/10000*65</f>
        <v>555.71690000000001</v>
      </c>
    </row>
    <row r="29" spans="3:44">
      <c r="C29" s="3700"/>
      <c r="D29" s="3708" t="s">
        <v>3149</v>
      </c>
      <c r="E29" s="3711" t="s">
        <v>3201</v>
      </c>
      <c r="F29" s="3703"/>
      <c r="G29" s="3095">
        <v>78</v>
      </c>
      <c r="H29" s="3055" t="s">
        <v>3199</v>
      </c>
      <c r="I29" s="3055"/>
      <c r="J29" s="3173">
        <f>J28*0.2</f>
        <v>111.14338000000001</v>
      </c>
    </row>
    <row r="30" spans="3:44">
      <c r="C30" s="3700"/>
      <c r="D30" s="3708"/>
      <c r="E30" s="3711" t="s">
        <v>3203</v>
      </c>
      <c r="F30" s="3703"/>
      <c r="G30" s="3095">
        <v>0</v>
      </c>
      <c r="H30" s="3055" t="s">
        <v>3199</v>
      </c>
      <c r="I30" s="3055"/>
      <c r="J30" s="3173">
        <f>J28-J29</f>
        <v>444.57352000000003</v>
      </c>
    </row>
    <row r="36" spans="3:21">
      <c r="C36" s="3606" t="s">
        <v>3211</v>
      </c>
      <c r="D36" s="3607"/>
      <c r="E36" s="3607"/>
      <c r="F36" s="3607"/>
      <c r="G36" s="3607"/>
      <c r="L36" s="3800" t="s">
        <v>3312</v>
      </c>
      <c r="M36" s="3801"/>
      <c r="N36" s="3174">
        <f>SUM(N37:N41)</f>
        <v>0</v>
      </c>
      <c r="O36" s="3175"/>
      <c r="P36" s="3175"/>
      <c r="Q36" s="3175"/>
      <c r="R36" s="3176"/>
      <c r="S36" s="3176"/>
      <c r="T36" s="3175"/>
      <c r="U36" s="3175"/>
    </row>
    <row r="37" spans="3:21">
      <c r="C37" s="3113"/>
      <c r="D37" s="3113"/>
      <c r="E37" s="3114" t="s">
        <v>3214</v>
      </c>
      <c r="F37" s="3059" t="s">
        <v>3215</v>
      </c>
      <c r="G37" s="3059" t="s">
        <v>3216</v>
      </c>
      <c r="L37" s="3794" t="s">
        <v>3149</v>
      </c>
      <c r="M37" s="3177" t="s">
        <v>3223</v>
      </c>
      <c r="N37" s="3175"/>
      <c r="O37" s="3175"/>
      <c r="P37" s="3175"/>
      <c r="Q37" s="3175"/>
      <c r="R37" s="3176"/>
      <c r="S37" s="3176"/>
      <c r="T37" s="3175"/>
      <c r="U37" s="3175"/>
    </row>
    <row r="38" spans="3:21">
      <c r="C38" s="3612" t="s">
        <v>3217</v>
      </c>
      <c r="D38" s="3115" t="s">
        <v>3218</v>
      </c>
      <c r="E38" s="3116"/>
      <c r="F38" s="3059"/>
      <c r="G38" s="3059"/>
      <c r="L38" s="3795"/>
      <c r="M38" s="3177" t="s">
        <v>3225</v>
      </c>
      <c r="N38" s="3175"/>
      <c r="O38" s="3175"/>
      <c r="P38" s="3175"/>
      <c r="Q38" s="3175"/>
      <c r="R38" s="3176"/>
      <c r="S38" s="3176"/>
      <c r="T38" s="3175"/>
      <c r="U38" s="3175"/>
    </row>
    <row r="39" spans="3:21">
      <c r="C39" s="3613"/>
      <c r="D39" s="3115" t="s">
        <v>3219</v>
      </c>
      <c r="E39" s="3116"/>
      <c r="F39" s="3059"/>
      <c r="G39" s="3059"/>
      <c r="L39" s="3795"/>
      <c r="M39" s="3177" t="s">
        <v>3227</v>
      </c>
      <c r="N39" s="3175"/>
      <c r="O39" s="3175"/>
      <c r="P39" s="3175"/>
      <c r="Q39" s="3175"/>
      <c r="R39" s="3176"/>
      <c r="S39" s="3176"/>
      <c r="T39" s="3175"/>
      <c r="U39" s="3175"/>
    </row>
    <row r="40" spans="3:21">
      <c r="C40" s="3615" t="s">
        <v>3221</v>
      </c>
      <c r="D40" s="3115" t="s">
        <v>3222</v>
      </c>
      <c r="E40" s="3714">
        <f>G16</f>
        <v>1802.6</v>
      </c>
      <c r="F40" s="3059"/>
      <c r="G40" s="3059"/>
      <c r="L40" s="3795"/>
      <c r="M40" s="3177" t="s">
        <v>3229</v>
      </c>
      <c r="N40" s="3175"/>
      <c r="O40" s="3175"/>
      <c r="P40" s="3175"/>
      <c r="Q40" s="3175"/>
      <c r="R40" s="3176"/>
      <c r="S40" s="3176"/>
      <c r="T40" s="3175"/>
      <c r="U40" s="3175"/>
    </row>
    <row r="41" spans="3:21">
      <c r="C41" s="3615"/>
      <c r="D41" s="3115" t="s">
        <v>3224</v>
      </c>
      <c r="E41" s="3715"/>
      <c r="F41" s="3059"/>
      <c r="G41" s="3059"/>
      <c r="L41" s="3796"/>
      <c r="M41" s="3177" t="s">
        <v>48</v>
      </c>
      <c r="N41" s="3174"/>
      <c r="O41" s="3175"/>
      <c r="P41" s="3175"/>
      <c r="Q41" s="3175"/>
      <c r="R41" s="3176"/>
      <c r="S41" s="3176"/>
      <c r="T41" s="3175"/>
      <c r="U41" s="3175"/>
    </row>
    <row r="42" spans="3:21">
      <c r="C42" s="3615"/>
      <c r="D42" s="3115" t="s">
        <v>3226</v>
      </c>
      <c r="E42" s="3715"/>
      <c r="F42" s="3059"/>
      <c r="G42" s="3059"/>
    </row>
    <row r="43" spans="3:21">
      <c r="C43" s="3615"/>
      <c r="D43" s="3115" t="s">
        <v>3228</v>
      </c>
      <c r="E43" s="3715"/>
      <c r="F43" s="3059"/>
      <c r="G43" s="3059"/>
    </row>
    <row r="44" spans="3:21">
      <c r="C44" s="3615"/>
      <c r="D44" s="3115" t="s">
        <v>3230</v>
      </c>
      <c r="E44" s="3716"/>
      <c r="F44" s="3059"/>
      <c r="G44" s="3059"/>
    </row>
    <row r="45" spans="3:21">
      <c r="C45" s="3113"/>
      <c r="D45" s="3113"/>
      <c r="E45" s="3116"/>
      <c r="F45" s="3059"/>
      <c r="G45" s="3059"/>
    </row>
    <row r="46" spans="3:21">
      <c r="C46" s="3084" t="s">
        <v>3231</v>
      </c>
      <c r="D46" s="3119" t="s">
        <v>3232</v>
      </c>
      <c r="E46" s="3116">
        <v>384.17</v>
      </c>
      <c r="F46" s="3059"/>
      <c r="G46" s="3059"/>
    </row>
    <row r="47" spans="3:21">
      <c r="C47" s="3115"/>
      <c r="D47" s="3120"/>
      <c r="E47" s="3120"/>
      <c r="F47" s="3059"/>
      <c r="G47" s="3059"/>
    </row>
    <row r="48" spans="3:21">
      <c r="C48" s="3605" t="s">
        <v>3233</v>
      </c>
      <c r="D48" s="3119" t="s">
        <v>3234</v>
      </c>
      <c r="E48" s="3116"/>
      <c r="F48" s="3059"/>
      <c r="G48" s="3059"/>
    </row>
    <row r="49" spans="3:7">
      <c r="C49" s="3605"/>
      <c r="D49" s="3115" t="s">
        <v>3235</v>
      </c>
      <c r="E49" s="3116"/>
      <c r="F49" s="3059"/>
      <c r="G49" s="3059"/>
    </row>
    <row r="50" spans="3:7">
      <c r="C50" s="3121"/>
      <c r="D50" s="3113"/>
      <c r="E50" s="3116"/>
      <c r="F50" s="3059"/>
      <c r="G50" s="3059"/>
    </row>
    <row r="51" spans="3:7">
      <c r="C51" s="3113"/>
      <c r="D51" s="3113"/>
      <c r="E51" s="3116"/>
      <c r="F51" s="3059"/>
      <c r="G51" s="3059"/>
    </row>
    <row r="52" spans="3:7">
      <c r="C52" s="3620" t="s">
        <v>3236</v>
      </c>
      <c r="D52" s="3119" t="s">
        <v>3271</v>
      </c>
      <c r="E52" s="3622"/>
      <c r="F52" s="3059"/>
      <c r="G52" s="3059"/>
    </row>
    <row r="53" spans="3:7">
      <c r="C53" s="3621"/>
      <c r="D53" s="3119" t="s">
        <v>3272</v>
      </c>
      <c r="E53" s="3618"/>
      <c r="F53" s="3059"/>
      <c r="G53" s="3059"/>
    </row>
    <row r="54" spans="3:7">
      <c r="C54" s="3113"/>
      <c r="D54" s="3113"/>
      <c r="E54" s="3116"/>
      <c r="F54" s="3059"/>
      <c r="G54" s="3059"/>
    </row>
    <row r="55" spans="3:7">
      <c r="C55" s="3620" t="s">
        <v>3273</v>
      </c>
      <c r="D55" s="3119" t="s">
        <v>3274</v>
      </c>
      <c r="E55" s="3116"/>
      <c r="F55" s="3059"/>
      <c r="G55" s="3059"/>
    </row>
    <row r="56" spans="3:7">
      <c r="C56" s="3623"/>
      <c r="D56" s="3119" t="s">
        <v>3275</v>
      </c>
      <c r="E56" s="3116"/>
      <c r="F56" s="3059"/>
      <c r="G56" s="3059"/>
    </row>
    <row r="57" spans="3:7">
      <c r="C57" s="3623"/>
      <c r="D57" s="3119" t="s">
        <v>3276</v>
      </c>
      <c r="E57" s="3116"/>
      <c r="F57" s="3059"/>
      <c r="G57" s="3059"/>
    </row>
    <row r="58" spans="3:7">
      <c r="C58" s="3623"/>
      <c r="D58" s="3119" t="s">
        <v>3277</v>
      </c>
      <c r="E58" s="3116">
        <v>243.75</v>
      </c>
      <c r="F58" s="3059"/>
      <c r="G58" s="3059"/>
    </row>
    <row r="59" spans="3:7">
      <c r="C59" s="3621"/>
      <c r="D59" s="3115" t="s">
        <v>3278</v>
      </c>
      <c r="E59" s="3116"/>
      <c r="F59" s="3059"/>
      <c r="G59" s="3059"/>
    </row>
    <row r="60" spans="3:7">
      <c r="C60" s="3615" t="s">
        <v>3279</v>
      </c>
      <c r="D60" s="3115" t="s">
        <v>3280</v>
      </c>
      <c r="E60" s="3116"/>
      <c r="F60" s="3059"/>
      <c r="G60" s="3059"/>
    </row>
    <row r="61" spans="3:7">
      <c r="C61" s="3615"/>
      <c r="D61" s="3119" t="s">
        <v>3281</v>
      </c>
      <c r="E61" s="3116"/>
      <c r="F61" s="3059"/>
      <c r="G61" s="3059"/>
    </row>
    <row r="62" spans="3:7">
      <c r="C62" s="3615"/>
      <c r="D62" s="3119" t="s">
        <v>3282</v>
      </c>
      <c r="E62" s="3116"/>
      <c r="F62" s="3059"/>
      <c r="G62" s="3059"/>
    </row>
    <row r="63" spans="3:7">
      <c r="C63" s="3615"/>
      <c r="D63" s="3115" t="s">
        <v>3283</v>
      </c>
      <c r="E63" s="3116"/>
      <c r="F63" s="3059"/>
      <c r="G63" s="3059"/>
    </row>
    <row r="64" spans="3:7">
      <c r="C64" s="3615"/>
      <c r="D64" s="3115" t="s">
        <v>3284</v>
      </c>
      <c r="E64" s="3116"/>
      <c r="F64" s="3059"/>
      <c r="G64" s="3059"/>
    </row>
    <row r="65" spans="3:7">
      <c r="C65" s="3615"/>
      <c r="D65" s="3115"/>
      <c r="E65" s="3116"/>
      <c r="F65" s="3059"/>
      <c r="G65" s="3059"/>
    </row>
    <row r="66" spans="3:7">
      <c r="C66" s="3615"/>
      <c r="D66" s="3115" t="s">
        <v>3285</v>
      </c>
      <c r="E66" s="3116"/>
      <c r="F66" s="3059"/>
      <c r="G66" s="3059"/>
    </row>
    <row r="67" spans="3:7">
      <c r="C67" s="3615"/>
      <c r="D67" s="3115" t="s">
        <v>3286</v>
      </c>
      <c r="E67" s="3116"/>
      <c r="F67" s="3059"/>
      <c r="G67" s="3059"/>
    </row>
    <row r="68" spans="3:7">
      <c r="C68" s="3615"/>
      <c r="D68" s="3115" t="s">
        <v>3287</v>
      </c>
      <c r="E68" s="3116"/>
      <c r="F68" s="3059"/>
      <c r="G68" s="3059"/>
    </row>
    <row r="69" spans="3:7">
      <c r="C69" s="3615"/>
      <c r="D69" s="3115" t="s">
        <v>3288</v>
      </c>
      <c r="E69" s="3116"/>
      <c r="F69" s="3059"/>
      <c r="G69" s="3059"/>
    </row>
    <row r="70" spans="3:7">
      <c r="C70" s="3615"/>
      <c r="D70" s="3115" t="s">
        <v>3289</v>
      </c>
      <c r="E70" s="3116"/>
      <c r="F70" s="3059"/>
      <c r="G70" s="3059"/>
    </row>
    <row r="71" spans="3:7">
      <c r="C71" s="3058" t="s">
        <v>3209</v>
      </c>
      <c r="D71" s="3058"/>
      <c r="E71" s="3058">
        <f>SUM(E38:E70)</f>
        <v>2430.52</v>
      </c>
      <c r="F71" s="3058"/>
      <c r="G71" s="3059"/>
    </row>
    <row r="72" spans="3:7">
      <c r="C72" s="3120"/>
      <c r="D72" s="3120"/>
      <c r="E72" s="3120"/>
    </row>
    <row r="73" spans="3:7">
      <c r="C73" s="3122" t="s">
        <v>3290</v>
      </c>
      <c r="D73" s="3123" t="s">
        <v>3291</v>
      </c>
      <c r="E73" s="3120"/>
    </row>
  </sheetData>
  <mergeCells count="56">
    <mergeCell ref="C48:C49"/>
    <mergeCell ref="C52:C53"/>
    <mergeCell ref="E52:E53"/>
    <mergeCell ref="C55:C59"/>
    <mergeCell ref="C60:C70"/>
    <mergeCell ref="C36:G36"/>
    <mergeCell ref="L36:M36"/>
    <mergeCell ref="L37:L41"/>
    <mergeCell ref="C38:C39"/>
    <mergeCell ref="C40:C44"/>
    <mergeCell ref="E40:E44"/>
    <mergeCell ref="D26:F26"/>
    <mergeCell ref="L26:M26"/>
    <mergeCell ref="D27:F27"/>
    <mergeCell ref="D28:F28"/>
    <mergeCell ref="C29:C30"/>
    <mergeCell ref="D29:D30"/>
    <mergeCell ref="E29:F29"/>
    <mergeCell ref="E30:F30"/>
    <mergeCell ref="D23:F23"/>
    <mergeCell ref="L23:M23"/>
    <mergeCell ref="D24:F24"/>
    <mergeCell ref="L24:M24"/>
    <mergeCell ref="D25:F25"/>
    <mergeCell ref="L25:M25"/>
    <mergeCell ref="D22:F22"/>
    <mergeCell ref="L22:M22"/>
    <mergeCell ref="L15:M15"/>
    <mergeCell ref="E16:F16"/>
    <mergeCell ref="L16:M16"/>
    <mergeCell ref="E17:F17"/>
    <mergeCell ref="L17:L19"/>
    <mergeCell ref="D19:F19"/>
    <mergeCell ref="D20:D21"/>
    <mergeCell ref="E20:F20"/>
    <mergeCell ref="L20:M20"/>
    <mergeCell ref="E21:F21"/>
    <mergeCell ref="L21:M21"/>
    <mergeCell ref="C10:C21"/>
    <mergeCell ref="D10:F10"/>
    <mergeCell ref="L10:M10"/>
    <mergeCell ref="D11:D17"/>
    <mergeCell ref="E11:F11"/>
    <mergeCell ref="L11:L13"/>
    <mergeCell ref="E12:E13"/>
    <mergeCell ref="E14:F14"/>
    <mergeCell ref="L14:M14"/>
    <mergeCell ref="E15:F15"/>
    <mergeCell ref="D7:F7"/>
    <mergeCell ref="L7:L9"/>
    <mergeCell ref="D9:F9"/>
    <mergeCell ref="K4:V4"/>
    <mergeCell ref="C5:I5"/>
    <mergeCell ref="L5:M5"/>
    <mergeCell ref="D6:F6"/>
    <mergeCell ref="L6:M6"/>
  </mergeCells>
  <phoneticPr fontId="14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R76"/>
  <sheetViews>
    <sheetView zoomScaleNormal="100" workbookViewId="0">
      <selection activeCell="G28" sqref="G28"/>
    </sheetView>
  </sheetViews>
  <sheetFormatPr defaultRowHeight="13.5"/>
  <cols>
    <col min="1" max="3" width="9" style="3044"/>
    <col min="4" max="4" width="21.25" style="3044" customWidth="1"/>
    <col min="5" max="5" width="18.5" style="3044" customWidth="1"/>
    <col min="6" max="6" width="15" style="3044" customWidth="1"/>
    <col min="7" max="7" width="20" style="3044" customWidth="1"/>
    <col min="8" max="8" width="9" style="3044"/>
    <col min="9" max="9" width="13.625" style="3044" customWidth="1"/>
    <col min="10" max="10" width="13.25" style="3044" customWidth="1"/>
    <col min="11" max="12" width="9" style="3044"/>
    <col min="13" max="13" width="17.625" style="3044" customWidth="1"/>
    <col min="14" max="14" width="14.875" style="3044" customWidth="1"/>
    <col min="15" max="15" width="13.125" style="3044" customWidth="1"/>
    <col min="16" max="16" width="13.875" style="3044" customWidth="1"/>
    <col min="17" max="21" width="9" style="3044"/>
    <col min="22" max="22" width="36.875" style="3044" customWidth="1"/>
    <col min="23" max="25" width="9" style="3044"/>
    <col min="26" max="26" width="10.5" style="3044" customWidth="1"/>
    <col min="27" max="27" width="11.5" style="3044" customWidth="1"/>
    <col min="28" max="28" width="10.25" style="3044" customWidth="1"/>
    <col min="29" max="29" width="9.625" style="3044" customWidth="1"/>
    <col min="30" max="30" width="17.25" style="3044" customWidth="1"/>
    <col min="31" max="33" width="9" style="3044"/>
    <col min="34" max="34" width="21.5" style="3044" customWidth="1"/>
    <col min="35" max="37" width="9" style="3044"/>
    <col min="38" max="38" width="20.625" style="3044" customWidth="1"/>
    <col min="39" max="16384" width="9" style="3044"/>
  </cols>
  <sheetData>
    <row r="4" spans="3:44">
      <c r="Y4" s="3044" t="s">
        <v>3052</v>
      </c>
    </row>
    <row r="5" spans="3:44" ht="40.5">
      <c r="C5" s="3802" t="s">
        <v>3259</v>
      </c>
      <c r="D5" s="3803"/>
      <c r="E5" s="3803"/>
      <c r="F5" s="3803"/>
      <c r="G5" s="3803"/>
      <c r="H5" s="3803"/>
      <c r="I5" s="3804"/>
      <c r="K5" s="3045"/>
      <c r="L5" s="3805" t="s">
        <v>3101</v>
      </c>
      <c r="M5" s="3805"/>
      <c r="N5" s="3046" t="s">
        <v>3102</v>
      </c>
      <c r="O5" s="3046" t="s">
        <v>3103</v>
      </c>
      <c r="P5" s="3046" t="s">
        <v>3104</v>
      </c>
      <c r="Q5" s="3046" t="s">
        <v>3105</v>
      </c>
      <c r="R5" s="3047" t="s">
        <v>3106</v>
      </c>
      <c r="S5" s="3047" t="s">
        <v>3107</v>
      </c>
      <c r="T5" s="3047" t="s">
        <v>3108</v>
      </c>
      <c r="U5" s="3046" t="s">
        <v>3109</v>
      </c>
      <c r="V5" s="3047" t="s">
        <v>3110</v>
      </c>
      <c r="W5" s="3048" t="s">
        <v>3111</v>
      </c>
      <c r="X5" s="3049"/>
      <c r="Y5" s="3050" t="s">
        <v>3112</v>
      </c>
      <c r="Z5" s="3051" t="s">
        <v>3113</v>
      </c>
      <c r="AA5" s="3051" t="s">
        <v>3114</v>
      </c>
      <c r="AB5" s="3051" t="s">
        <v>3115</v>
      </c>
      <c r="AC5" s="3051" t="s">
        <v>3116</v>
      </c>
      <c r="AD5" s="3052" t="s">
        <v>3117</v>
      </c>
      <c r="AE5" s="3052" t="s">
        <v>3118</v>
      </c>
      <c r="AF5" s="3052" t="s">
        <v>3119</v>
      </c>
      <c r="AG5" s="3052" t="s">
        <v>3120</v>
      </c>
      <c r="AH5" s="3053" t="s">
        <v>3121</v>
      </c>
      <c r="AI5" s="3053" t="s">
        <v>3122</v>
      </c>
      <c r="AJ5" s="3053" t="s">
        <v>3123</v>
      </c>
      <c r="AK5" s="3053" t="s">
        <v>3124</v>
      </c>
      <c r="AL5" s="3054" t="s">
        <v>3260</v>
      </c>
      <c r="AM5" s="3054" t="s">
        <v>3261</v>
      </c>
      <c r="AN5" s="3054" t="s">
        <v>3262</v>
      </c>
      <c r="AO5" s="3054" t="s">
        <v>3263</v>
      </c>
      <c r="AP5" s="3054" t="s">
        <v>3264</v>
      </c>
      <c r="AQ5" s="3054" t="s">
        <v>3265</v>
      </c>
      <c r="AR5" s="3054" t="s">
        <v>3266</v>
      </c>
    </row>
    <row r="6" spans="3:44">
      <c r="C6" s="3055" t="s">
        <v>3134</v>
      </c>
      <c r="D6" s="3700" t="s">
        <v>3135</v>
      </c>
      <c r="E6" s="3700"/>
      <c r="F6" s="3700"/>
      <c r="G6" s="3055" t="s">
        <v>3136</v>
      </c>
      <c r="H6" s="3055" t="s">
        <v>3137</v>
      </c>
      <c r="I6" s="3055" t="s">
        <v>3110</v>
      </c>
      <c r="K6" s="3045"/>
      <c r="L6" s="3806" t="s">
        <v>3138</v>
      </c>
      <c r="M6" s="3806"/>
      <c r="N6" s="3056"/>
      <c r="O6" s="3056"/>
      <c r="P6" s="3056"/>
      <c r="Q6" s="3056"/>
      <c r="R6" s="3056"/>
      <c r="S6" s="3056"/>
      <c r="T6" s="3056"/>
      <c r="U6" s="3056"/>
      <c r="V6" s="3047"/>
      <c r="W6" s="3074"/>
      <c r="Y6" s="3058"/>
      <c r="Z6" s="3059"/>
      <c r="AA6" s="3059"/>
      <c r="AB6" s="3059"/>
      <c r="AC6" s="3059"/>
      <c r="AD6" s="3059"/>
      <c r="AE6" s="3059"/>
      <c r="AF6" s="3059"/>
      <c r="AG6" s="3059"/>
      <c r="AH6" s="3059"/>
      <c r="AI6" s="3059"/>
      <c r="AJ6" s="3059"/>
      <c r="AK6" s="3059"/>
      <c r="AL6" s="3059"/>
      <c r="AM6" s="3059"/>
      <c r="AN6" s="3059"/>
      <c r="AO6" s="3059"/>
      <c r="AP6" s="3059"/>
      <c r="AQ6" s="3059"/>
      <c r="AR6" s="3059"/>
    </row>
    <row r="7" spans="3:44">
      <c r="C7" s="3055" t="s">
        <v>3140</v>
      </c>
      <c r="D7" s="3701" t="s">
        <v>3141</v>
      </c>
      <c r="E7" s="3702"/>
      <c r="F7" s="3703"/>
      <c r="G7" s="3060">
        <f>58787.66-'[1]3.1.1期指标'!G7</f>
        <v>26064.600000000002</v>
      </c>
      <c r="H7" s="3055" t="s">
        <v>3142</v>
      </c>
      <c r="I7" s="3055"/>
      <c r="K7" s="3045"/>
      <c r="L7" s="3806" t="s">
        <v>3143</v>
      </c>
      <c r="M7" s="3806"/>
      <c r="N7" s="3056"/>
      <c r="O7" s="3056"/>
      <c r="P7" s="3056"/>
      <c r="Q7" s="3056"/>
      <c r="R7" s="3056"/>
      <c r="S7" s="3056"/>
      <c r="T7" s="3063"/>
      <c r="U7" s="3063"/>
      <c r="V7" s="3046"/>
      <c r="W7" s="3069"/>
      <c r="Y7" s="3058"/>
      <c r="Z7" s="3059"/>
      <c r="AA7" s="3059"/>
      <c r="AB7" s="3059"/>
      <c r="AC7" s="3059"/>
      <c r="AD7" s="3059"/>
      <c r="AE7" s="3059"/>
      <c r="AF7" s="3059"/>
      <c r="AG7" s="3059"/>
      <c r="AH7" s="3059"/>
      <c r="AI7" s="3059"/>
      <c r="AJ7" s="3059"/>
      <c r="AK7" s="3059"/>
      <c r="AL7" s="3059"/>
      <c r="AM7" s="3059"/>
      <c r="AN7" s="3059"/>
      <c r="AO7" s="3059"/>
      <c r="AP7" s="3059"/>
      <c r="AQ7" s="3059"/>
      <c r="AR7" s="3059"/>
    </row>
    <row r="8" spans="3:44">
      <c r="C8" s="3055" t="s">
        <v>3145</v>
      </c>
      <c r="D8" s="3700" t="s">
        <v>3146</v>
      </c>
      <c r="E8" s="3700"/>
      <c r="F8" s="3700"/>
      <c r="G8" s="3066">
        <f>G9+G17</f>
        <v>78591.989999999991</v>
      </c>
      <c r="H8" s="3055" t="s">
        <v>3142</v>
      </c>
      <c r="I8" s="3055"/>
      <c r="K8" s="3045"/>
      <c r="L8" s="3806" t="s">
        <v>3147</v>
      </c>
      <c r="M8" s="3806"/>
      <c r="N8" s="3067"/>
      <c r="O8" s="3067"/>
      <c r="P8" s="3067"/>
      <c r="Q8" s="3063"/>
      <c r="R8" s="3068"/>
      <c r="S8" s="3068"/>
      <c r="T8" s="3056"/>
      <c r="U8" s="3056"/>
      <c r="V8" s="3063"/>
      <c r="W8" s="3069"/>
      <c r="X8" s="3070"/>
      <c r="Y8" s="3058"/>
      <c r="Z8" s="3071"/>
      <c r="AA8" s="3071"/>
      <c r="AB8" s="3071"/>
      <c r="AC8" s="3071"/>
      <c r="AD8" s="3071"/>
      <c r="AE8" s="3071"/>
      <c r="AF8" s="3071"/>
      <c r="AG8" s="3071"/>
      <c r="AH8" s="3071"/>
      <c r="AI8" s="3072"/>
      <c r="AJ8" s="3072"/>
      <c r="AK8" s="3072"/>
      <c r="AL8" s="3071"/>
      <c r="AM8" s="3071"/>
      <c r="AN8" s="3071"/>
      <c r="AO8" s="3071"/>
      <c r="AP8" s="3071"/>
      <c r="AQ8" s="3071"/>
      <c r="AR8" s="3071"/>
    </row>
    <row r="9" spans="3:44">
      <c r="C9" s="3704" t="s">
        <v>3149</v>
      </c>
      <c r="D9" s="3700" t="s">
        <v>3150</v>
      </c>
      <c r="E9" s="3700"/>
      <c r="F9" s="3700"/>
      <c r="G9" s="3073">
        <f>G10+G13+G14+G15+G16</f>
        <v>59867.24</v>
      </c>
      <c r="H9" s="3055" t="s">
        <v>3142</v>
      </c>
      <c r="I9" s="3055"/>
      <c r="K9" s="3045"/>
      <c r="L9" s="3807" t="s">
        <v>3151</v>
      </c>
      <c r="M9" s="3056" t="s">
        <v>3152</v>
      </c>
      <c r="N9" s="3056"/>
      <c r="O9" s="3056"/>
      <c r="P9" s="3056"/>
      <c r="Q9" s="3056"/>
      <c r="R9" s="3056"/>
      <c r="S9" s="3056"/>
      <c r="T9" s="3056"/>
      <c r="U9" s="3056"/>
      <c r="V9" s="3047"/>
      <c r="W9" s="3074"/>
      <c r="Y9" s="3058"/>
      <c r="Z9" s="3071"/>
      <c r="AA9" s="3071"/>
      <c r="AB9" s="3071"/>
      <c r="AC9" s="3071"/>
      <c r="AD9" s="3071"/>
      <c r="AE9" s="3071"/>
      <c r="AF9" s="3071"/>
      <c r="AG9" s="3071"/>
      <c r="AH9" s="3071"/>
      <c r="AI9" s="3059"/>
      <c r="AJ9" s="3059"/>
      <c r="AK9" s="3059"/>
      <c r="AL9" s="3071"/>
      <c r="AM9" s="3071"/>
      <c r="AN9" s="3071"/>
      <c r="AO9" s="3071"/>
      <c r="AP9" s="3071"/>
      <c r="AQ9" s="3071"/>
      <c r="AR9" s="3071"/>
    </row>
    <row r="10" spans="3:44">
      <c r="C10" s="3705"/>
      <c r="D10" s="3700" t="s">
        <v>3149</v>
      </c>
      <c r="E10" s="3707" t="s">
        <v>3153</v>
      </c>
      <c r="F10" s="3707"/>
      <c r="G10" s="3066">
        <f>G11+G12</f>
        <v>58728.95</v>
      </c>
      <c r="H10" s="3055" t="s">
        <v>3142</v>
      </c>
      <c r="I10" s="3055"/>
      <c r="K10" s="3045"/>
      <c r="L10" s="3807"/>
      <c r="M10" s="3075" t="s">
        <v>3154</v>
      </c>
      <c r="N10" s="3076"/>
      <c r="O10" s="3075"/>
      <c r="P10" s="3076"/>
      <c r="Q10" s="3076"/>
      <c r="R10" s="3076"/>
      <c r="S10" s="3076"/>
      <c r="T10" s="3076"/>
      <c r="U10" s="3076"/>
      <c r="V10" s="3071"/>
      <c r="W10" s="3077"/>
      <c r="Y10" s="3058"/>
      <c r="Z10" s="3059"/>
      <c r="AA10" s="3059"/>
      <c r="AB10" s="3059"/>
      <c r="AC10" s="3059"/>
      <c r="AD10" s="3059"/>
      <c r="AE10" s="3059"/>
      <c r="AF10" s="3059"/>
      <c r="AG10" s="3059"/>
      <c r="AH10" s="3059"/>
      <c r="AI10" s="3059"/>
      <c r="AJ10" s="3059"/>
      <c r="AK10" s="3059"/>
      <c r="AL10" s="3071"/>
      <c r="AM10" s="3071"/>
      <c r="AN10" s="3071"/>
      <c r="AO10" s="3071"/>
      <c r="AP10" s="3071"/>
      <c r="AQ10" s="3071"/>
      <c r="AR10" s="3071"/>
    </row>
    <row r="11" spans="3:44">
      <c r="C11" s="3705"/>
      <c r="D11" s="3700"/>
      <c r="E11" s="3727" t="s">
        <v>3149</v>
      </c>
      <c r="F11" s="3078" t="s">
        <v>3156</v>
      </c>
      <c r="G11" s="3079">
        <f>O23+O27+O28+O29+O30+O31+O33</f>
        <v>58728.95</v>
      </c>
      <c r="H11" s="3055" t="s">
        <v>3142</v>
      </c>
      <c r="I11" s="3055"/>
      <c r="K11" s="3045"/>
      <c r="L11" s="3807"/>
      <c r="M11" s="3075" t="s">
        <v>3157</v>
      </c>
      <c r="N11" s="3076"/>
      <c r="O11" s="3075"/>
      <c r="P11" s="3076"/>
      <c r="Q11" s="3076"/>
      <c r="R11" s="3076"/>
      <c r="S11" s="3076"/>
      <c r="T11" s="3076"/>
      <c r="U11" s="3076"/>
      <c r="V11" s="3080"/>
      <c r="W11" s="3077"/>
      <c r="Y11" s="3058"/>
      <c r="Z11" s="3071"/>
      <c r="AA11" s="3071"/>
      <c r="AB11" s="3071"/>
      <c r="AC11" s="3071"/>
      <c r="AD11" s="3071"/>
      <c r="AE11" s="3071"/>
      <c r="AF11" s="3071"/>
      <c r="AG11" s="3071"/>
      <c r="AH11" s="3071"/>
      <c r="AI11" s="3071"/>
      <c r="AJ11" s="3071"/>
      <c r="AK11" s="3071"/>
      <c r="AL11" s="3071"/>
      <c r="AM11" s="3071"/>
      <c r="AN11" s="3071"/>
      <c r="AO11" s="3071"/>
      <c r="AP11" s="3071"/>
      <c r="AQ11" s="3071"/>
      <c r="AR11" s="3071"/>
    </row>
    <row r="12" spans="3:44">
      <c r="C12" s="3705"/>
      <c r="D12" s="3700"/>
      <c r="E12" s="3706"/>
      <c r="F12" s="3078"/>
      <c r="G12" s="3079"/>
      <c r="H12" s="3055"/>
      <c r="I12" s="3055"/>
      <c r="K12" s="3045"/>
      <c r="L12" s="3806" t="s">
        <v>3159</v>
      </c>
      <c r="M12" s="3806"/>
      <c r="N12" s="3067"/>
      <c r="O12" s="3081"/>
      <c r="P12" s="3082"/>
      <c r="Q12" s="3056"/>
      <c r="R12" s="3068"/>
      <c r="S12" s="3068"/>
      <c r="T12" s="3056"/>
      <c r="U12" s="3056"/>
      <c r="V12" s="3047"/>
      <c r="W12" s="3069"/>
      <c r="X12" s="3070"/>
      <c r="Y12" s="3058"/>
      <c r="Z12" s="3071"/>
      <c r="AA12" s="3071"/>
      <c r="AB12" s="3071"/>
      <c r="AC12" s="3071"/>
      <c r="AD12" s="3084"/>
      <c r="AE12" s="3084"/>
      <c r="AF12" s="3084"/>
      <c r="AG12" s="3084"/>
      <c r="AH12" s="3071"/>
      <c r="AI12" s="3071"/>
      <c r="AJ12" s="3071"/>
      <c r="AK12" s="3071"/>
      <c r="AL12" s="3071"/>
      <c r="AM12" s="3071"/>
      <c r="AN12" s="3071"/>
      <c r="AO12" s="3071"/>
      <c r="AP12" s="3071"/>
      <c r="AQ12" s="3071"/>
      <c r="AR12" s="3071"/>
    </row>
    <row r="13" spans="3:44">
      <c r="C13" s="3705"/>
      <c r="D13" s="3700"/>
      <c r="E13" s="3700" t="s">
        <v>3161</v>
      </c>
      <c r="F13" s="3700"/>
      <c r="G13" s="3066">
        <f>O6</f>
        <v>0</v>
      </c>
      <c r="H13" s="3055" t="s">
        <v>3142</v>
      </c>
      <c r="I13" s="3055" t="s">
        <v>3162</v>
      </c>
      <c r="K13" s="3045"/>
      <c r="L13" s="3806" t="s">
        <v>3149</v>
      </c>
      <c r="M13" s="3063" t="s">
        <v>3163</v>
      </c>
      <c r="N13" s="3067"/>
      <c r="O13" s="3063"/>
      <c r="P13" s="3063"/>
      <c r="Q13" s="3063"/>
      <c r="R13" s="3068"/>
      <c r="S13" s="3068"/>
      <c r="T13" s="3063"/>
      <c r="U13" s="3063"/>
      <c r="V13" s="3047"/>
      <c r="W13" s="3074"/>
      <c r="Y13" s="3058"/>
      <c r="Z13" s="3071"/>
      <c r="AA13" s="3071"/>
      <c r="AB13" s="3071"/>
      <c r="AC13" s="3071"/>
      <c r="AD13" s="3071"/>
      <c r="AE13" s="3071"/>
      <c r="AF13" s="3071"/>
      <c r="AG13" s="3071"/>
      <c r="AH13" s="3071"/>
      <c r="AI13" s="3071"/>
      <c r="AJ13" s="3071"/>
      <c r="AK13" s="3071"/>
      <c r="AL13" s="3071"/>
      <c r="AM13" s="3071"/>
      <c r="AN13" s="3071"/>
      <c r="AO13" s="3071"/>
      <c r="AP13" s="3071"/>
      <c r="AQ13" s="3071"/>
      <c r="AR13" s="3071"/>
    </row>
    <row r="14" spans="3:44">
      <c r="C14" s="3705"/>
      <c r="D14" s="3700"/>
      <c r="E14" s="3701"/>
      <c r="F14" s="3703"/>
      <c r="G14" s="3066"/>
      <c r="H14" s="3055"/>
      <c r="I14" s="3055"/>
      <c r="K14" s="3045"/>
      <c r="L14" s="3806"/>
      <c r="M14" s="3063" t="s">
        <v>1343</v>
      </c>
      <c r="N14" s="3067"/>
      <c r="O14" s="3063"/>
      <c r="P14" s="3063"/>
      <c r="Q14" s="3063"/>
      <c r="R14" s="3068"/>
      <c r="S14" s="3068"/>
      <c r="T14" s="3063"/>
      <c r="U14" s="3063"/>
      <c r="V14" s="3047"/>
      <c r="W14" s="3074"/>
      <c r="Y14" s="3058"/>
      <c r="Z14" s="3071"/>
      <c r="AA14" s="3071"/>
      <c r="AB14" s="3071"/>
      <c r="AC14" s="3071"/>
      <c r="AD14" s="3071"/>
      <c r="AE14" s="3071"/>
      <c r="AF14" s="3071"/>
      <c r="AG14" s="3071"/>
      <c r="AH14" s="3071"/>
      <c r="AI14" s="3071"/>
      <c r="AJ14" s="3071"/>
      <c r="AK14" s="3071"/>
      <c r="AL14" s="3071"/>
      <c r="AM14" s="3071"/>
      <c r="AN14" s="3071"/>
      <c r="AO14" s="3071"/>
      <c r="AP14" s="3071"/>
      <c r="AQ14" s="3071"/>
      <c r="AR14" s="3071"/>
    </row>
    <row r="15" spans="3:44">
      <c r="C15" s="3705"/>
      <c r="D15" s="3700"/>
      <c r="E15" s="3709" t="s">
        <v>3165</v>
      </c>
      <c r="F15" s="3710"/>
      <c r="G15" s="3066">
        <f>O34</f>
        <v>754.12</v>
      </c>
      <c r="H15" s="3055" t="s">
        <v>3142</v>
      </c>
      <c r="I15" s="3055"/>
      <c r="K15" s="3045"/>
      <c r="L15" s="3806"/>
      <c r="M15" s="3063" t="s">
        <v>3166</v>
      </c>
      <c r="N15" s="3067"/>
      <c r="O15" s="3063"/>
      <c r="P15" s="3063"/>
      <c r="Q15" s="3063"/>
      <c r="R15" s="3068"/>
      <c r="S15" s="3068"/>
      <c r="T15" s="3063"/>
      <c r="U15" s="3063"/>
      <c r="V15" s="3085"/>
      <c r="W15" s="3074"/>
      <c r="Y15" s="3058"/>
      <c r="Z15" s="3071"/>
      <c r="AA15" s="3071"/>
      <c r="AB15" s="3071"/>
      <c r="AC15" s="3071"/>
      <c r="AD15" s="3071"/>
      <c r="AE15" s="3071"/>
      <c r="AF15" s="3071"/>
      <c r="AG15" s="3071"/>
      <c r="AH15" s="3071"/>
      <c r="AI15" s="3071"/>
      <c r="AJ15" s="3071"/>
      <c r="AK15" s="3071"/>
      <c r="AL15" s="3071"/>
      <c r="AM15" s="3071"/>
      <c r="AN15" s="3071"/>
      <c r="AO15" s="3071"/>
      <c r="AP15" s="3071"/>
      <c r="AQ15" s="3071"/>
      <c r="AR15" s="3071"/>
    </row>
    <row r="16" spans="3:44">
      <c r="C16" s="3705"/>
      <c r="D16" s="3700"/>
      <c r="E16" s="3700" t="s">
        <v>3168</v>
      </c>
      <c r="F16" s="3700"/>
      <c r="G16" s="3066">
        <f>O35</f>
        <v>384.17</v>
      </c>
      <c r="H16" s="3055" t="s">
        <v>3142</v>
      </c>
      <c r="I16" s="3055" t="s">
        <v>3169</v>
      </c>
      <c r="K16" s="3045"/>
      <c r="L16" s="3806" t="s">
        <v>3170</v>
      </c>
      <c r="M16" s="3806"/>
      <c r="N16" s="3067"/>
      <c r="O16" s="3081"/>
      <c r="P16" s="3082"/>
      <c r="Q16" s="3056"/>
      <c r="R16" s="3068"/>
      <c r="S16" s="3068"/>
      <c r="T16" s="3056"/>
      <c r="U16" s="3056"/>
      <c r="V16" s="3047"/>
      <c r="W16" s="3069"/>
      <c r="X16" s="3070"/>
      <c r="Y16" s="3058"/>
      <c r="Z16" s="3071"/>
      <c r="AA16" s="3071"/>
      <c r="AB16" s="3071"/>
      <c r="AC16" s="3071"/>
      <c r="AD16" s="3071"/>
      <c r="AE16" s="3071"/>
      <c r="AF16" s="3071"/>
      <c r="AG16" s="3071"/>
      <c r="AH16" s="3072"/>
      <c r="AI16" s="3072"/>
      <c r="AJ16" s="3072"/>
      <c r="AK16" s="3072"/>
      <c r="AL16" s="3071"/>
      <c r="AM16" s="3071"/>
      <c r="AN16" s="3071"/>
      <c r="AO16" s="3071"/>
      <c r="AP16" s="3071"/>
      <c r="AQ16" s="3071"/>
      <c r="AR16" s="3071"/>
    </row>
    <row r="17" spans="1:44">
      <c r="C17" s="3705"/>
      <c r="D17" s="3701" t="s">
        <v>3171</v>
      </c>
      <c r="E17" s="3702"/>
      <c r="F17" s="3703"/>
      <c r="G17" s="3066">
        <f>G18+G19</f>
        <v>18724.75</v>
      </c>
      <c r="H17" s="3055" t="s">
        <v>3142</v>
      </c>
      <c r="I17" s="3055"/>
      <c r="K17" s="3045"/>
      <c r="L17" s="3806" t="s">
        <v>3149</v>
      </c>
      <c r="M17" s="3063" t="s">
        <v>3163</v>
      </c>
      <c r="N17" s="3067"/>
      <c r="O17" s="3063"/>
      <c r="P17" s="3063"/>
      <c r="Q17" s="3063"/>
      <c r="R17" s="3068"/>
      <c r="S17" s="3068"/>
      <c r="T17" s="3063"/>
      <c r="U17" s="3063"/>
      <c r="V17" s="3047"/>
      <c r="W17" s="3074"/>
      <c r="Y17" s="3058"/>
      <c r="Z17" s="3071"/>
      <c r="AA17" s="3071"/>
      <c r="AB17" s="3071"/>
      <c r="AC17" s="3071"/>
      <c r="AD17" s="3071"/>
      <c r="AE17" s="3071"/>
      <c r="AF17" s="3071"/>
      <c r="AG17" s="3071"/>
      <c r="AH17" s="3071"/>
      <c r="AI17" s="3071"/>
      <c r="AJ17" s="3071"/>
      <c r="AK17" s="3071"/>
      <c r="AL17" s="3071"/>
      <c r="AM17" s="3071"/>
      <c r="AN17" s="3071"/>
      <c r="AO17" s="3071"/>
      <c r="AP17" s="3071"/>
      <c r="AQ17" s="3071"/>
      <c r="AR17" s="3071"/>
    </row>
    <row r="18" spans="1:44">
      <c r="C18" s="3705"/>
      <c r="D18" s="3700" t="s">
        <v>3149</v>
      </c>
      <c r="E18" s="3708" t="s">
        <v>3172</v>
      </c>
      <c r="F18" s="3708"/>
      <c r="G18" s="3087">
        <f>P23+P27+P28+P29+P30+P31+P32</f>
        <v>1753.8400000000001</v>
      </c>
      <c r="H18" s="3055" t="s">
        <v>3142</v>
      </c>
      <c r="I18" s="3055"/>
      <c r="K18" s="3045"/>
      <c r="L18" s="3806"/>
      <c r="M18" s="3063" t="s">
        <v>1343</v>
      </c>
      <c r="N18" s="3067"/>
      <c r="O18" s="3063"/>
      <c r="P18" s="3063"/>
      <c r="Q18" s="3063"/>
      <c r="R18" s="3068"/>
      <c r="S18" s="3068"/>
      <c r="T18" s="3063"/>
      <c r="U18" s="3063"/>
      <c r="V18" s="3047"/>
      <c r="W18" s="3074"/>
      <c r="Y18" s="3058"/>
      <c r="Z18" s="3071"/>
      <c r="AA18" s="3071"/>
      <c r="AB18" s="3071"/>
      <c r="AC18" s="3071"/>
      <c r="AD18" s="3071"/>
      <c r="AE18" s="3071"/>
      <c r="AF18" s="3071"/>
      <c r="AG18" s="3071"/>
      <c r="AH18" s="3071"/>
      <c r="AI18" s="3071"/>
      <c r="AJ18" s="3071"/>
      <c r="AK18" s="3071"/>
      <c r="AL18" s="3071"/>
      <c r="AM18" s="3071"/>
      <c r="AN18" s="3071"/>
      <c r="AO18" s="3071"/>
      <c r="AP18" s="3071"/>
      <c r="AQ18" s="3071"/>
      <c r="AR18" s="3071"/>
    </row>
    <row r="19" spans="1:44">
      <c r="C19" s="3706"/>
      <c r="D19" s="3700"/>
      <c r="E19" s="3707" t="s">
        <v>3173</v>
      </c>
      <c r="F19" s="3707"/>
      <c r="G19" s="3066">
        <f>N42</f>
        <v>16970.91</v>
      </c>
      <c r="H19" s="3055" t="s">
        <v>3142</v>
      </c>
      <c r="I19" s="3055" t="s">
        <v>3174</v>
      </c>
      <c r="K19" s="3045"/>
      <c r="L19" s="3806"/>
      <c r="M19" s="3063" t="s">
        <v>3166</v>
      </c>
      <c r="N19" s="3067"/>
      <c r="O19" s="3063"/>
      <c r="P19" s="3063"/>
      <c r="Q19" s="3063"/>
      <c r="R19" s="3068"/>
      <c r="S19" s="3068"/>
      <c r="T19" s="3063"/>
      <c r="U19" s="3063"/>
      <c r="V19" s="3085"/>
      <c r="W19" s="3074"/>
      <c r="Y19" s="3058"/>
      <c r="Z19" s="3071"/>
      <c r="AA19" s="3071"/>
      <c r="AB19" s="3071"/>
      <c r="AC19" s="3071"/>
      <c r="AD19" s="3071"/>
      <c r="AE19" s="3071"/>
      <c r="AF19" s="3071"/>
      <c r="AG19" s="3071"/>
      <c r="AH19" s="3071"/>
      <c r="AI19" s="3071"/>
      <c r="AJ19" s="3071"/>
      <c r="AK19" s="3071"/>
      <c r="AL19" s="3071"/>
      <c r="AM19" s="3071"/>
      <c r="AN19" s="3071"/>
      <c r="AO19" s="3071"/>
      <c r="AP19" s="3071"/>
      <c r="AQ19" s="3071"/>
      <c r="AR19" s="3071"/>
    </row>
    <row r="20" spans="1:44">
      <c r="C20" s="3055" t="s">
        <v>3176</v>
      </c>
      <c r="D20" s="3701" t="s">
        <v>3177</v>
      </c>
      <c r="E20" s="3702"/>
      <c r="F20" s="3703"/>
      <c r="G20" s="3066">
        <f>G9/G7</f>
        <v>2.2968792922200989</v>
      </c>
      <c r="H20" s="3055"/>
      <c r="I20" s="3055"/>
      <c r="K20" s="3045"/>
      <c r="L20" s="3806" t="s">
        <v>3178</v>
      </c>
      <c r="M20" s="3806"/>
      <c r="N20" s="3067"/>
      <c r="O20" s="3082"/>
      <c r="P20" s="3082"/>
      <c r="Q20" s="3063"/>
      <c r="R20" s="3068"/>
      <c r="S20" s="3068"/>
      <c r="T20" s="3056"/>
      <c r="U20" s="3056"/>
      <c r="V20" s="3047"/>
      <c r="W20" s="3074"/>
      <c r="X20" s="3070"/>
      <c r="Y20" s="3058"/>
      <c r="Z20" s="3071"/>
      <c r="AA20" s="3071"/>
      <c r="AB20" s="3071"/>
      <c r="AC20" s="3071"/>
      <c r="AD20" s="3071"/>
      <c r="AE20" s="3071"/>
      <c r="AF20" s="3071"/>
      <c r="AG20" s="3071"/>
      <c r="AH20" s="3072"/>
      <c r="AI20" s="3072"/>
      <c r="AJ20" s="3072"/>
      <c r="AK20" s="3072"/>
      <c r="AL20" s="3071"/>
      <c r="AM20" s="3071"/>
      <c r="AN20" s="3071"/>
      <c r="AO20" s="3071"/>
      <c r="AP20" s="3071"/>
      <c r="AQ20" s="3071"/>
      <c r="AR20" s="3071"/>
    </row>
    <row r="21" spans="1:44">
      <c r="C21" s="3055" t="s">
        <v>3179</v>
      </c>
      <c r="D21" s="3701" t="s">
        <v>3180</v>
      </c>
      <c r="E21" s="3702"/>
      <c r="F21" s="3703"/>
      <c r="G21" s="3089">
        <f>R37</f>
        <v>566</v>
      </c>
      <c r="H21" s="3055" t="s">
        <v>3181</v>
      </c>
      <c r="I21" s="3055"/>
      <c r="K21" s="3045"/>
      <c r="L21" s="3806" t="s">
        <v>3182</v>
      </c>
      <c r="M21" s="3806"/>
      <c r="N21" s="3067"/>
      <c r="O21" s="3082"/>
      <c r="P21" s="3082"/>
      <c r="Q21" s="3063"/>
      <c r="R21" s="3068"/>
      <c r="S21" s="3068"/>
      <c r="T21" s="3056"/>
      <c r="U21" s="3056"/>
      <c r="V21" s="3047"/>
      <c r="W21" s="3074"/>
      <c r="X21" s="3070"/>
      <c r="Y21" s="3058"/>
      <c r="Z21" s="3071"/>
      <c r="AA21" s="3071"/>
      <c r="AB21" s="3071"/>
      <c r="AC21" s="3071"/>
      <c r="AD21" s="3071"/>
      <c r="AE21" s="3071"/>
      <c r="AF21" s="3071"/>
      <c r="AG21" s="3071"/>
      <c r="AH21" s="3072"/>
      <c r="AI21" s="3072"/>
      <c r="AJ21" s="3072"/>
      <c r="AK21" s="3072"/>
      <c r="AL21" s="3071"/>
      <c r="AM21" s="3071"/>
      <c r="AN21" s="3071"/>
      <c r="AO21" s="3071"/>
      <c r="AP21" s="3071"/>
      <c r="AQ21" s="3071"/>
      <c r="AR21" s="3071"/>
    </row>
    <row r="22" spans="1:44">
      <c r="C22" s="3055" t="s">
        <v>3183</v>
      </c>
      <c r="D22" s="3701" t="s">
        <v>3184</v>
      </c>
      <c r="E22" s="3702"/>
      <c r="F22" s="3703"/>
      <c r="G22" s="3066">
        <v>3.2</v>
      </c>
      <c r="H22" s="3055" t="s">
        <v>3185</v>
      </c>
      <c r="I22" s="3055"/>
      <c r="K22" s="3045"/>
      <c r="L22" s="3806" t="s">
        <v>3186</v>
      </c>
      <c r="M22" s="3806"/>
      <c r="N22" s="3067"/>
      <c r="O22" s="3067"/>
      <c r="P22" s="3067"/>
      <c r="Q22" s="3056"/>
      <c r="R22" s="3068"/>
      <c r="S22" s="3068"/>
      <c r="T22" s="3056"/>
      <c r="U22" s="3056"/>
      <c r="V22" s="3047"/>
      <c r="W22" s="3057"/>
      <c r="X22" s="3070"/>
      <c r="Y22" s="3058"/>
      <c r="Z22" s="3071"/>
      <c r="AA22" s="3071"/>
      <c r="AB22" s="3071"/>
      <c r="AC22" s="3071"/>
      <c r="AD22" s="3071"/>
      <c r="AE22" s="3071"/>
      <c r="AF22" s="3071"/>
      <c r="AG22" s="3071"/>
      <c r="AH22" s="3072"/>
      <c r="AI22" s="3072"/>
      <c r="AJ22" s="3072"/>
      <c r="AK22" s="3072"/>
      <c r="AL22" s="3071"/>
      <c r="AM22" s="3071"/>
      <c r="AN22" s="3071"/>
      <c r="AO22" s="3071"/>
      <c r="AP22" s="3071"/>
      <c r="AQ22" s="3071"/>
      <c r="AR22" s="3071"/>
    </row>
    <row r="23" spans="1:44">
      <c r="C23" s="3055" t="s">
        <v>3187</v>
      </c>
      <c r="D23" s="3701" t="s">
        <v>3188</v>
      </c>
      <c r="E23" s="3702"/>
      <c r="F23" s="3703"/>
      <c r="G23" s="3091">
        <f>G21*G22</f>
        <v>1811.2</v>
      </c>
      <c r="H23" s="3055" t="s">
        <v>3189</v>
      </c>
      <c r="I23" s="3055"/>
      <c r="K23" s="3045"/>
      <c r="L23" s="3806" t="s">
        <v>3190</v>
      </c>
      <c r="M23" s="3806"/>
      <c r="N23" s="3067">
        <f t="shared" ref="N23:N31" si="0">O23+P23</f>
        <v>7554.92</v>
      </c>
      <c r="O23" s="3124">
        <v>7320.2</v>
      </c>
      <c r="P23" s="3082">
        <v>234.72</v>
      </c>
      <c r="Q23" s="3063">
        <v>681.43</v>
      </c>
      <c r="R23" s="3068">
        <f>11*2*3</f>
        <v>66</v>
      </c>
      <c r="S23" s="3068">
        <f t="shared" ref="S23:S31" si="1">R23*3.2</f>
        <v>211.20000000000002</v>
      </c>
      <c r="T23" s="3056" t="s">
        <v>3148</v>
      </c>
      <c r="U23" s="3056">
        <v>34.799999999999997</v>
      </c>
      <c r="V23" s="3047"/>
      <c r="W23" s="3088">
        <v>652.79</v>
      </c>
      <c r="X23" s="3070"/>
      <c r="Y23" s="3058">
        <f t="shared" ref="Y23:Y36" si="2">SUM(Z23:AR23)</f>
        <v>66</v>
      </c>
      <c r="Z23" s="3071"/>
      <c r="AA23" s="3071"/>
      <c r="AB23" s="3071"/>
      <c r="AC23" s="3071"/>
      <c r="AD23" s="3071"/>
      <c r="AE23" s="3071"/>
      <c r="AF23" s="3071"/>
      <c r="AG23" s="3071"/>
      <c r="AH23" s="3072">
        <v>3</v>
      </c>
      <c r="AI23" s="3072">
        <v>37</v>
      </c>
      <c r="AJ23" s="3072">
        <v>20</v>
      </c>
      <c r="AK23" s="3072">
        <v>6</v>
      </c>
      <c r="AL23" s="3071"/>
      <c r="AM23" s="3071"/>
      <c r="AN23" s="3071"/>
      <c r="AO23" s="3071"/>
      <c r="AP23" s="3071"/>
      <c r="AQ23" s="3071"/>
      <c r="AR23" s="3071"/>
    </row>
    <row r="24" spans="1:44">
      <c r="C24" s="3055" t="s">
        <v>3191</v>
      </c>
      <c r="D24" s="3701" t="s">
        <v>3192</v>
      </c>
      <c r="E24" s="3702"/>
      <c r="F24" s="3703"/>
      <c r="G24" s="3066">
        <f>Q37/G7*100</f>
        <v>17.377976258987285</v>
      </c>
      <c r="H24" s="3055" t="s">
        <v>3193</v>
      </c>
      <c r="I24" s="3055"/>
      <c r="K24" s="3045"/>
      <c r="L24" s="3806" t="s">
        <v>3194</v>
      </c>
      <c r="M24" s="3806"/>
      <c r="N24" s="3067"/>
      <c r="O24" s="3067"/>
      <c r="P24" s="3067"/>
      <c r="Q24" s="3056"/>
      <c r="R24" s="3068"/>
      <c r="S24" s="3068"/>
      <c r="T24" s="3056"/>
      <c r="U24" s="3056"/>
      <c r="V24" s="3047"/>
      <c r="W24" s="3057"/>
      <c r="X24" s="3070"/>
      <c r="Y24" s="3058"/>
      <c r="Z24" s="3092"/>
      <c r="AA24" s="3092"/>
      <c r="AB24" s="3092"/>
      <c r="AC24" s="3092"/>
      <c r="AD24" s="3071"/>
      <c r="AE24" s="3071"/>
      <c r="AF24" s="3071"/>
      <c r="AG24" s="3071"/>
      <c r="AH24" s="3072"/>
      <c r="AI24" s="3072"/>
      <c r="AJ24" s="3072"/>
      <c r="AK24" s="3072"/>
      <c r="AL24" s="3071"/>
      <c r="AM24" s="3071"/>
      <c r="AN24" s="3071"/>
      <c r="AO24" s="3071"/>
      <c r="AP24" s="3071"/>
      <c r="AQ24" s="3071"/>
      <c r="AR24" s="3071"/>
    </row>
    <row r="25" spans="1:44">
      <c r="C25" s="3055" t="s">
        <v>3195</v>
      </c>
      <c r="D25" s="3701" t="s">
        <v>3196</v>
      </c>
      <c r="E25" s="3702"/>
      <c r="F25" s="3703"/>
      <c r="G25" s="3066">
        <v>30.1</v>
      </c>
      <c r="H25" s="3055" t="s">
        <v>3193</v>
      </c>
      <c r="I25" s="3055"/>
      <c r="K25" s="3045"/>
      <c r="L25" s="3806" t="s">
        <v>3149</v>
      </c>
      <c r="M25" s="3063" t="s">
        <v>3163</v>
      </c>
      <c r="N25" s="3067"/>
      <c r="O25" s="3067"/>
      <c r="P25" s="3067"/>
      <c r="Q25" s="3056"/>
      <c r="R25" s="3068"/>
      <c r="S25" s="3068"/>
      <c r="T25" s="3056"/>
      <c r="U25" s="3056"/>
      <c r="V25" s="3047"/>
      <c r="W25" s="3074"/>
      <c r="Y25" s="3058"/>
      <c r="Z25" s="3071"/>
      <c r="AA25" s="3071"/>
      <c r="AB25" s="3071"/>
      <c r="AC25" s="3071"/>
      <c r="AD25" s="3071"/>
      <c r="AE25" s="3071"/>
      <c r="AF25" s="3071"/>
      <c r="AG25" s="3071"/>
      <c r="AH25" s="3071"/>
      <c r="AI25" s="3071"/>
      <c r="AJ25" s="3071"/>
      <c r="AK25" s="3071"/>
      <c r="AL25" s="3071"/>
      <c r="AM25" s="3071"/>
      <c r="AN25" s="3071"/>
      <c r="AO25" s="3071"/>
      <c r="AP25" s="3071"/>
      <c r="AQ25" s="3071"/>
      <c r="AR25" s="3071"/>
    </row>
    <row r="26" spans="1:44">
      <c r="C26" s="3055" t="s">
        <v>3197</v>
      </c>
      <c r="D26" s="3711" t="s">
        <v>3198</v>
      </c>
      <c r="E26" s="3712"/>
      <c r="F26" s="3713"/>
      <c r="G26" s="3093">
        <f>G27+G28</f>
        <v>644</v>
      </c>
      <c r="H26" s="3055" t="s">
        <v>3199</v>
      </c>
      <c r="I26" s="3055"/>
      <c r="J26" s="3094">
        <f>G21*1+G15*65/10000</f>
        <v>570.90178000000003</v>
      </c>
      <c r="K26" s="3045"/>
      <c r="L26" s="3806"/>
      <c r="M26" s="3063" t="s">
        <v>3166</v>
      </c>
      <c r="N26" s="3067"/>
      <c r="O26" s="3067"/>
      <c r="P26" s="3067"/>
      <c r="Q26" s="3056"/>
      <c r="R26" s="3068"/>
      <c r="S26" s="3068"/>
      <c r="T26" s="3056"/>
      <c r="U26" s="3056"/>
      <c r="V26" s="3085"/>
      <c r="W26" s="3074"/>
      <c r="Y26" s="3058"/>
      <c r="Z26" s="3071"/>
      <c r="AA26" s="3071"/>
      <c r="AB26" s="3071"/>
      <c r="AC26" s="3071"/>
      <c r="AD26" s="3071"/>
      <c r="AE26" s="3071"/>
      <c r="AF26" s="3071"/>
      <c r="AG26" s="3071"/>
      <c r="AH26" s="3071"/>
      <c r="AI26" s="3071"/>
      <c r="AJ26" s="3071"/>
      <c r="AK26" s="3071"/>
      <c r="AL26" s="3071"/>
      <c r="AM26" s="3071"/>
      <c r="AN26" s="3071"/>
      <c r="AO26" s="3071"/>
      <c r="AP26" s="3071"/>
      <c r="AQ26" s="3071"/>
      <c r="AR26" s="3071"/>
    </row>
    <row r="27" spans="1:44">
      <c r="C27" s="3700"/>
      <c r="D27" s="3708" t="s">
        <v>3149</v>
      </c>
      <c r="E27" s="3711" t="s">
        <v>3201</v>
      </c>
      <c r="F27" s="3703"/>
      <c r="G27" s="3095">
        <v>119</v>
      </c>
      <c r="H27" s="3055" t="s">
        <v>3199</v>
      </c>
      <c r="I27" s="3055"/>
      <c r="J27" s="3094">
        <f>J26*0.2</f>
        <v>114.18035600000002</v>
      </c>
      <c r="K27" s="3045"/>
      <c r="L27" s="3806" t="s">
        <v>3202</v>
      </c>
      <c r="M27" s="3806"/>
      <c r="N27" s="3067">
        <f>O27+P27</f>
        <v>7492.8</v>
      </c>
      <c r="O27" s="3124">
        <f>O23</f>
        <v>7320.2</v>
      </c>
      <c r="P27" s="3082">
        <v>172.6</v>
      </c>
      <c r="Q27" s="3063">
        <v>681.43</v>
      </c>
      <c r="R27" s="3068">
        <f>11*2*3</f>
        <v>66</v>
      </c>
      <c r="S27" s="3068">
        <f>R27*3.2</f>
        <v>211.20000000000002</v>
      </c>
      <c r="T27" s="3056" t="s">
        <v>3148</v>
      </c>
      <c r="U27" s="3056">
        <v>34.799999999999997</v>
      </c>
      <c r="V27" s="3047"/>
      <c r="W27" s="3074">
        <v>652.79</v>
      </c>
      <c r="X27" s="3070"/>
      <c r="Y27" s="3058">
        <f>SUM(Z27:AM27)</f>
        <v>66</v>
      </c>
      <c r="Z27" s="3071"/>
      <c r="AA27" s="3071"/>
      <c r="AB27" s="3071"/>
      <c r="AC27" s="3071"/>
      <c r="AD27" s="3071"/>
      <c r="AE27" s="3071"/>
      <c r="AF27" s="3071"/>
      <c r="AG27" s="3071"/>
      <c r="AH27" s="3072">
        <v>3</v>
      </c>
      <c r="AI27" s="3072">
        <v>37</v>
      </c>
      <c r="AJ27" s="3072">
        <v>20</v>
      </c>
      <c r="AK27" s="3072">
        <v>6</v>
      </c>
      <c r="AL27" s="3071"/>
      <c r="AM27" s="3071"/>
      <c r="AN27" s="3071"/>
      <c r="AO27" s="3071"/>
      <c r="AP27" s="3071"/>
      <c r="AQ27" s="3071"/>
      <c r="AR27" s="3071"/>
    </row>
    <row r="28" spans="1:44">
      <c r="A28" s="3096">
        <f>G28+'[1]3.2.2期指标'!G30+'[1]3.3（三期）指标'!G28</f>
        <v>2059</v>
      </c>
      <c r="C28" s="3700"/>
      <c r="D28" s="3708"/>
      <c r="E28" s="3711" t="s">
        <v>3203</v>
      </c>
      <c r="F28" s="3703"/>
      <c r="G28" s="3095">
        <v>525</v>
      </c>
      <c r="H28" s="3055" t="s">
        <v>3199</v>
      </c>
      <c r="I28" s="3055"/>
      <c r="J28" s="3094">
        <f>J26-J27</f>
        <v>456.72142400000001</v>
      </c>
      <c r="K28" s="3045"/>
      <c r="L28" s="3806" t="s">
        <v>3204</v>
      </c>
      <c r="M28" s="3806"/>
      <c r="N28" s="3067">
        <f t="shared" si="0"/>
        <v>9985.51</v>
      </c>
      <c r="O28" s="3067">
        <v>9665.39</v>
      </c>
      <c r="P28" s="3067">
        <v>320.12</v>
      </c>
      <c r="Q28" s="3056">
        <v>901.89</v>
      </c>
      <c r="R28" s="3068">
        <f>11*8</f>
        <v>88</v>
      </c>
      <c r="S28" s="3068">
        <f t="shared" si="1"/>
        <v>281.60000000000002</v>
      </c>
      <c r="T28" s="3056" t="s">
        <v>3148</v>
      </c>
      <c r="U28" s="3056">
        <v>34.799999999999997</v>
      </c>
      <c r="V28" s="3047"/>
      <c r="W28" s="3088">
        <v>866.29</v>
      </c>
      <c r="X28" s="3070"/>
      <c r="Y28" s="3058">
        <f t="shared" si="2"/>
        <v>88</v>
      </c>
      <c r="Z28" s="3071"/>
      <c r="AA28" s="3071"/>
      <c r="AB28" s="3071"/>
      <c r="AC28" s="3071"/>
      <c r="AD28" s="3071"/>
      <c r="AE28" s="3071"/>
      <c r="AF28" s="3071"/>
      <c r="AG28" s="3071"/>
      <c r="AH28" s="3072">
        <v>6</v>
      </c>
      <c r="AI28" s="3072">
        <v>56</v>
      </c>
      <c r="AJ28" s="3072">
        <v>18</v>
      </c>
      <c r="AK28" s="3072">
        <v>8</v>
      </c>
      <c r="AL28" s="3071"/>
      <c r="AM28" s="3071"/>
      <c r="AN28" s="3071"/>
      <c r="AO28" s="3071"/>
      <c r="AP28" s="3071"/>
      <c r="AQ28" s="3071"/>
      <c r="AR28" s="3071"/>
    </row>
    <row r="29" spans="1:44">
      <c r="C29" s="3097"/>
      <c r="D29" s="3098"/>
      <c r="E29" s="3098"/>
      <c r="F29" s="3097"/>
      <c r="G29" s="3099"/>
      <c r="H29" s="3097"/>
      <c r="I29" s="3097"/>
      <c r="K29" s="3045"/>
      <c r="L29" s="3806" t="s">
        <v>3205</v>
      </c>
      <c r="M29" s="3806"/>
      <c r="N29" s="3067">
        <f t="shared" si="0"/>
        <v>9976.8599999999988</v>
      </c>
      <c r="O29" s="3067">
        <f>O28</f>
        <v>9665.39</v>
      </c>
      <c r="P29" s="3067">
        <v>311.47000000000003</v>
      </c>
      <c r="Q29" s="3056">
        <v>901.89</v>
      </c>
      <c r="R29" s="3068">
        <f>11*8</f>
        <v>88</v>
      </c>
      <c r="S29" s="3068">
        <f t="shared" si="1"/>
        <v>281.60000000000002</v>
      </c>
      <c r="T29" s="3056" t="s">
        <v>3148</v>
      </c>
      <c r="U29" s="3056">
        <v>34.799999999999997</v>
      </c>
      <c r="V29" s="3047"/>
      <c r="W29" s="3074">
        <v>866.29</v>
      </c>
      <c r="X29" s="3070"/>
      <c r="Y29" s="3058">
        <f t="shared" si="2"/>
        <v>88</v>
      </c>
      <c r="Z29" s="3071"/>
      <c r="AA29" s="3071"/>
      <c r="AB29" s="3071"/>
      <c r="AC29" s="3071"/>
      <c r="AD29" s="3071"/>
      <c r="AE29" s="3071"/>
      <c r="AF29" s="3071"/>
      <c r="AG29" s="3071"/>
      <c r="AH29" s="3072">
        <v>6</v>
      </c>
      <c r="AI29" s="3072">
        <v>56</v>
      </c>
      <c r="AJ29" s="3072">
        <v>18</v>
      </c>
      <c r="AK29" s="3072">
        <v>8</v>
      </c>
      <c r="AL29" s="3071"/>
      <c r="AM29" s="3071"/>
      <c r="AN29" s="3071"/>
      <c r="AO29" s="3071"/>
      <c r="AP29" s="3071"/>
      <c r="AQ29" s="3071"/>
      <c r="AR29" s="3071"/>
    </row>
    <row r="30" spans="1:44">
      <c r="K30" s="3045"/>
      <c r="L30" s="3806" t="s">
        <v>3206</v>
      </c>
      <c r="M30" s="3806"/>
      <c r="N30" s="3067">
        <f t="shared" si="0"/>
        <v>7547.8499999999995</v>
      </c>
      <c r="O30" s="3124">
        <f>O27</f>
        <v>7320.2</v>
      </c>
      <c r="P30" s="3082">
        <v>227.65</v>
      </c>
      <c r="Q30" s="3063">
        <v>681.43</v>
      </c>
      <c r="R30" s="3068">
        <f>11*2*3</f>
        <v>66</v>
      </c>
      <c r="S30" s="3068">
        <f t="shared" si="1"/>
        <v>211.20000000000002</v>
      </c>
      <c r="T30" s="3056" t="s">
        <v>3148</v>
      </c>
      <c r="U30" s="3056">
        <v>34.799999999999997</v>
      </c>
      <c r="V30" s="3047"/>
      <c r="W30" s="3074">
        <v>652.79</v>
      </c>
      <c r="X30" s="3070"/>
      <c r="Y30" s="3058">
        <f t="shared" si="2"/>
        <v>66</v>
      </c>
      <c r="Z30" s="3071"/>
      <c r="AA30" s="3071"/>
      <c r="AB30" s="3071"/>
      <c r="AC30" s="3071"/>
      <c r="AD30" s="3071"/>
      <c r="AE30" s="3071"/>
      <c r="AF30" s="3071"/>
      <c r="AG30" s="3071"/>
      <c r="AH30" s="3072">
        <v>3</v>
      </c>
      <c r="AI30" s="3072">
        <v>37</v>
      </c>
      <c r="AJ30" s="3072">
        <v>20</v>
      </c>
      <c r="AK30" s="3072">
        <v>6</v>
      </c>
      <c r="AL30" s="3071"/>
      <c r="AM30" s="3071"/>
      <c r="AN30" s="3071"/>
      <c r="AO30" s="3071"/>
      <c r="AP30" s="3071"/>
      <c r="AQ30" s="3071"/>
      <c r="AR30" s="3071"/>
    </row>
    <row r="31" spans="1:44">
      <c r="K31" s="3045"/>
      <c r="L31" s="3806" t="s">
        <v>3207</v>
      </c>
      <c r="M31" s="3806"/>
      <c r="N31" s="3067">
        <f t="shared" si="0"/>
        <v>7547.8499999999995</v>
      </c>
      <c r="O31" s="3124">
        <f>O30</f>
        <v>7320.2</v>
      </c>
      <c r="P31" s="3082">
        <v>227.65</v>
      </c>
      <c r="Q31" s="3063">
        <v>681.43</v>
      </c>
      <c r="R31" s="3068">
        <f>11*2*3</f>
        <v>66</v>
      </c>
      <c r="S31" s="3068">
        <f t="shared" si="1"/>
        <v>211.20000000000002</v>
      </c>
      <c r="T31" s="3056" t="s">
        <v>3148</v>
      </c>
      <c r="U31" s="3056">
        <v>34.799999999999997</v>
      </c>
      <c r="V31" s="3047"/>
      <c r="W31" s="3074">
        <v>652.79</v>
      </c>
      <c r="X31" s="3070"/>
      <c r="Y31" s="3058">
        <f t="shared" si="2"/>
        <v>66</v>
      </c>
      <c r="Z31" s="3071"/>
      <c r="AA31" s="3071"/>
      <c r="AB31" s="3071"/>
      <c r="AC31" s="3071"/>
      <c r="AD31" s="3071"/>
      <c r="AE31" s="3071"/>
      <c r="AF31" s="3071"/>
      <c r="AG31" s="3071"/>
      <c r="AH31" s="3072">
        <v>3</v>
      </c>
      <c r="AI31" s="3072">
        <v>37</v>
      </c>
      <c r="AJ31" s="3072">
        <v>20</v>
      </c>
      <c r="AK31" s="3072">
        <v>6</v>
      </c>
      <c r="AL31" s="3071"/>
      <c r="AM31" s="3071"/>
      <c r="AN31" s="3071"/>
      <c r="AO31" s="3071"/>
      <c r="AP31" s="3071"/>
      <c r="AQ31" s="3071"/>
      <c r="AR31" s="3071"/>
    </row>
    <row r="32" spans="1:44">
      <c r="K32" s="3045"/>
      <c r="L32" s="3808" t="s">
        <v>3208</v>
      </c>
      <c r="M32" s="3808"/>
      <c r="N32" s="3102">
        <f>O32+P32</f>
        <v>11515.29</v>
      </c>
      <c r="O32" s="3103">
        <f>O33+O34+O35</f>
        <v>11255.660000000002</v>
      </c>
      <c r="P32" s="3103">
        <v>259.63</v>
      </c>
      <c r="Q32" s="3100">
        <v>1229.8800000000001</v>
      </c>
      <c r="R32" s="3104">
        <v>126</v>
      </c>
      <c r="S32" s="3104">
        <f>R32*3.2</f>
        <v>403.20000000000005</v>
      </c>
      <c r="T32" s="3105" t="s">
        <v>3148</v>
      </c>
      <c r="U32" s="3105">
        <v>34.950000000000003</v>
      </c>
      <c r="V32" s="3106"/>
      <c r="W32" s="3056">
        <v>1000.12</v>
      </c>
      <c r="X32" s="3070"/>
      <c r="Y32" s="3058">
        <f>SUM(Z32:AL32)</f>
        <v>126</v>
      </c>
      <c r="Z32" s="3071">
        <v>30</v>
      </c>
      <c r="AA32" s="3071">
        <v>10</v>
      </c>
      <c r="AB32" s="3071">
        <v>10</v>
      </c>
      <c r="AC32" s="3071">
        <v>10</v>
      </c>
      <c r="AD32" s="3071">
        <v>3</v>
      </c>
      <c r="AE32" s="3071">
        <v>47</v>
      </c>
      <c r="AF32" s="3071">
        <v>10</v>
      </c>
      <c r="AG32" s="3071">
        <v>6</v>
      </c>
      <c r="AH32" s="3072"/>
      <c r="AI32" s="3072"/>
      <c r="AJ32" s="3072"/>
      <c r="AK32" s="3072"/>
      <c r="AL32" s="3071"/>
      <c r="AM32" s="3071"/>
      <c r="AN32" s="3071"/>
      <c r="AO32" s="3071"/>
      <c r="AP32" s="3071"/>
      <c r="AQ32" s="3071"/>
      <c r="AR32" s="3071"/>
    </row>
    <row r="33" spans="3:44">
      <c r="K33" s="3045"/>
      <c r="L33" s="3808" t="s">
        <v>3151</v>
      </c>
      <c r="M33" s="3100" t="s">
        <v>3152</v>
      </c>
      <c r="N33" s="3102"/>
      <c r="O33" s="3103">
        <v>10117.370000000001</v>
      </c>
      <c r="P33" s="3103"/>
      <c r="Q33" s="3100"/>
      <c r="R33" s="3104"/>
      <c r="S33" s="3104"/>
      <c r="T33" s="3105"/>
      <c r="U33" s="3105"/>
      <c r="V33" s="3106"/>
      <c r="W33" s="3074"/>
      <c r="X33" s="3070"/>
      <c r="Y33" s="3058"/>
      <c r="Z33" s="3071"/>
      <c r="AA33" s="3071"/>
      <c r="AB33" s="3071"/>
      <c r="AC33" s="3071"/>
      <c r="AD33" s="3071"/>
      <c r="AE33" s="3071"/>
      <c r="AF33" s="3071"/>
      <c r="AG33" s="3071"/>
      <c r="AH33" s="3072"/>
      <c r="AI33" s="3072"/>
      <c r="AJ33" s="3072"/>
      <c r="AK33" s="3072"/>
      <c r="AL33" s="3071"/>
      <c r="AM33" s="3071"/>
      <c r="AN33" s="3071"/>
      <c r="AO33" s="3071"/>
      <c r="AP33" s="3071"/>
      <c r="AQ33" s="3071"/>
      <c r="AR33" s="3071"/>
    </row>
    <row r="34" spans="3:44">
      <c r="K34" s="3101"/>
      <c r="L34" s="3808"/>
      <c r="M34" s="3100" t="s">
        <v>3154</v>
      </c>
      <c r="N34" s="3102"/>
      <c r="O34" s="3103">
        <v>754.12</v>
      </c>
      <c r="P34" s="3103"/>
      <c r="Q34" s="3100"/>
      <c r="R34" s="3104"/>
      <c r="S34" s="3104"/>
      <c r="T34" s="3105"/>
      <c r="U34" s="3105"/>
      <c r="V34" s="3106"/>
      <c r="X34" s="3070"/>
      <c r="Y34" s="3058"/>
      <c r="Z34" s="3071"/>
      <c r="AA34" s="3071"/>
      <c r="AB34" s="3071"/>
      <c r="AC34" s="3071"/>
      <c r="AD34" s="3071"/>
      <c r="AE34" s="3071"/>
      <c r="AF34" s="3071"/>
      <c r="AG34" s="3071"/>
      <c r="AH34" s="3072"/>
      <c r="AI34" s="3072"/>
      <c r="AJ34" s="3072"/>
      <c r="AK34" s="3072"/>
      <c r="AL34" s="3071"/>
      <c r="AM34" s="3071"/>
      <c r="AN34" s="3071"/>
      <c r="AO34" s="3071"/>
    </row>
    <row r="35" spans="3:44">
      <c r="K35" s="3059"/>
      <c r="L35" s="3808"/>
      <c r="M35" s="3100" t="s">
        <v>3157</v>
      </c>
      <c r="N35" s="3102"/>
      <c r="O35" s="3103">
        <v>384.17</v>
      </c>
      <c r="P35" s="3103"/>
      <c r="Q35" s="3100"/>
      <c r="R35" s="3104"/>
      <c r="S35" s="3104"/>
      <c r="T35" s="3105"/>
      <c r="U35" s="3105"/>
      <c r="V35" s="3106" t="s">
        <v>3267</v>
      </c>
      <c r="X35" s="3070"/>
      <c r="Y35" s="3058"/>
      <c r="Z35" s="3071"/>
      <c r="AA35" s="3071"/>
      <c r="AB35" s="3071"/>
      <c r="AC35" s="3071"/>
      <c r="AD35" s="3071"/>
      <c r="AE35" s="3071"/>
      <c r="AF35" s="3071"/>
      <c r="AG35" s="3071"/>
      <c r="AH35" s="3072"/>
      <c r="AI35" s="3072"/>
      <c r="AJ35" s="3072"/>
      <c r="AK35" s="3072"/>
      <c r="AL35" s="3071"/>
      <c r="AM35" s="3071"/>
      <c r="AN35" s="3071"/>
      <c r="AO35" s="3071"/>
    </row>
    <row r="36" spans="3:44">
      <c r="K36" s="3059"/>
      <c r="L36" s="3100"/>
      <c r="M36" s="3100"/>
      <c r="N36" s="3102"/>
      <c r="O36" s="3103"/>
      <c r="P36" s="3103"/>
      <c r="Q36" s="3100"/>
      <c r="R36" s="3104"/>
      <c r="S36" s="3104"/>
      <c r="T36" s="3105"/>
      <c r="U36" s="3105"/>
      <c r="V36" s="3106"/>
      <c r="X36" s="3044" t="s">
        <v>3209</v>
      </c>
      <c r="Y36" s="3058">
        <f t="shared" si="2"/>
        <v>566</v>
      </c>
      <c r="Z36" s="3058">
        <f>SUM(Z6:Z33)</f>
        <v>30</v>
      </c>
      <c r="AA36" s="3058">
        <f>SUM(AA6:AA32)</f>
        <v>10</v>
      </c>
      <c r="AB36" s="3058">
        <f t="shared" ref="AB36:AG36" si="3">SUM(AB6:AB33)</f>
        <v>10</v>
      </c>
      <c r="AC36" s="3058">
        <f t="shared" si="3"/>
        <v>10</v>
      </c>
      <c r="AD36" s="3058">
        <f t="shared" si="3"/>
        <v>3</v>
      </c>
      <c r="AE36" s="3058">
        <f t="shared" si="3"/>
        <v>47</v>
      </c>
      <c r="AF36" s="3058">
        <f t="shared" si="3"/>
        <v>10</v>
      </c>
      <c r="AG36" s="3058">
        <f t="shared" si="3"/>
        <v>6</v>
      </c>
      <c r="AH36" s="3058">
        <f>SUM(AH6:AH31)</f>
        <v>24</v>
      </c>
      <c r="AI36" s="3058">
        <f>SUM(AI6:AI31)</f>
        <v>260</v>
      </c>
      <c r="AJ36" s="3058">
        <f>SUM(AJ6:AJ31)</f>
        <v>116</v>
      </c>
      <c r="AK36" s="3058">
        <f>SUM(AK6:AK31)</f>
        <v>40</v>
      </c>
      <c r="AL36" s="3071">
        <f>SUM(AL6:AL31)</f>
        <v>0</v>
      </c>
      <c r="AM36" s="3071">
        <f t="shared" ref="AM36:AO36" si="4">SUM(AM6:AM32)</f>
        <v>0</v>
      </c>
      <c r="AN36" s="3071">
        <f t="shared" si="4"/>
        <v>0</v>
      </c>
      <c r="AO36" s="3071">
        <f t="shared" si="4"/>
        <v>0</v>
      </c>
    </row>
    <row r="37" spans="3:44">
      <c r="K37" s="3107" t="s">
        <v>3209</v>
      </c>
      <c r="L37" s="3107"/>
      <c r="M37" s="3107"/>
      <c r="N37" s="3108">
        <f>SUM(N6:N31)</f>
        <v>50105.79</v>
      </c>
      <c r="O37" s="3109">
        <f>O23+O27+O28+O29+O30+O31+O32</f>
        <v>59867.24</v>
      </c>
      <c r="P37" s="3109">
        <f>SUM(P8:P32)</f>
        <v>1753.8400000000001</v>
      </c>
      <c r="Q37" s="3058">
        <f>SUM(Q6:Q31)</f>
        <v>4529.5</v>
      </c>
      <c r="R37" s="3110">
        <f>SUM(R8:R32)</f>
        <v>566</v>
      </c>
      <c r="S37" s="3110">
        <f>SUM(S8:S31)</f>
        <v>1408</v>
      </c>
      <c r="T37" s="3058"/>
      <c r="U37" s="3058"/>
      <c r="V37" s="3058"/>
      <c r="W37" s="3111">
        <f>SUM(W6:W36)</f>
        <v>5343.86</v>
      </c>
      <c r="Y37" s="3058" t="s">
        <v>3210</v>
      </c>
      <c r="Z37" s="3112">
        <f>Z36/Y36</f>
        <v>5.3003533568904596E-2</v>
      </c>
      <c r="AA37" s="3112">
        <f>AA36/Y36</f>
        <v>1.7667844522968199E-2</v>
      </c>
      <c r="AB37" s="3112">
        <f>AB36/Y36</f>
        <v>1.7667844522968199E-2</v>
      </c>
      <c r="AC37" s="3112">
        <f>AC36/Y36</f>
        <v>1.7667844522968199E-2</v>
      </c>
      <c r="AD37" s="3112"/>
      <c r="AE37" s="3112">
        <f>AE36/Y36</f>
        <v>8.3038869257950523E-2</v>
      </c>
      <c r="AF37" s="3112">
        <f>AF36/Y36</f>
        <v>1.7667844522968199E-2</v>
      </c>
      <c r="AG37" s="3112">
        <f>AG36/Y36</f>
        <v>1.0600706713780919E-2</v>
      </c>
      <c r="AH37" s="3112">
        <f>AH36/Y36</f>
        <v>4.2402826855123678E-2</v>
      </c>
      <c r="AI37" s="3112">
        <f>AI36/Y36</f>
        <v>0.45936395759717313</v>
      </c>
      <c r="AJ37" s="3112">
        <f>AJ36/Y36</f>
        <v>0.20494699646643111</v>
      </c>
      <c r="AK37" s="3112">
        <f>AK36/Y36</f>
        <v>7.0671378091872794E-2</v>
      </c>
    </row>
    <row r="39" spans="3:44">
      <c r="C39" s="3606" t="s">
        <v>3211</v>
      </c>
      <c r="D39" s="3607"/>
      <c r="E39" s="3607"/>
      <c r="F39" s="3607"/>
      <c r="G39" s="3607"/>
    </row>
    <row r="40" spans="3:44">
      <c r="C40" s="3113"/>
      <c r="D40" s="3113"/>
      <c r="E40" s="3114" t="s">
        <v>3214</v>
      </c>
      <c r="F40" s="3059" t="s">
        <v>3215</v>
      </c>
      <c r="G40" s="3059" t="s">
        <v>3216</v>
      </c>
    </row>
    <row r="41" spans="3:44">
      <c r="C41" s="3612" t="s">
        <v>3217</v>
      </c>
      <c r="D41" s="3115" t="s">
        <v>3218</v>
      </c>
      <c r="E41" s="3116">
        <f>O6</f>
        <v>0</v>
      </c>
      <c r="F41" s="3059"/>
      <c r="G41" s="3059"/>
    </row>
    <row r="42" spans="3:44">
      <c r="C42" s="3613"/>
      <c r="D42" s="3115" t="s">
        <v>3268</v>
      </c>
      <c r="E42" s="3116"/>
      <c r="F42" s="3059"/>
      <c r="G42" s="3059"/>
      <c r="L42" s="3809" t="s">
        <v>3220</v>
      </c>
      <c r="M42" s="3810"/>
      <c r="N42" s="3063">
        <f>SUM(N43:N47)</f>
        <v>16970.91</v>
      </c>
      <c r="O42" s="3063"/>
      <c r="P42" s="3063"/>
      <c r="Q42" s="3063"/>
      <c r="R42" s="3068"/>
      <c r="S42" s="3068"/>
      <c r="T42" s="3063"/>
      <c r="U42" s="3063"/>
    </row>
    <row r="43" spans="3:44">
      <c r="C43" s="3615" t="s">
        <v>3269</v>
      </c>
      <c r="D43" s="3115" t="s">
        <v>3270</v>
      </c>
      <c r="E43" s="3714">
        <f>G15</f>
        <v>754.12</v>
      </c>
      <c r="F43" s="3059"/>
      <c r="G43" s="3059"/>
      <c r="L43" s="3811" t="s">
        <v>3149</v>
      </c>
      <c r="M43" s="3117" t="s">
        <v>3223</v>
      </c>
      <c r="N43" s="3063"/>
      <c r="O43" s="3063"/>
      <c r="P43" s="3063"/>
      <c r="Q43" s="3063"/>
      <c r="R43" s="3068"/>
      <c r="S43" s="3068"/>
      <c r="T43" s="3063"/>
      <c r="U43" s="3063"/>
    </row>
    <row r="44" spans="3:44">
      <c r="C44" s="3615"/>
      <c r="D44" s="3115" t="s">
        <v>3224</v>
      </c>
      <c r="E44" s="3715"/>
      <c r="F44" s="3059"/>
      <c r="G44" s="3059"/>
      <c r="L44" s="3812"/>
      <c r="M44" s="3117" t="s">
        <v>3225</v>
      </c>
      <c r="N44" s="3063"/>
      <c r="O44" s="3063"/>
      <c r="P44" s="3063"/>
      <c r="Q44" s="3063"/>
      <c r="R44" s="3068"/>
      <c r="S44" s="3068"/>
      <c r="T44" s="3063"/>
      <c r="U44" s="3063"/>
    </row>
    <row r="45" spans="3:44">
      <c r="C45" s="3615"/>
      <c r="D45" s="3115" t="s">
        <v>3226</v>
      </c>
      <c r="E45" s="3715"/>
      <c r="F45" s="3059"/>
      <c r="G45" s="3059"/>
      <c r="L45" s="3812"/>
      <c r="M45" s="3117" t="s">
        <v>3227</v>
      </c>
      <c r="N45" s="3063"/>
      <c r="O45" s="3063"/>
      <c r="P45" s="3063"/>
      <c r="Q45" s="3063"/>
      <c r="R45" s="3068"/>
      <c r="S45" s="3068"/>
      <c r="T45" s="3063"/>
      <c r="U45" s="3063"/>
    </row>
    <row r="46" spans="3:44">
      <c r="C46" s="3615"/>
      <c r="D46" s="3115" t="s">
        <v>3228</v>
      </c>
      <c r="E46" s="3715"/>
      <c r="F46" s="3059"/>
      <c r="G46" s="3059"/>
      <c r="L46" s="3812"/>
      <c r="M46" s="3117" t="s">
        <v>3229</v>
      </c>
      <c r="N46" s="3063"/>
      <c r="O46" s="3063"/>
      <c r="P46" s="3063"/>
      <c r="Q46" s="3063"/>
      <c r="R46" s="3068"/>
      <c r="S46" s="3068"/>
      <c r="T46" s="3063"/>
      <c r="U46" s="3063"/>
    </row>
    <row r="47" spans="3:44">
      <c r="C47" s="3615"/>
      <c r="D47" s="3115" t="s">
        <v>3230</v>
      </c>
      <c r="E47" s="3716"/>
      <c r="F47" s="3059"/>
      <c r="G47" s="3059"/>
      <c r="L47" s="3813"/>
      <c r="M47" s="3117" t="s">
        <v>48</v>
      </c>
      <c r="N47" s="3118">
        <v>16970.91</v>
      </c>
      <c r="O47" s="3063"/>
      <c r="P47" s="3063"/>
      <c r="Q47" s="3063"/>
      <c r="R47" s="3068"/>
      <c r="S47" s="3068"/>
      <c r="T47" s="3063"/>
      <c r="U47" s="3063"/>
    </row>
    <row r="48" spans="3:44">
      <c r="C48" s="3113"/>
      <c r="D48" s="3113"/>
      <c r="E48" s="3116"/>
      <c r="F48" s="3059"/>
      <c r="G48" s="3059"/>
    </row>
    <row r="49" spans="3:15">
      <c r="C49" s="3084" t="s">
        <v>3231</v>
      </c>
      <c r="D49" s="3119" t="s">
        <v>3232</v>
      </c>
      <c r="E49" s="3116"/>
      <c r="F49" s="3059"/>
      <c r="G49" s="3059"/>
    </row>
    <row r="50" spans="3:15">
      <c r="C50" s="3115"/>
      <c r="D50" s="3120"/>
      <c r="E50" s="3120"/>
      <c r="F50" s="3059"/>
      <c r="G50" s="3059"/>
      <c r="N50" s="3065" t="e">
        <f>N42+#REF!</f>
        <v>#REF!</v>
      </c>
    </row>
    <row r="51" spans="3:15">
      <c r="C51" s="3605" t="s">
        <v>3233</v>
      </c>
      <c r="D51" s="3119" t="s">
        <v>3234</v>
      </c>
      <c r="E51" s="3116"/>
      <c r="F51" s="3059"/>
      <c r="G51" s="3059"/>
      <c r="N51" s="3044">
        <v>8000</v>
      </c>
      <c r="O51" s="3044" t="e">
        <f>N51/N50</f>
        <v>#REF!</v>
      </c>
    </row>
    <row r="52" spans="3:15">
      <c r="C52" s="3605"/>
      <c r="D52" s="3115" t="s">
        <v>3235</v>
      </c>
      <c r="E52" s="3116"/>
      <c r="F52" s="3059"/>
      <c r="G52" s="3059"/>
    </row>
    <row r="53" spans="3:15">
      <c r="C53" s="3121"/>
      <c r="D53" s="3113"/>
      <c r="E53" s="3116"/>
      <c r="F53" s="3059"/>
      <c r="G53" s="3059"/>
    </row>
    <row r="54" spans="3:15">
      <c r="C54" s="3113"/>
      <c r="D54" s="3113"/>
      <c r="E54" s="3116"/>
      <c r="F54" s="3059"/>
      <c r="G54" s="3059"/>
    </row>
    <row r="55" spans="3:15">
      <c r="C55" s="3620" t="s">
        <v>3236</v>
      </c>
      <c r="D55" s="3119" t="s">
        <v>3271</v>
      </c>
      <c r="E55" s="3622"/>
      <c r="F55" s="3059"/>
      <c r="G55" s="3059"/>
    </row>
    <row r="56" spans="3:15">
      <c r="C56" s="3621"/>
      <c r="D56" s="3119" t="s">
        <v>3272</v>
      </c>
      <c r="E56" s="3618"/>
      <c r="F56" s="3059"/>
      <c r="G56" s="3059"/>
    </row>
    <row r="57" spans="3:15">
      <c r="C57" s="3113"/>
      <c r="D57" s="3113"/>
      <c r="E57" s="3116"/>
      <c r="F57" s="3059"/>
      <c r="G57" s="3059"/>
    </row>
    <row r="58" spans="3:15">
      <c r="C58" s="3620" t="s">
        <v>3273</v>
      </c>
      <c r="D58" s="3119" t="s">
        <v>3274</v>
      </c>
      <c r="E58" s="3116">
        <v>384.17</v>
      </c>
      <c r="F58" s="3059"/>
      <c r="G58" s="3059"/>
    </row>
    <row r="59" spans="3:15">
      <c r="C59" s="3623"/>
      <c r="D59" s="3119" t="s">
        <v>3275</v>
      </c>
      <c r="E59" s="3116"/>
      <c r="F59" s="3059"/>
      <c r="G59" s="3059"/>
    </row>
    <row r="60" spans="3:15">
      <c r="C60" s="3623"/>
      <c r="D60" s="3119" t="s">
        <v>3276</v>
      </c>
      <c r="E60" s="3116"/>
      <c r="F60" s="3059"/>
      <c r="G60" s="3059"/>
    </row>
    <row r="61" spans="3:15">
      <c r="C61" s="3623"/>
      <c r="D61" s="3119" t="s">
        <v>3277</v>
      </c>
      <c r="E61" s="3116"/>
      <c r="F61" s="3059"/>
      <c r="G61" s="3059"/>
    </row>
    <row r="62" spans="3:15">
      <c r="C62" s="3621"/>
      <c r="D62" s="3115" t="s">
        <v>3278</v>
      </c>
      <c r="E62" s="3116">
        <v>0</v>
      </c>
      <c r="F62" s="3059"/>
      <c r="G62" s="3059"/>
    </row>
    <row r="63" spans="3:15">
      <c r="C63" s="3615" t="s">
        <v>3279</v>
      </c>
      <c r="D63" s="3115" t="s">
        <v>3280</v>
      </c>
      <c r="E63" s="3116"/>
      <c r="F63" s="3059"/>
      <c r="G63" s="3059"/>
    </row>
    <row r="64" spans="3:15">
      <c r="C64" s="3615"/>
      <c r="D64" s="3119" t="s">
        <v>3281</v>
      </c>
      <c r="E64" s="3116"/>
      <c r="F64" s="3059"/>
      <c r="G64" s="3059"/>
    </row>
    <row r="65" spans="3:7">
      <c r="C65" s="3615"/>
      <c r="D65" s="3119" t="s">
        <v>3282</v>
      </c>
      <c r="E65" s="3116"/>
      <c r="F65" s="3059"/>
      <c r="G65" s="3059"/>
    </row>
    <row r="66" spans="3:7">
      <c r="C66" s="3615"/>
      <c r="D66" s="3115" t="s">
        <v>3283</v>
      </c>
      <c r="E66" s="3116"/>
      <c r="F66" s="3059"/>
      <c r="G66" s="3059"/>
    </row>
    <row r="67" spans="3:7">
      <c r="C67" s="3615"/>
      <c r="D67" s="3115" t="s">
        <v>3284</v>
      </c>
      <c r="E67" s="3116"/>
      <c r="F67" s="3059"/>
      <c r="G67" s="3059"/>
    </row>
    <row r="68" spans="3:7">
      <c r="C68" s="3615"/>
      <c r="D68" s="3115"/>
      <c r="E68" s="3116"/>
      <c r="F68" s="3059"/>
      <c r="G68" s="3059"/>
    </row>
    <row r="69" spans="3:7">
      <c r="C69" s="3615"/>
      <c r="D69" s="3115" t="s">
        <v>3285</v>
      </c>
      <c r="E69" s="3116"/>
      <c r="F69" s="3059"/>
      <c r="G69" s="3059"/>
    </row>
    <row r="70" spans="3:7">
      <c r="C70" s="3615"/>
      <c r="D70" s="3115" t="s">
        <v>3286</v>
      </c>
      <c r="E70" s="3116"/>
      <c r="F70" s="3059"/>
      <c r="G70" s="3059"/>
    </row>
    <row r="71" spans="3:7">
      <c r="C71" s="3615"/>
      <c r="D71" s="3115" t="s">
        <v>3287</v>
      </c>
      <c r="E71" s="3116"/>
      <c r="F71" s="3059"/>
      <c r="G71" s="3059"/>
    </row>
    <row r="72" spans="3:7">
      <c r="C72" s="3615"/>
      <c r="D72" s="3115" t="s">
        <v>3288</v>
      </c>
      <c r="E72" s="3116"/>
      <c r="F72" s="3059"/>
      <c r="G72" s="3059"/>
    </row>
    <row r="73" spans="3:7">
      <c r="C73" s="3615"/>
      <c r="D73" s="3115" t="s">
        <v>3289</v>
      </c>
      <c r="E73" s="3116"/>
      <c r="F73" s="3059"/>
      <c r="G73" s="3059"/>
    </row>
    <row r="74" spans="3:7">
      <c r="C74" s="3058" t="s">
        <v>3209</v>
      </c>
      <c r="D74" s="3058"/>
      <c r="E74" s="3058">
        <f>SUM(E41:E73)</f>
        <v>1138.29</v>
      </c>
      <c r="F74" s="3058"/>
      <c r="G74" s="3059"/>
    </row>
    <row r="75" spans="3:7">
      <c r="C75" s="3120"/>
      <c r="D75" s="3120"/>
      <c r="E75" s="3120"/>
    </row>
    <row r="76" spans="3:7">
      <c r="C76" s="3122" t="s">
        <v>3290</v>
      </c>
      <c r="D76" s="3123" t="s">
        <v>3291</v>
      </c>
      <c r="E76" s="3120"/>
    </row>
  </sheetData>
  <mergeCells count="61">
    <mergeCell ref="C55:C56"/>
    <mergeCell ref="E55:E56"/>
    <mergeCell ref="C58:C62"/>
    <mergeCell ref="C63:C73"/>
    <mergeCell ref="C41:C42"/>
    <mergeCell ref="L42:M42"/>
    <mergeCell ref="C43:C47"/>
    <mergeCell ref="E43:E47"/>
    <mergeCell ref="L43:L47"/>
    <mergeCell ref="C51:C52"/>
    <mergeCell ref="C39:G39"/>
    <mergeCell ref="C27:C28"/>
    <mergeCell ref="D27:D28"/>
    <mergeCell ref="E27:F27"/>
    <mergeCell ref="L27:M27"/>
    <mergeCell ref="E28:F28"/>
    <mergeCell ref="L28:M28"/>
    <mergeCell ref="L29:M29"/>
    <mergeCell ref="L30:M30"/>
    <mergeCell ref="L31:M31"/>
    <mergeCell ref="L32:M32"/>
    <mergeCell ref="L33:L35"/>
    <mergeCell ref="D24:F24"/>
    <mergeCell ref="L24:M24"/>
    <mergeCell ref="D25:F25"/>
    <mergeCell ref="L25:L26"/>
    <mergeCell ref="D26:F26"/>
    <mergeCell ref="D21:F21"/>
    <mergeCell ref="L21:M21"/>
    <mergeCell ref="D22:F22"/>
    <mergeCell ref="L22:M22"/>
    <mergeCell ref="D23:F23"/>
    <mergeCell ref="L23:M23"/>
    <mergeCell ref="E14:F14"/>
    <mergeCell ref="E15:F15"/>
    <mergeCell ref="E16:F16"/>
    <mergeCell ref="L16:M16"/>
    <mergeCell ref="D20:F20"/>
    <mergeCell ref="L20:M20"/>
    <mergeCell ref="D8:F8"/>
    <mergeCell ref="L8:M8"/>
    <mergeCell ref="C9:C19"/>
    <mergeCell ref="D9:F9"/>
    <mergeCell ref="L9:L11"/>
    <mergeCell ref="D10:D16"/>
    <mergeCell ref="E10:F10"/>
    <mergeCell ref="E11:E12"/>
    <mergeCell ref="L12:M12"/>
    <mergeCell ref="E13:F13"/>
    <mergeCell ref="D17:F17"/>
    <mergeCell ref="L17:L19"/>
    <mergeCell ref="D18:D19"/>
    <mergeCell ref="E18:F18"/>
    <mergeCell ref="E19:F19"/>
    <mergeCell ref="L13:L15"/>
    <mergeCell ref="C5:I5"/>
    <mergeCell ref="L5:M5"/>
    <mergeCell ref="D6:F6"/>
    <mergeCell ref="L6:M6"/>
    <mergeCell ref="D7:F7"/>
    <mergeCell ref="L7:M7"/>
  </mergeCells>
  <phoneticPr fontId="142"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R76"/>
  <sheetViews>
    <sheetView zoomScale="85" zoomScaleNormal="85" workbookViewId="0">
      <selection activeCell="M18" sqref="M18:O18"/>
    </sheetView>
  </sheetViews>
  <sheetFormatPr defaultRowHeight="13.5"/>
  <cols>
    <col min="1" max="1" width="9" style="3044"/>
    <col min="2" max="2" width="9.5" style="3044" bestFit="1" customWidth="1"/>
    <col min="3" max="3" width="9" style="3044"/>
    <col min="4" max="4" width="21.25" style="3044" customWidth="1"/>
    <col min="5" max="5" width="18.5" style="3044" customWidth="1"/>
    <col min="6" max="6" width="15" style="3044" customWidth="1"/>
    <col min="7" max="7" width="20" style="3044" customWidth="1"/>
    <col min="8" max="8" width="9" style="3044"/>
    <col min="9" max="9" width="13.625" style="3044" customWidth="1"/>
    <col min="10" max="10" width="13.25" style="3044" customWidth="1"/>
    <col min="11" max="12" width="9" style="3044"/>
    <col min="13" max="13" width="17.625" style="3044" customWidth="1"/>
    <col min="14" max="14" width="14.875" style="3044" customWidth="1"/>
    <col min="15" max="15" width="13.125" style="3044" customWidth="1"/>
    <col min="16" max="16" width="13.875" style="3044" customWidth="1"/>
    <col min="17" max="21" width="9" style="3044"/>
    <col min="22" max="22" width="36.875" style="3044" customWidth="1"/>
    <col min="23" max="23" width="12.75" style="3044" bestFit="1" customWidth="1"/>
    <col min="24" max="25" width="9" style="3044"/>
    <col min="26" max="26" width="10.5" style="3044" customWidth="1"/>
    <col min="27" max="27" width="11.5" style="3044" customWidth="1"/>
    <col min="28" max="28" width="10.25" style="3044" customWidth="1"/>
    <col min="29" max="29" width="9.625" style="3044" customWidth="1"/>
    <col min="30" max="30" width="17.25" style="3044" customWidth="1"/>
    <col min="31" max="33" width="9" style="3044"/>
    <col min="34" max="34" width="21.5" style="3044" customWidth="1"/>
    <col min="35" max="37" width="9" style="3044"/>
    <col min="38" max="38" width="20.625" style="3044" customWidth="1"/>
    <col min="39" max="16384" width="9" style="3044"/>
  </cols>
  <sheetData>
    <row r="4" spans="1:44">
      <c r="Y4" s="3044" t="s">
        <v>3052</v>
      </c>
    </row>
    <row r="5" spans="1:44" ht="40.5">
      <c r="C5" s="3802" t="s">
        <v>3100</v>
      </c>
      <c r="D5" s="3803"/>
      <c r="E5" s="3803"/>
      <c r="F5" s="3803"/>
      <c r="G5" s="3803"/>
      <c r="H5" s="3803"/>
      <c r="I5" s="3804"/>
      <c r="K5" s="3045"/>
      <c r="L5" s="3805" t="s">
        <v>3101</v>
      </c>
      <c r="M5" s="3805"/>
      <c r="N5" s="3046" t="s">
        <v>3102</v>
      </c>
      <c r="O5" s="3046" t="s">
        <v>3103</v>
      </c>
      <c r="P5" s="3046" t="s">
        <v>3104</v>
      </c>
      <c r="Q5" s="3046" t="s">
        <v>3105</v>
      </c>
      <c r="R5" s="3047" t="s">
        <v>3106</v>
      </c>
      <c r="S5" s="3047" t="s">
        <v>3107</v>
      </c>
      <c r="T5" s="3047" t="s">
        <v>3108</v>
      </c>
      <c r="U5" s="3046" t="s">
        <v>3109</v>
      </c>
      <c r="V5" s="3047" t="s">
        <v>3110</v>
      </c>
      <c r="W5" s="3048" t="s">
        <v>3111</v>
      </c>
      <c r="X5" s="3049"/>
      <c r="Y5" s="3050" t="s">
        <v>3112</v>
      </c>
      <c r="Z5" s="3051" t="s">
        <v>3113</v>
      </c>
      <c r="AA5" s="3051" t="s">
        <v>3114</v>
      </c>
      <c r="AB5" s="3051" t="s">
        <v>3115</v>
      </c>
      <c r="AC5" s="3051" t="s">
        <v>3116</v>
      </c>
      <c r="AD5" s="3052" t="s">
        <v>3117</v>
      </c>
      <c r="AE5" s="3052" t="s">
        <v>3118</v>
      </c>
      <c r="AF5" s="3052" t="s">
        <v>3119</v>
      </c>
      <c r="AG5" s="3052" t="s">
        <v>3120</v>
      </c>
      <c r="AH5" s="3053" t="s">
        <v>3121</v>
      </c>
      <c r="AI5" s="3053" t="s">
        <v>3122</v>
      </c>
      <c r="AJ5" s="3053" t="s">
        <v>3123</v>
      </c>
      <c r="AK5" s="3053" t="s">
        <v>3124</v>
      </c>
      <c r="AL5" s="3054" t="s">
        <v>3125</v>
      </c>
      <c r="AM5" s="3054" t="s">
        <v>3126</v>
      </c>
      <c r="AN5" s="3054" t="s">
        <v>3127</v>
      </c>
      <c r="AO5" s="3054" t="s">
        <v>3128</v>
      </c>
      <c r="AP5" s="3054" t="s">
        <v>3129</v>
      </c>
      <c r="AQ5" s="3054" t="s">
        <v>3130</v>
      </c>
      <c r="AR5" s="3054" t="s">
        <v>3131</v>
      </c>
    </row>
    <row r="6" spans="1:44">
      <c r="A6" s="3044" t="s">
        <v>3132</v>
      </c>
      <c r="B6" s="3044" t="s">
        <v>3133</v>
      </c>
      <c r="C6" s="3055" t="s">
        <v>3134</v>
      </c>
      <c r="D6" s="3700" t="s">
        <v>3135</v>
      </c>
      <c r="E6" s="3700"/>
      <c r="F6" s="3700"/>
      <c r="G6" s="3055" t="s">
        <v>3136</v>
      </c>
      <c r="H6" s="3055" t="s">
        <v>3137</v>
      </c>
      <c r="I6" s="3055" t="s">
        <v>3110</v>
      </c>
      <c r="K6" s="3045"/>
      <c r="L6" s="3806" t="s">
        <v>3138</v>
      </c>
      <c r="M6" s="3806"/>
      <c r="N6" s="3056">
        <f>O6</f>
        <v>6138.5300000000007</v>
      </c>
      <c r="O6" s="3056">
        <f>6176.56-38.03</f>
        <v>6138.5300000000007</v>
      </c>
      <c r="P6" s="3056" t="s">
        <v>70</v>
      </c>
      <c r="Q6" s="3056">
        <v>1872.94</v>
      </c>
      <c r="R6" s="3056" t="s">
        <v>70</v>
      </c>
      <c r="S6" s="3056" t="s">
        <v>70</v>
      </c>
      <c r="T6" s="3056" t="s">
        <v>3139</v>
      </c>
      <c r="U6" s="3056">
        <v>13.5</v>
      </c>
      <c r="V6" s="3047"/>
      <c r="W6" s="3057">
        <v>122.77</v>
      </c>
      <c r="Y6" s="3058">
        <f t="shared" ref="Y6:Y22" si="0">SUM(Z6:AR6)</f>
        <v>0</v>
      </c>
      <c r="Z6" s="3059"/>
      <c r="AA6" s="3059"/>
      <c r="AB6" s="3059"/>
      <c r="AC6" s="3059"/>
      <c r="AD6" s="3059"/>
      <c r="AE6" s="3059"/>
      <c r="AF6" s="3059"/>
      <c r="AG6" s="3059"/>
      <c r="AH6" s="3059"/>
      <c r="AI6" s="3059"/>
      <c r="AJ6" s="3059"/>
      <c r="AK6" s="3059"/>
      <c r="AL6" s="3059"/>
      <c r="AM6" s="3059"/>
      <c r="AN6" s="3059"/>
      <c r="AO6" s="3059"/>
      <c r="AP6" s="3059"/>
      <c r="AQ6" s="3059"/>
      <c r="AR6" s="3059"/>
    </row>
    <row r="7" spans="1:44">
      <c r="C7" s="3055" t="s">
        <v>3140</v>
      </c>
      <c r="D7" s="3701" t="s">
        <v>3141</v>
      </c>
      <c r="E7" s="3702"/>
      <c r="F7" s="3703"/>
      <c r="G7" s="3060">
        <v>32723.06</v>
      </c>
      <c r="H7" s="3055" t="s">
        <v>3142</v>
      </c>
      <c r="I7" s="3055"/>
      <c r="K7" s="3061"/>
      <c r="L7" s="3806" t="s">
        <v>3143</v>
      </c>
      <c r="M7" s="3806"/>
      <c r="N7" s="3056">
        <f>O7</f>
        <v>887.54</v>
      </c>
      <c r="O7" s="3062">
        <v>887.54</v>
      </c>
      <c r="P7" s="3056" t="s">
        <v>70</v>
      </c>
      <c r="Q7" s="3056">
        <v>443.77</v>
      </c>
      <c r="R7" s="3056" t="s">
        <v>70</v>
      </c>
      <c r="S7" s="3056" t="s">
        <v>70</v>
      </c>
      <c r="T7" s="3063" t="s">
        <v>3144</v>
      </c>
      <c r="U7" s="3063">
        <v>7.75</v>
      </c>
      <c r="V7" s="3046"/>
      <c r="W7" s="3064">
        <v>17.75</v>
      </c>
      <c r="Y7" s="3058">
        <f t="shared" si="0"/>
        <v>0</v>
      </c>
      <c r="Z7" s="3059"/>
      <c r="AA7" s="3059"/>
      <c r="AB7" s="3059"/>
      <c r="AC7" s="3059"/>
      <c r="AD7" s="3059"/>
      <c r="AE7" s="3059"/>
      <c r="AF7" s="3059"/>
      <c r="AG7" s="3059"/>
      <c r="AH7" s="3059"/>
      <c r="AI7" s="3059"/>
      <c r="AJ7" s="3059"/>
      <c r="AK7" s="3059"/>
      <c r="AL7" s="3059"/>
      <c r="AM7" s="3059"/>
      <c r="AN7" s="3059"/>
      <c r="AO7" s="3059"/>
      <c r="AP7" s="3059"/>
      <c r="AQ7" s="3059"/>
      <c r="AR7" s="3059"/>
    </row>
    <row r="8" spans="1:44">
      <c r="A8" s="3044">
        <f>A9+A18</f>
        <v>84660.67</v>
      </c>
      <c r="B8" s="3065">
        <f>A8-G8</f>
        <v>19425.46</v>
      </c>
      <c r="C8" s="3055" t="s">
        <v>3145</v>
      </c>
      <c r="D8" s="3700" t="s">
        <v>3146</v>
      </c>
      <c r="E8" s="3700"/>
      <c r="F8" s="3700"/>
      <c r="G8" s="3066">
        <f>G9+G17</f>
        <v>65235.21</v>
      </c>
      <c r="H8" s="3055" t="s">
        <v>3142</v>
      </c>
      <c r="I8" s="3055"/>
      <c r="K8" s="3045"/>
      <c r="L8" s="3806" t="s">
        <v>3147</v>
      </c>
      <c r="M8" s="3806"/>
      <c r="N8" s="3067">
        <f>O8+P8</f>
        <v>8018.9500000000007</v>
      </c>
      <c r="O8" s="3067">
        <f>O9+O10+O11</f>
        <v>7846.35</v>
      </c>
      <c r="P8" s="3067">
        <v>172.6</v>
      </c>
      <c r="Q8" s="3063">
        <v>958.8</v>
      </c>
      <c r="R8" s="3068">
        <v>54</v>
      </c>
      <c r="S8" s="3068">
        <f>R8*3.2</f>
        <v>172.8</v>
      </c>
      <c r="T8" s="3056" t="s">
        <v>3148</v>
      </c>
      <c r="U8" s="3056">
        <v>34.950000000000003</v>
      </c>
      <c r="V8" s="3063"/>
      <c r="W8" s="3069">
        <v>739.7</v>
      </c>
      <c r="X8" s="3070"/>
      <c r="Y8" s="3058">
        <f t="shared" si="0"/>
        <v>54</v>
      </c>
      <c r="Z8" s="3071"/>
      <c r="AA8" s="3071"/>
      <c r="AB8" s="3071"/>
      <c r="AC8" s="3071"/>
      <c r="AD8" s="3071"/>
      <c r="AE8" s="3071"/>
      <c r="AF8" s="3071"/>
      <c r="AG8" s="3071"/>
      <c r="AH8" s="3071"/>
      <c r="AI8" s="3072">
        <v>32</v>
      </c>
      <c r="AJ8" s="3072">
        <v>16</v>
      </c>
      <c r="AK8" s="3072">
        <v>6</v>
      </c>
      <c r="AL8" s="3071"/>
      <c r="AM8" s="3071"/>
      <c r="AN8" s="3071"/>
      <c r="AO8" s="3071"/>
      <c r="AP8" s="3071"/>
      <c r="AQ8" s="3071"/>
      <c r="AR8" s="3071"/>
    </row>
    <row r="9" spans="1:44">
      <c r="A9" s="3044">
        <f>A10+A13+A15+A16</f>
        <v>82856.72</v>
      </c>
      <c r="B9" s="3065">
        <f>A9-G9</f>
        <v>18598.03</v>
      </c>
      <c r="C9" s="3704" t="s">
        <v>3149</v>
      </c>
      <c r="D9" s="3700" t="s">
        <v>3150</v>
      </c>
      <c r="E9" s="3700"/>
      <c r="F9" s="3700"/>
      <c r="G9" s="3073">
        <f>G10+G13+G14+G15+G16</f>
        <v>64258.69</v>
      </c>
      <c r="H9" s="3055" t="s">
        <v>3142</v>
      </c>
      <c r="I9" s="3055"/>
      <c r="J9" s="3065">
        <f>G9+'[1]3.1.2期指标'!G9</f>
        <v>124125.93</v>
      </c>
      <c r="K9" s="3045"/>
      <c r="L9" s="3807" t="s">
        <v>3151</v>
      </c>
      <c r="M9" s="3056" t="s">
        <v>3152</v>
      </c>
      <c r="N9" s="3056"/>
      <c r="O9" s="3056">
        <v>6294.58</v>
      </c>
      <c r="P9" s="3056"/>
      <c r="Q9" s="3056"/>
      <c r="R9" s="3056"/>
      <c r="S9" s="3056"/>
      <c r="T9" s="3056"/>
      <c r="U9" s="3056"/>
      <c r="V9" s="3047"/>
      <c r="W9" s="3074"/>
      <c r="Y9" s="3058">
        <f t="shared" si="0"/>
        <v>0</v>
      </c>
      <c r="Z9" s="3071"/>
      <c r="AA9" s="3071"/>
      <c r="AB9" s="3071"/>
      <c r="AC9" s="3071"/>
      <c r="AD9" s="3071"/>
      <c r="AE9" s="3071"/>
      <c r="AF9" s="3071"/>
      <c r="AG9" s="3071"/>
      <c r="AH9" s="3071"/>
      <c r="AI9" s="3059"/>
      <c r="AJ9" s="3059"/>
      <c r="AK9" s="3059"/>
      <c r="AL9" s="3071"/>
      <c r="AM9" s="3071"/>
      <c r="AN9" s="3071"/>
      <c r="AO9" s="3071"/>
      <c r="AP9" s="3071"/>
      <c r="AQ9" s="3071"/>
      <c r="AR9" s="3071"/>
    </row>
    <row r="10" spans="1:44">
      <c r="A10" s="3044">
        <v>68083.27</v>
      </c>
      <c r="B10" s="3065">
        <f>A10-G10</f>
        <v>17707.080000000002</v>
      </c>
      <c r="C10" s="3705"/>
      <c r="D10" s="3700" t="s">
        <v>3149</v>
      </c>
      <c r="E10" s="3707" t="s">
        <v>3153</v>
      </c>
      <c r="F10" s="3707"/>
      <c r="G10" s="3066">
        <f>G11+G12</f>
        <v>50376.19</v>
      </c>
      <c r="H10" s="3055" t="s">
        <v>3142</v>
      </c>
      <c r="I10" s="3055"/>
      <c r="K10" s="3045"/>
      <c r="L10" s="3807"/>
      <c r="M10" s="3075" t="s">
        <v>3154</v>
      </c>
      <c r="N10" s="3076"/>
      <c r="O10" s="3075">
        <v>1303.6400000000001</v>
      </c>
      <c r="P10" s="3076"/>
      <c r="Q10" s="3076"/>
      <c r="R10" s="3076"/>
      <c r="S10" s="3076"/>
      <c r="T10" s="3076"/>
      <c r="U10" s="3076"/>
      <c r="V10" s="3071" t="s">
        <v>3155</v>
      </c>
      <c r="W10" s="3077"/>
      <c r="Y10" s="3058">
        <f t="shared" si="0"/>
        <v>0</v>
      </c>
      <c r="Z10" s="3059"/>
      <c r="AA10" s="3059"/>
      <c r="AB10" s="3059"/>
      <c r="AC10" s="3059"/>
      <c r="AD10" s="3059"/>
      <c r="AE10" s="3059"/>
      <c r="AF10" s="3059"/>
      <c r="AG10" s="3059"/>
      <c r="AH10" s="3059"/>
      <c r="AI10" s="3059"/>
      <c r="AJ10" s="3059"/>
      <c r="AK10" s="3059"/>
      <c r="AL10" s="3071"/>
      <c r="AM10" s="3071"/>
      <c r="AN10" s="3071"/>
      <c r="AO10" s="3071"/>
      <c r="AP10" s="3071"/>
      <c r="AQ10" s="3071"/>
      <c r="AR10" s="3071"/>
    </row>
    <row r="11" spans="1:44" ht="40.5">
      <c r="C11" s="3705"/>
      <c r="D11" s="3700"/>
      <c r="E11" s="3727" t="s">
        <v>3149</v>
      </c>
      <c r="F11" s="3078" t="s">
        <v>3156</v>
      </c>
      <c r="G11" s="3079">
        <f>O9+O13+O17+O20+O21+O22+O23+O25+O28+O29+O30+O31</f>
        <v>50376.19</v>
      </c>
      <c r="H11" s="3055" t="s">
        <v>3142</v>
      </c>
      <c r="I11" s="3055"/>
      <c r="J11" s="3065">
        <f>G11+'[1]3.1.2期指标'!G10</f>
        <v>109105.14</v>
      </c>
      <c r="K11" s="3045"/>
      <c r="L11" s="3807"/>
      <c r="M11" s="3075" t="s">
        <v>3157</v>
      </c>
      <c r="N11" s="3076"/>
      <c r="O11" s="3075">
        <v>248.13</v>
      </c>
      <c r="P11" s="3076"/>
      <c r="Q11" s="3076"/>
      <c r="R11" s="3076"/>
      <c r="S11" s="3076"/>
      <c r="T11" s="3076"/>
      <c r="U11" s="3076"/>
      <c r="V11" s="3080" t="s">
        <v>3158</v>
      </c>
      <c r="W11" s="3077"/>
      <c r="Y11" s="3058">
        <f t="shared" si="0"/>
        <v>0</v>
      </c>
      <c r="Z11" s="3071"/>
      <c r="AA11" s="3071"/>
      <c r="AB11" s="3071"/>
      <c r="AC11" s="3071"/>
      <c r="AD11" s="3071"/>
      <c r="AE11" s="3071"/>
      <c r="AF11" s="3071"/>
      <c r="AG11" s="3071"/>
      <c r="AH11" s="3071"/>
      <c r="AI11" s="3071"/>
      <c r="AJ11" s="3071"/>
      <c r="AK11" s="3071"/>
      <c r="AL11" s="3071"/>
      <c r="AM11" s="3071"/>
      <c r="AN11" s="3071"/>
      <c r="AO11" s="3071"/>
      <c r="AP11" s="3071"/>
      <c r="AQ11" s="3071"/>
      <c r="AR11" s="3071"/>
    </row>
    <row r="12" spans="1:44">
      <c r="C12" s="3705"/>
      <c r="D12" s="3700"/>
      <c r="E12" s="3706"/>
      <c r="F12" s="3078"/>
      <c r="G12" s="3079"/>
      <c r="H12" s="3055"/>
      <c r="I12" s="3055"/>
      <c r="K12" s="3061"/>
      <c r="L12" s="3806" t="s">
        <v>3159</v>
      </c>
      <c r="M12" s="3806"/>
      <c r="N12" s="3067">
        <f t="shared" ref="N12:N24" si="1">O12+P12</f>
        <v>6542.17</v>
      </c>
      <c r="O12" s="3081">
        <f>O13+O14+O15</f>
        <v>6542.17</v>
      </c>
      <c r="P12" s="3082">
        <v>0</v>
      </c>
      <c r="Q12" s="3056">
        <v>1256.27</v>
      </c>
      <c r="R12" s="3068">
        <f>7*2*3</f>
        <v>42</v>
      </c>
      <c r="S12" s="3068">
        <f>R12*3.2</f>
        <v>134.4</v>
      </c>
      <c r="T12" s="3056" t="s">
        <v>3160</v>
      </c>
      <c r="U12" s="3056">
        <v>29.25</v>
      </c>
      <c r="V12" s="3047"/>
      <c r="W12" s="3083">
        <v>902.01</v>
      </c>
      <c r="X12" s="3070"/>
      <c r="Y12" s="3058">
        <f t="shared" si="0"/>
        <v>42</v>
      </c>
      <c r="Z12" s="3071"/>
      <c r="AA12" s="3071"/>
      <c r="AB12" s="3071"/>
      <c r="AC12" s="3071"/>
      <c r="AD12" s="3084"/>
      <c r="AE12" s="3084">
        <v>24</v>
      </c>
      <c r="AF12" s="3084">
        <v>12</v>
      </c>
      <c r="AG12" s="3084">
        <v>6</v>
      </c>
      <c r="AH12" s="3071"/>
      <c r="AI12" s="3071"/>
      <c r="AJ12" s="3071"/>
      <c r="AK12" s="3071"/>
      <c r="AL12" s="3071"/>
      <c r="AM12" s="3071"/>
      <c r="AN12" s="3071"/>
      <c r="AO12" s="3071"/>
      <c r="AP12" s="3071"/>
      <c r="AQ12" s="3071"/>
      <c r="AR12" s="3071"/>
    </row>
    <row r="13" spans="1:44">
      <c r="A13" s="3044">
        <v>6138.53</v>
      </c>
      <c r="B13" s="3065">
        <f>A13-G13</f>
        <v>0</v>
      </c>
      <c r="C13" s="3705"/>
      <c r="D13" s="3700"/>
      <c r="E13" s="3700" t="s">
        <v>3161</v>
      </c>
      <c r="F13" s="3700"/>
      <c r="G13" s="3066">
        <f>O6</f>
        <v>6138.5300000000007</v>
      </c>
      <c r="H13" s="3055" t="s">
        <v>3142</v>
      </c>
      <c r="I13" s="3055" t="s">
        <v>3162</v>
      </c>
      <c r="K13" s="3045"/>
      <c r="L13" s="3806" t="s">
        <v>3149</v>
      </c>
      <c r="M13" s="3063" t="s">
        <v>3163</v>
      </c>
      <c r="N13" s="3067" t="s">
        <v>3164</v>
      </c>
      <c r="O13" s="3063">
        <v>4335.1499999999996</v>
      </c>
      <c r="P13" s="3063"/>
      <c r="Q13" s="3063"/>
      <c r="R13" s="3068"/>
      <c r="S13" s="3068"/>
      <c r="T13" s="3063"/>
      <c r="U13" s="3063"/>
      <c r="V13" s="3047"/>
      <c r="W13" s="3074"/>
      <c r="Y13" s="3058">
        <f t="shared" si="0"/>
        <v>0</v>
      </c>
      <c r="Z13" s="3071"/>
      <c r="AA13" s="3071"/>
      <c r="AB13" s="3071"/>
      <c r="AC13" s="3071"/>
      <c r="AD13" s="3071"/>
      <c r="AE13" s="3071"/>
      <c r="AF13" s="3071"/>
      <c r="AG13" s="3071"/>
      <c r="AH13" s="3071"/>
      <c r="AI13" s="3071"/>
      <c r="AJ13" s="3071"/>
      <c r="AK13" s="3071"/>
      <c r="AL13" s="3071"/>
      <c r="AM13" s="3071"/>
      <c r="AN13" s="3071"/>
      <c r="AO13" s="3071"/>
      <c r="AP13" s="3071"/>
      <c r="AQ13" s="3071"/>
      <c r="AR13" s="3071"/>
    </row>
    <row r="14" spans="1:44">
      <c r="C14" s="3705"/>
      <c r="D14" s="3700"/>
      <c r="E14" s="3701"/>
      <c r="F14" s="3703"/>
      <c r="G14" s="3066"/>
      <c r="H14" s="3055"/>
      <c r="I14" s="3055"/>
      <c r="K14" s="3045"/>
      <c r="L14" s="3806"/>
      <c r="M14" s="3063" t="s">
        <v>1343</v>
      </c>
      <c r="N14" s="3067"/>
      <c r="O14" s="3063">
        <v>1229.83</v>
      </c>
      <c r="P14" s="3063"/>
      <c r="Q14" s="3063"/>
      <c r="R14" s="3068"/>
      <c r="S14" s="3068"/>
      <c r="T14" s="3063"/>
      <c r="U14" s="3063"/>
      <c r="V14" s="3047"/>
      <c r="W14" s="3074"/>
      <c r="Y14" s="3058">
        <f t="shared" si="0"/>
        <v>0</v>
      </c>
      <c r="Z14" s="3071"/>
      <c r="AA14" s="3071"/>
      <c r="AB14" s="3071"/>
      <c r="AC14" s="3071"/>
      <c r="AD14" s="3071"/>
      <c r="AE14" s="3071"/>
      <c r="AF14" s="3071"/>
      <c r="AG14" s="3071"/>
      <c r="AH14" s="3071"/>
      <c r="AI14" s="3071"/>
      <c r="AJ14" s="3071"/>
      <c r="AK14" s="3071"/>
      <c r="AL14" s="3071"/>
      <c r="AM14" s="3071"/>
      <c r="AN14" s="3071"/>
      <c r="AO14" s="3071"/>
      <c r="AP14" s="3071"/>
      <c r="AQ14" s="3071"/>
      <c r="AR14" s="3071"/>
    </row>
    <row r="15" spans="1:44" ht="27">
      <c r="A15" s="3044">
        <v>4995.9399999999996</v>
      </c>
      <c r="B15" s="3065">
        <f>A15-G15</f>
        <v>504.29999999999927</v>
      </c>
      <c r="C15" s="3705"/>
      <c r="D15" s="3700"/>
      <c r="E15" s="3709" t="s">
        <v>3165</v>
      </c>
      <c r="F15" s="3710"/>
      <c r="G15" s="3066">
        <f>O10+O14+O18+O7</f>
        <v>4491.6400000000003</v>
      </c>
      <c r="H15" s="3055" t="s">
        <v>3142</v>
      </c>
      <c r="I15" s="3055"/>
      <c r="K15" s="3045"/>
      <c r="L15" s="3806"/>
      <c r="M15" s="3063" t="s">
        <v>3166</v>
      </c>
      <c r="N15" s="3067" t="s">
        <v>3164</v>
      </c>
      <c r="O15" s="3063">
        <v>977.19</v>
      </c>
      <c r="P15" s="3063"/>
      <c r="Q15" s="3063"/>
      <c r="R15" s="3068"/>
      <c r="S15" s="3068"/>
      <c r="T15" s="3063"/>
      <c r="U15" s="3063"/>
      <c r="V15" s="3085" t="s">
        <v>3167</v>
      </c>
      <c r="W15" s="3074"/>
      <c r="Y15" s="3058">
        <f t="shared" si="0"/>
        <v>0</v>
      </c>
      <c r="Z15" s="3071"/>
      <c r="AA15" s="3071"/>
      <c r="AB15" s="3071"/>
      <c r="AC15" s="3071"/>
      <c r="AD15" s="3071"/>
      <c r="AE15" s="3071"/>
      <c r="AF15" s="3071"/>
      <c r="AG15" s="3071"/>
      <c r="AH15" s="3071"/>
      <c r="AI15" s="3071"/>
      <c r="AJ15" s="3071"/>
      <c r="AK15" s="3071"/>
      <c r="AL15" s="3071"/>
      <c r="AM15" s="3071"/>
      <c r="AN15" s="3071"/>
      <c r="AO15" s="3071"/>
      <c r="AP15" s="3071"/>
      <c r="AQ15" s="3071"/>
      <c r="AR15" s="3071"/>
    </row>
    <row r="16" spans="1:44">
      <c r="A16" s="3044">
        <v>3638.98</v>
      </c>
      <c r="B16" s="3065">
        <f>A16-G16</f>
        <v>386.65000000000009</v>
      </c>
      <c r="C16" s="3705"/>
      <c r="D16" s="3700"/>
      <c r="E16" s="3700" t="s">
        <v>3168</v>
      </c>
      <c r="F16" s="3700"/>
      <c r="G16" s="3066">
        <f>O11+O15+O19+O26</f>
        <v>3252.33</v>
      </c>
      <c r="H16" s="3055" t="s">
        <v>3142</v>
      </c>
      <c r="I16" s="3055" t="s">
        <v>3169</v>
      </c>
      <c r="K16" s="3061"/>
      <c r="L16" s="3806" t="s">
        <v>3170</v>
      </c>
      <c r="M16" s="3806"/>
      <c r="N16" s="3067">
        <f t="shared" si="1"/>
        <v>9199.5499999999993</v>
      </c>
      <c r="O16" s="3081">
        <f>O17+O18+O19</f>
        <v>9199.5499999999993</v>
      </c>
      <c r="P16" s="3082">
        <v>0</v>
      </c>
      <c r="Q16" s="3056">
        <v>1565.47</v>
      </c>
      <c r="R16" s="3068">
        <f>7*2*4</f>
        <v>56</v>
      </c>
      <c r="S16" s="3068">
        <f>R16*3.2</f>
        <v>179.20000000000002</v>
      </c>
      <c r="T16" s="3056" t="s">
        <v>3160</v>
      </c>
      <c r="U16" s="3056">
        <v>29.25</v>
      </c>
      <c r="V16" s="3047"/>
      <c r="W16" s="3086">
        <v>1323.95</v>
      </c>
      <c r="X16" s="3070"/>
      <c r="Y16" s="3058">
        <f t="shared" si="0"/>
        <v>56</v>
      </c>
      <c r="Z16" s="3071"/>
      <c r="AA16" s="3071"/>
      <c r="AB16" s="3071"/>
      <c r="AC16" s="3071"/>
      <c r="AD16" s="3071"/>
      <c r="AE16" s="3071"/>
      <c r="AF16" s="3071"/>
      <c r="AG16" s="3071"/>
      <c r="AH16" s="3072"/>
      <c r="AI16" s="3072">
        <v>36</v>
      </c>
      <c r="AJ16" s="3072">
        <v>12</v>
      </c>
      <c r="AK16" s="3072">
        <v>8</v>
      </c>
      <c r="AL16" s="3071"/>
      <c r="AM16" s="3071"/>
      <c r="AN16" s="3071"/>
      <c r="AO16" s="3071"/>
      <c r="AP16" s="3071"/>
      <c r="AQ16" s="3071"/>
      <c r="AR16" s="3071"/>
    </row>
    <row r="17" spans="1:44">
      <c r="C17" s="3705"/>
      <c r="D17" s="3701" t="s">
        <v>3171</v>
      </c>
      <c r="E17" s="3702"/>
      <c r="F17" s="3703"/>
      <c r="G17" s="3066">
        <f>G18+G19</f>
        <v>976.52</v>
      </c>
      <c r="H17" s="3055" t="s">
        <v>3142</v>
      </c>
      <c r="I17" s="3055"/>
      <c r="K17" s="3045"/>
      <c r="L17" s="3806" t="s">
        <v>3149</v>
      </c>
      <c r="M17" s="3063" t="s">
        <v>3163</v>
      </c>
      <c r="N17" s="3067" t="s">
        <v>3164</v>
      </c>
      <c r="O17" s="3063">
        <v>6494.2</v>
      </c>
      <c r="P17" s="3063"/>
      <c r="Q17" s="3063"/>
      <c r="R17" s="3068"/>
      <c r="S17" s="3068"/>
      <c r="T17" s="3063"/>
      <c r="U17" s="3063"/>
      <c r="V17" s="3047"/>
      <c r="W17" s="3074"/>
      <c r="Y17" s="3058">
        <f t="shared" si="0"/>
        <v>0</v>
      </c>
      <c r="Z17" s="3071"/>
      <c r="AA17" s="3071"/>
      <c r="AB17" s="3071"/>
      <c r="AC17" s="3071"/>
      <c r="AD17" s="3071"/>
      <c r="AE17" s="3071"/>
      <c r="AF17" s="3071"/>
      <c r="AG17" s="3071"/>
      <c r="AH17" s="3071"/>
      <c r="AI17" s="3071"/>
      <c r="AJ17" s="3071"/>
      <c r="AK17" s="3071"/>
      <c r="AL17" s="3071"/>
      <c r="AM17" s="3071"/>
      <c r="AN17" s="3071"/>
      <c r="AO17" s="3071"/>
      <c r="AP17" s="3071"/>
      <c r="AQ17" s="3071"/>
      <c r="AR17" s="3071"/>
    </row>
    <row r="18" spans="1:44">
      <c r="A18" s="3044">
        <v>1803.95</v>
      </c>
      <c r="B18" s="3065">
        <f>A18-G18</f>
        <v>827.43000000000006</v>
      </c>
      <c r="C18" s="3705"/>
      <c r="D18" s="3700" t="s">
        <v>3149</v>
      </c>
      <c r="E18" s="3708" t="s">
        <v>3172</v>
      </c>
      <c r="F18" s="3708"/>
      <c r="G18" s="3087">
        <f>P8+P20+P21+P22+P24</f>
        <v>976.52</v>
      </c>
      <c r="H18" s="3055" t="s">
        <v>3142</v>
      </c>
      <c r="I18" s="3055"/>
      <c r="K18" s="3045"/>
      <c r="L18" s="3806"/>
      <c r="M18" s="3063" t="s">
        <v>1343</v>
      </c>
      <c r="N18" s="3067"/>
      <c r="O18" s="3063">
        <v>1070.6300000000001</v>
      </c>
      <c r="P18" s="3063"/>
      <c r="Q18" s="3063"/>
      <c r="R18" s="3068"/>
      <c r="S18" s="3068"/>
      <c r="T18" s="3063"/>
      <c r="U18" s="3063"/>
      <c r="V18" s="3047"/>
      <c r="W18" s="3074"/>
      <c r="Y18" s="3058">
        <f t="shared" si="0"/>
        <v>0</v>
      </c>
      <c r="Z18" s="3071"/>
      <c r="AA18" s="3071"/>
      <c r="AB18" s="3071"/>
      <c r="AC18" s="3071"/>
      <c r="AD18" s="3071"/>
      <c r="AE18" s="3071"/>
      <c r="AF18" s="3071"/>
      <c r="AG18" s="3071"/>
      <c r="AH18" s="3071"/>
      <c r="AI18" s="3071"/>
      <c r="AJ18" s="3071"/>
      <c r="AK18" s="3071"/>
      <c r="AL18" s="3071"/>
      <c r="AM18" s="3071"/>
      <c r="AN18" s="3071"/>
      <c r="AO18" s="3071"/>
      <c r="AP18" s="3071"/>
      <c r="AQ18" s="3071"/>
      <c r="AR18" s="3071"/>
    </row>
    <row r="19" spans="1:44" ht="40.5">
      <c r="C19" s="3706"/>
      <c r="D19" s="3700"/>
      <c r="E19" s="3707" t="s">
        <v>3173</v>
      </c>
      <c r="F19" s="3707"/>
      <c r="G19" s="3066">
        <f>N42</f>
        <v>0</v>
      </c>
      <c r="H19" s="3055" t="s">
        <v>3142</v>
      </c>
      <c r="I19" s="3055" t="s">
        <v>3174</v>
      </c>
      <c r="K19" s="3045"/>
      <c r="L19" s="3806"/>
      <c r="M19" s="3063" t="s">
        <v>3166</v>
      </c>
      <c r="N19" s="3067" t="s">
        <v>3169</v>
      </c>
      <c r="O19" s="3063">
        <v>1634.72</v>
      </c>
      <c r="P19" s="3063"/>
      <c r="Q19" s="3063"/>
      <c r="R19" s="3068"/>
      <c r="S19" s="3068"/>
      <c r="T19" s="3063"/>
      <c r="U19" s="3063"/>
      <c r="V19" s="3085" t="s">
        <v>3175</v>
      </c>
      <c r="W19" s="3074"/>
      <c r="Y19" s="3058">
        <f t="shared" si="0"/>
        <v>0</v>
      </c>
      <c r="Z19" s="3071"/>
      <c r="AA19" s="3071"/>
      <c r="AB19" s="3071"/>
      <c r="AC19" s="3071"/>
      <c r="AD19" s="3071"/>
      <c r="AE19" s="3071"/>
      <c r="AF19" s="3071"/>
      <c r="AG19" s="3071"/>
      <c r="AH19" s="3071"/>
      <c r="AI19" s="3071"/>
      <c r="AJ19" s="3071"/>
      <c r="AK19" s="3071"/>
      <c r="AL19" s="3071"/>
      <c r="AM19" s="3071"/>
      <c r="AN19" s="3071"/>
      <c r="AO19" s="3071"/>
      <c r="AP19" s="3071"/>
      <c r="AQ19" s="3071"/>
      <c r="AR19" s="3071"/>
    </row>
    <row r="20" spans="1:44">
      <c r="C20" s="3055" t="s">
        <v>3176</v>
      </c>
      <c r="D20" s="3701" t="s">
        <v>3177</v>
      </c>
      <c r="E20" s="3702"/>
      <c r="F20" s="3703"/>
      <c r="G20" s="3066">
        <f>G9/G7</f>
        <v>1.9637127456906536</v>
      </c>
      <c r="H20" s="3055"/>
      <c r="I20" s="3055"/>
      <c r="K20" s="3045"/>
      <c r="L20" s="3806" t="s">
        <v>3178</v>
      </c>
      <c r="M20" s="3806"/>
      <c r="N20" s="3067">
        <f t="shared" si="1"/>
        <v>7492.8</v>
      </c>
      <c r="O20" s="3082">
        <v>7320.2</v>
      </c>
      <c r="P20" s="3082">
        <v>172.6</v>
      </c>
      <c r="Q20" s="3063">
        <v>681.43</v>
      </c>
      <c r="R20" s="3068">
        <f>11*2*3</f>
        <v>66</v>
      </c>
      <c r="S20" s="3068">
        <f>R20*3.2</f>
        <v>211.20000000000002</v>
      </c>
      <c r="T20" s="3056" t="s">
        <v>3148</v>
      </c>
      <c r="U20" s="3056">
        <v>34.799999999999997</v>
      </c>
      <c r="V20" s="3047"/>
      <c r="W20" s="3088">
        <v>652.79</v>
      </c>
      <c r="X20" s="3070"/>
      <c r="Y20" s="3058">
        <f t="shared" si="0"/>
        <v>66</v>
      </c>
      <c r="Z20" s="3071"/>
      <c r="AA20" s="3071"/>
      <c r="AB20" s="3071"/>
      <c r="AC20" s="3071"/>
      <c r="AD20" s="3071"/>
      <c r="AE20" s="3071"/>
      <c r="AF20" s="3071"/>
      <c r="AG20" s="3071"/>
      <c r="AH20" s="3072">
        <v>3</v>
      </c>
      <c r="AI20" s="3072">
        <v>37</v>
      </c>
      <c r="AJ20" s="3072">
        <v>20</v>
      </c>
      <c r="AK20" s="3072">
        <v>6</v>
      </c>
      <c r="AL20" s="3071"/>
      <c r="AM20" s="3071"/>
      <c r="AN20" s="3071"/>
      <c r="AO20" s="3071"/>
      <c r="AP20" s="3071"/>
      <c r="AQ20" s="3071"/>
      <c r="AR20" s="3071"/>
    </row>
    <row r="21" spans="1:44">
      <c r="C21" s="3055" t="s">
        <v>3179</v>
      </c>
      <c r="D21" s="3701" t="s">
        <v>3180</v>
      </c>
      <c r="E21" s="3702"/>
      <c r="F21" s="3703"/>
      <c r="G21" s="3089">
        <f>R37</f>
        <v>480</v>
      </c>
      <c r="H21" s="3055" t="s">
        <v>3181</v>
      </c>
      <c r="I21" s="3055"/>
      <c r="K21" s="3045"/>
      <c r="L21" s="3806" t="s">
        <v>3182</v>
      </c>
      <c r="M21" s="3806"/>
      <c r="N21" s="3067">
        <f t="shared" si="1"/>
        <v>7492.8</v>
      </c>
      <c r="O21" s="3082">
        <f>O20</f>
        <v>7320.2</v>
      </c>
      <c r="P21" s="3082">
        <v>172.6</v>
      </c>
      <c r="Q21" s="3063">
        <v>681.43</v>
      </c>
      <c r="R21" s="3068">
        <f>11*2*3</f>
        <v>66</v>
      </c>
      <c r="S21" s="3068">
        <f>R21*3.2</f>
        <v>211.20000000000002</v>
      </c>
      <c r="T21" s="3056" t="s">
        <v>3148</v>
      </c>
      <c r="U21" s="3056">
        <v>34.799999999999997</v>
      </c>
      <c r="V21" s="3047"/>
      <c r="W21" s="3090">
        <f>W20</f>
        <v>652.79</v>
      </c>
      <c r="X21" s="3070"/>
      <c r="Y21" s="3058">
        <f t="shared" si="0"/>
        <v>66</v>
      </c>
      <c r="Z21" s="3071"/>
      <c r="AA21" s="3071"/>
      <c r="AB21" s="3071"/>
      <c r="AC21" s="3071"/>
      <c r="AD21" s="3071"/>
      <c r="AE21" s="3071"/>
      <c r="AF21" s="3071"/>
      <c r="AG21" s="3071"/>
      <c r="AH21" s="3072">
        <v>3</v>
      </c>
      <c r="AI21" s="3072">
        <v>37</v>
      </c>
      <c r="AJ21" s="3072">
        <v>20</v>
      </c>
      <c r="AK21" s="3072">
        <v>6</v>
      </c>
      <c r="AL21" s="3071"/>
      <c r="AM21" s="3071"/>
      <c r="AN21" s="3071"/>
      <c r="AO21" s="3071"/>
      <c r="AP21" s="3071"/>
      <c r="AQ21" s="3071"/>
      <c r="AR21" s="3071"/>
    </row>
    <row r="22" spans="1:44">
      <c r="C22" s="3055" t="s">
        <v>3183</v>
      </c>
      <c r="D22" s="3701" t="s">
        <v>3184</v>
      </c>
      <c r="E22" s="3702"/>
      <c r="F22" s="3703"/>
      <c r="G22" s="3066">
        <v>3.2</v>
      </c>
      <c r="H22" s="3055" t="s">
        <v>3185</v>
      </c>
      <c r="I22" s="3055"/>
      <c r="K22" s="3045"/>
      <c r="L22" s="3806" t="s">
        <v>3186</v>
      </c>
      <c r="M22" s="3806"/>
      <c r="N22" s="3067">
        <f t="shared" si="1"/>
        <v>9891.01</v>
      </c>
      <c r="O22" s="3067">
        <v>9648.26</v>
      </c>
      <c r="P22" s="3067">
        <v>242.75</v>
      </c>
      <c r="Q22" s="3056">
        <v>868.54</v>
      </c>
      <c r="R22" s="3068">
        <f>11*2*4</f>
        <v>88</v>
      </c>
      <c r="S22" s="3068">
        <f>R22*3.2</f>
        <v>281.60000000000002</v>
      </c>
      <c r="T22" s="3056" t="s">
        <v>3148</v>
      </c>
      <c r="U22" s="3056">
        <v>34.799999999999997</v>
      </c>
      <c r="V22" s="3047"/>
      <c r="W22" s="3088">
        <v>849.16</v>
      </c>
      <c r="X22" s="3070"/>
      <c r="Y22" s="3058">
        <f t="shared" si="0"/>
        <v>88</v>
      </c>
      <c r="Z22" s="3071"/>
      <c r="AA22" s="3071"/>
      <c r="AB22" s="3071"/>
      <c r="AC22" s="3071"/>
      <c r="AD22" s="3071"/>
      <c r="AE22" s="3071"/>
      <c r="AF22" s="3071"/>
      <c r="AG22" s="3071"/>
      <c r="AH22" s="3072">
        <v>5</v>
      </c>
      <c r="AI22" s="3072">
        <v>56</v>
      </c>
      <c r="AJ22" s="3072">
        <v>19</v>
      </c>
      <c r="AK22" s="3072">
        <v>8</v>
      </c>
      <c r="AL22" s="3071"/>
      <c r="AM22" s="3071"/>
      <c r="AN22" s="3071"/>
      <c r="AO22" s="3071"/>
      <c r="AP22" s="3071"/>
      <c r="AQ22" s="3071"/>
      <c r="AR22" s="3071"/>
    </row>
    <row r="23" spans="1:44">
      <c r="C23" s="3055" t="s">
        <v>3187</v>
      </c>
      <c r="D23" s="3701" t="s">
        <v>3188</v>
      </c>
      <c r="E23" s="3702"/>
      <c r="F23" s="3703"/>
      <c r="G23" s="3091">
        <f>G21*G22</f>
        <v>1536</v>
      </c>
      <c r="H23" s="3055" t="s">
        <v>3189</v>
      </c>
      <c r="I23" s="3055"/>
      <c r="K23" s="3045"/>
      <c r="L23" s="3806" t="s">
        <v>3190</v>
      </c>
      <c r="M23" s="3806"/>
      <c r="N23" s="3067"/>
      <c r="O23" s="3082"/>
      <c r="P23" s="3082"/>
      <c r="Q23" s="3063"/>
      <c r="R23" s="3068"/>
      <c r="S23" s="3068"/>
      <c r="T23" s="3056"/>
      <c r="U23" s="3056"/>
      <c r="V23" s="3047"/>
      <c r="W23" s="3074"/>
      <c r="X23" s="3070"/>
      <c r="Y23" s="3058"/>
      <c r="Z23" s="3071"/>
      <c r="AA23" s="3071"/>
      <c r="AB23" s="3071"/>
      <c r="AC23" s="3071"/>
      <c r="AD23" s="3071"/>
      <c r="AE23" s="3071"/>
      <c r="AF23" s="3071"/>
      <c r="AG23" s="3071"/>
      <c r="AH23" s="3072"/>
      <c r="AI23" s="3072"/>
      <c r="AJ23" s="3072"/>
      <c r="AK23" s="3072"/>
      <c r="AL23" s="3071"/>
      <c r="AM23" s="3071"/>
      <c r="AN23" s="3071"/>
      <c r="AO23" s="3071"/>
      <c r="AP23" s="3071"/>
      <c r="AQ23" s="3071"/>
      <c r="AR23" s="3071"/>
    </row>
    <row r="24" spans="1:44">
      <c r="C24" s="3055" t="s">
        <v>3191</v>
      </c>
      <c r="D24" s="3701" t="s">
        <v>3192</v>
      </c>
      <c r="E24" s="3702"/>
      <c r="F24" s="3703"/>
      <c r="G24" s="3066">
        <f>Q37/G7*100</f>
        <v>28.018192675134905</v>
      </c>
      <c r="H24" s="3055" t="s">
        <v>3193</v>
      </c>
      <c r="I24" s="3055"/>
      <c r="K24" s="3045"/>
      <c r="L24" s="3806" t="s">
        <v>3194</v>
      </c>
      <c r="M24" s="3806"/>
      <c r="N24" s="3067">
        <f t="shared" si="1"/>
        <v>9571.86</v>
      </c>
      <c r="O24" s="3067">
        <f>O25+O26</f>
        <v>9355.8900000000012</v>
      </c>
      <c r="P24" s="3067">
        <v>215.97</v>
      </c>
      <c r="Q24" s="3056">
        <v>839.76</v>
      </c>
      <c r="R24" s="3068">
        <f>11*2*2+12*2+10*4</f>
        <v>108</v>
      </c>
      <c r="S24" s="3068">
        <f>R24*3.2</f>
        <v>345.6</v>
      </c>
      <c r="T24" s="3056" t="s">
        <v>3148</v>
      </c>
      <c r="U24" s="3056">
        <v>34.799999999999997</v>
      </c>
      <c r="V24" s="3047"/>
      <c r="W24" s="3057">
        <v>802.84</v>
      </c>
      <c r="X24" s="3070"/>
      <c r="Y24" s="3058">
        <f>SUM(Z24:AR24)</f>
        <v>108</v>
      </c>
      <c r="Z24" s="3092">
        <v>30</v>
      </c>
      <c r="AA24" s="3092">
        <v>10</v>
      </c>
      <c r="AB24" s="3092">
        <v>12</v>
      </c>
      <c r="AC24" s="3092">
        <v>12</v>
      </c>
      <c r="AD24" s="3071"/>
      <c r="AE24" s="3071"/>
      <c r="AF24" s="3071"/>
      <c r="AG24" s="3071"/>
      <c r="AH24" s="3072">
        <v>2</v>
      </c>
      <c r="AI24" s="3072">
        <v>28</v>
      </c>
      <c r="AJ24" s="3072">
        <v>10</v>
      </c>
      <c r="AK24" s="3072">
        <v>4</v>
      </c>
      <c r="AL24" s="3071"/>
      <c r="AM24" s="3071"/>
      <c r="AN24" s="3071"/>
      <c r="AO24" s="3071"/>
      <c r="AP24" s="3071"/>
      <c r="AQ24" s="3071"/>
      <c r="AR24" s="3071"/>
    </row>
    <row r="25" spans="1:44">
      <c r="C25" s="3055" t="s">
        <v>3195</v>
      </c>
      <c r="D25" s="3701" t="s">
        <v>3196</v>
      </c>
      <c r="E25" s="3702"/>
      <c r="F25" s="3703"/>
      <c r="G25" s="3066">
        <v>30.1</v>
      </c>
      <c r="H25" s="3055" t="s">
        <v>3193</v>
      </c>
      <c r="I25" s="3055"/>
      <c r="K25" s="3045"/>
      <c r="L25" s="3806" t="s">
        <v>3149</v>
      </c>
      <c r="M25" s="3063" t="s">
        <v>3163</v>
      </c>
      <c r="N25" s="3067"/>
      <c r="O25" s="3067">
        <v>8963.6</v>
      </c>
      <c r="P25" s="3067"/>
      <c r="Q25" s="3056"/>
      <c r="R25" s="3068"/>
      <c r="S25" s="3068"/>
      <c r="T25" s="3056"/>
      <c r="U25" s="3056"/>
      <c r="V25" s="3047"/>
      <c r="W25" s="3074"/>
      <c r="Y25" s="3058">
        <f>SUM(Z25:AR25)</f>
        <v>0</v>
      </c>
      <c r="Z25" s="3071"/>
      <c r="AA25" s="3071"/>
      <c r="AB25" s="3071"/>
      <c r="AC25" s="3071"/>
      <c r="AD25" s="3071"/>
      <c r="AE25" s="3071"/>
      <c r="AF25" s="3071"/>
      <c r="AG25" s="3071"/>
      <c r="AH25" s="3071"/>
      <c r="AI25" s="3071"/>
      <c r="AJ25" s="3071"/>
      <c r="AK25" s="3071"/>
      <c r="AL25" s="3071"/>
      <c r="AM25" s="3071"/>
      <c r="AN25" s="3071"/>
      <c r="AO25" s="3071"/>
      <c r="AP25" s="3071"/>
      <c r="AQ25" s="3071"/>
      <c r="AR25" s="3071"/>
    </row>
    <row r="26" spans="1:44" ht="27">
      <c r="C26" s="3055" t="s">
        <v>3197</v>
      </c>
      <c r="D26" s="3711" t="s">
        <v>3198</v>
      </c>
      <c r="E26" s="3712"/>
      <c r="F26" s="3713"/>
      <c r="G26" s="3093">
        <f>G27+G28</f>
        <v>79</v>
      </c>
      <c r="H26" s="3055" t="s">
        <v>3199</v>
      </c>
      <c r="I26" s="3055"/>
      <c r="J26" s="3094">
        <f>G21*1+G15*65/10000</f>
        <v>509.19565999999998</v>
      </c>
      <c r="K26" s="3045"/>
      <c r="L26" s="3806"/>
      <c r="M26" s="3063" t="s">
        <v>3166</v>
      </c>
      <c r="N26" s="3067"/>
      <c r="O26" s="3067">
        <v>392.29</v>
      </c>
      <c r="P26" s="3067"/>
      <c r="Q26" s="3056"/>
      <c r="R26" s="3068"/>
      <c r="S26" s="3068"/>
      <c r="T26" s="3056"/>
      <c r="U26" s="3056"/>
      <c r="V26" s="3085" t="s">
        <v>3200</v>
      </c>
      <c r="W26" s="3074"/>
      <c r="Y26" s="3058">
        <f>SUM(Z26:AR26)</f>
        <v>0</v>
      </c>
      <c r="Z26" s="3071"/>
      <c r="AA26" s="3071"/>
      <c r="AB26" s="3071"/>
      <c r="AC26" s="3071"/>
      <c r="AD26" s="3071"/>
      <c r="AE26" s="3071"/>
      <c r="AF26" s="3071"/>
      <c r="AG26" s="3071"/>
      <c r="AH26" s="3071"/>
      <c r="AI26" s="3071"/>
      <c r="AJ26" s="3071"/>
      <c r="AK26" s="3071"/>
      <c r="AL26" s="3071"/>
      <c r="AM26" s="3071"/>
      <c r="AN26" s="3071"/>
      <c r="AO26" s="3071"/>
      <c r="AP26" s="3071"/>
      <c r="AQ26" s="3071"/>
      <c r="AR26" s="3071"/>
    </row>
    <row r="27" spans="1:44">
      <c r="C27" s="3700"/>
      <c r="D27" s="3708" t="s">
        <v>3149</v>
      </c>
      <c r="E27" s="3711" t="s">
        <v>3201</v>
      </c>
      <c r="F27" s="3703"/>
      <c r="G27" s="3095">
        <v>79</v>
      </c>
      <c r="H27" s="3055" t="s">
        <v>3199</v>
      </c>
      <c r="I27" s="3055"/>
      <c r="J27" s="3094">
        <f>J26*0.2</f>
        <v>101.83913200000001</v>
      </c>
      <c r="K27" s="3045"/>
      <c r="L27" s="3806" t="s">
        <v>3202</v>
      </c>
      <c r="M27" s="3806"/>
      <c r="AN27" s="3071"/>
      <c r="AO27" s="3071"/>
      <c r="AP27" s="3071"/>
      <c r="AQ27" s="3071"/>
      <c r="AR27" s="3071"/>
    </row>
    <row r="28" spans="1:44">
      <c r="A28" s="3096">
        <f>G28+'[1]3.2.2期指标'!G30+'[1]3.3（三期）指标'!G28</f>
        <v>1534</v>
      </c>
      <c r="C28" s="3700"/>
      <c r="D28" s="3708"/>
      <c r="E28" s="3711" t="s">
        <v>3203</v>
      </c>
      <c r="F28" s="3703"/>
      <c r="G28" s="3095">
        <v>0</v>
      </c>
      <c r="H28" s="3055" t="s">
        <v>3199</v>
      </c>
      <c r="I28" s="3055"/>
      <c r="J28" s="3094">
        <f>J26-J27</f>
        <v>407.35652799999997</v>
      </c>
      <c r="K28" s="3045"/>
      <c r="L28" s="3806" t="s">
        <v>3204</v>
      </c>
      <c r="M28" s="3806"/>
      <c r="N28" s="3067"/>
      <c r="O28" s="3067"/>
      <c r="P28" s="3067"/>
      <c r="Q28" s="3056"/>
      <c r="R28" s="3068"/>
      <c r="S28" s="3068"/>
      <c r="T28" s="3056"/>
      <c r="U28" s="3056"/>
      <c r="V28" s="3047"/>
      <c r="W28" s="3074"/>
      <c r="X28" s="3070"/>
      <c r="Y28" s="3058"/>
      <c r="Z28" s="3071"/>
      <c r="AA28" s="3071"/>
      <c r="AB28" s="3071"/>
      <c r="AC28" s="3071"/>
      <c r="AD28" s="3071"/>
      <c r="AE28" s="3071"/>
      <c r="AF28" s="3071"/>
      <c r="AG28" s="3071"/>
      <c r="AH28" s="3072"/>
      <c r="AI28" s="3072"/>
      <c r="AJ28" s="3072"/>
      <c r="AK28" s="3072"/>
      <c r="AL28" s="3071"/>
      <c r="AM28" s="3071"/>
      <c r="AN28" s="3071"/>
      <c r="AO28" s="3071"/>
      <c r="AP28" s="3071"/>
      <c r="AQ28" s="3071"/>
      <c r="AR28" s="3071"/>
    </row>
    <row r="29" spans="1:44">
      <c r="C29" s="3097"/>
      <c r="D29" s="3098"/>
      <c r="E29" s="3098"/>
      <c r="F29" s="3097"/>
      <c r="G29" s="3099"/>
      <c r="H29" s="3097"/>
      <c r="I29" s="3097"/>
      <c r="K29" s="3045"/>
      <c r="L29" s="3806" t="s">
        <v>3205</v>
      </c>
      <c r="M29" s="3806"/>
      <c r="N29" s="3067"/>
      <c r="O29" s="3067"/>
      <c r="P29" s="3067"/>
      <c r="Q29" s="3056"/>
      <c r="R29" s="3068"/>
      <c r="S29" s="3068"/>
      <c r="T29" s="3056"/>
      <c r="U29" s="3056"/>
      <c r="V29" s="3047"/>
      <c r="W29" s="3074"/>
      <c r="X29" s="3070"/>
      <c r="Y29" s="3058"/>
      <c r="Z29" s="3071"/>
      <c r="AA29" s="3071"/>
      <c r="AB29" s="3071"/>
      <c r="AC29" s="3071"/>
      <c r="AD29" s="3071"/>
      <c r="AE29" s="3071"/>
      <c r="AF29" s="3071"/>
      <c r="AG29" s="3071"/>
      <c r="AH29" s="3072"/>
      <c r="AI29" s="3072"/>
      <c r="AJ29" s="3072"/>
      <c r="AK29" s="3072"/>
      <c r="AL29" s="3071"/>
      <c r="AM29" s="3071"/>
      <c r="AN29" s="3071"/>
      <c r="AO29" s="3071"/>
      <c r="AP29" s="3071"/>
      <c r="AQ29" s="3071"/>
      <c r="AR29" s="3071"/>
    </row>
    <row r="30" spans="1:44">
      <c r="K30" s="3045"/>
      <c r="L30" s="3806" t="s">
        <v>3206</v>
      </c>
      <c r="M30" s="3806"/>
      <c r="N30" s="3067"/>
      <c r="O30" s="3082"/>
      <c r="P30" s="3082"/>
      <c r="Q30" s="3063"/>
      <c r="R30" s="3068"/>
      <c r="S30" s="3068"/>
      <c r="T30" s="3056"/>
      <c r="U30" s="3056"/>
      <c r="V30" s="3047"/>
      <c r="W30" s="3074"/>
      <c r="X30" s="3070"/>
      <c r="Y30" s="3058"/>
      <c r="Z30" s="3071"/>
      <c r="AA30" s="3071"/>
      <c r="AB30" s="3071"/>
      <c r="AC30" s="3071"/>
      <c r="AD30" s="3071"/>
      <c r="AE30" s="3071"/>
      <c r="AF30" s="3071"/>
      <c r="AG30" s="3071"/>
      <c r="AH30" s="3072"/>
      <c r="AI30" s="3072"/>
      <c r="AJ30" s="3072"/>
      <c r="AK30" s="3072"/>
      <c r="AL30" s="3071"/>
      <c r="AM30" s="3071"/>
      <c r="AN30" s="3071"/>
      <c r="AO30" s="3071"/>
      <c r="AP30" s="3071"/>
      <c r="AQ30" s="3071"/>
      <c r="AR30" s="3071"/>
    </row>
    <row r="31" spans="1:44">
      <c r="K31" s="3045"/>
      <c r="L31" s="3806" t="s">
        <v>3207</v>
      </c>
      <c r="M31" s="3806"/>
      <c r="N31" s="3067"/>
      <c r="O31" s="3082"/>
      <c r="P31" s="3082"/>
      <c r="Q31" s="3063"/>
      <c r="R31" s="3068"/>
      <c r="S31" s="3068"/>
      <c r="T31" s="3056"/>
      <c r="U31" s="3056"/>
      <c r="V31" s="3047"/>
      <c r="W31" s="3074"/>
      <c r="X31" s="3070"/>
      <c r="Y31" s="3058"/>
      <c r="Z31" s="3071"/>
      <c r="AA31" s="3071"/>
      <c r="AB31" s="3071"/>
      <c r="AC31" s="3071"/>
      <c r="AD31" s="3071"/>
      <c r="AE31" s="3071"/>
      <c r="AF31" s="3071"/>
      <c r="AG31" s="3071"/>
      <c r="AH31" s="3072"/>
      <c r="AI31" s="3072"/>
      <c r="AJ31" s="3072"/>
      <c r="AK31" s="3072"/>
      <c r="AL31" s="3071"/>
      <c r="AM31" s="3071"/>
      <c r="AN31" s="3071"/>
      <c r="AO31" s="3071"/>
      <c r="AP31" s="3071"/>
      <c r="AQ31" s="3071"/>
      <c r="AR31" s="3071"/>
    </row>
    <row r="32" spans="1:44">
      <c r="K32" s="3045"/>
      <c r="L32" s="3808" t="s">
        <v>3208</v>
      </c>
      <c r="M32" s="3808"/>
      <c r="AM32" s="3071"/>
      <c r="AN32" s="3071"/>
      <c r="AO32" s="3071"/>
      <c r="AP32" s="3071"/>
      <c r="AQ32" s="3071"/>
      <c r="AR32" s="3071"/>
    </row>
    <row r="33" spans="1:44">
      <c r="K33" s="3045"/>
      <c r="L33" s="3808" t="s">
        <v>3151</v>
      </c>
      <c r="M33" s="3100" t="s">
        <v>3152</v>
      </c>
      <c r="AM33" s="3071"/>
      <c r="AN33" s="3071"/>
      <c r="AO33" s="3071"/>
      <c r="AP33" s="3071">
        <f t="shared" ref="AP33:AR33" si="2">SUM(AP6:AP32)</f>
        <v>0</v>
      </c>
      <c r="AQ33" s="3071">
        <f t="shared" si="2"/>
        <v>0</v>
      </c>
      <c r="AR33" s="3071">
        <f t="shared" si="2"/>
        <v>0</v>
      </c>
    </row>
    <row r="34" spans="1:44">
      <c r="K34" s="3101"/>
      <c r="L34" s="3808"/>
      <c r="M34" s="3100" t="s">
        <v>3154</v>
      </c>
      <c r="AM34" s="3071"/>
      <c r="AN34" s="3071"/>
      <c r="AO34" s="3071"/>
    </row>
    <row r="35" spans="1:44">
      <c r="K35" s="3059"/>
      <c r="L35" s="3808"/>
      <c r="M35" s="3100" t="s">
        <v>3157</v>
      </c>
      <c r="AM35" s="3071"/>
      <c r="AN35" s="3071"/>
      <c r="AO35" s="3071"/>
    </row>
    <row r="36" spans="1:44">
      <c r="K36" s="3059"/>
      <c r="L36" s="3100"/>
      <c r="M36" s="3100"/>
      <c r="N36" s="3102"/>
      <c r="O36" s="3103"/>
      <c r="P36" s="3103"/>
      <c r="Q36" s="3100"/>
      <c r="R36" s="3104"/>
      <c r="S36" s="3104"/>
      <c r="T36" s="3105"/>
      <c r="U36" s="3105"/>
      <c r="V36" s="3106"/>
      <c r="X36" s="3044" t="s">
        <v>3209</v>
      </c>
      <c r="Y36" s="3058">
        <f>SUM(Z36:AR36)</f>
        <v>480</v>
      </c>
      <c r="Z36" s="3058">
        <f t="shared" ref="Z36:AL36" si="3">SUM(Z6:Z31)</f>
        <v>30</v>
      </c>
      <c r="AA36" s="3058">
        <f t="shared" si="3"/>
        <v>10</v>
      </c>
      <c r="AB36" s="3058">
        <f t="shared" si="3"/>
        <v>12</v>
      </c>
      <c r="AC36" s="3058">
        <f t="shared" si="3"/>
        <v>12</v>
      </c>
      <c r="AD36" s="3058">
        <f t="shared" si="3"/>
        <v>0</v>
      </c>
      <c r="AE36" s="3058">
        <f t="shared" si="3"/>
        <v>24</v>
      </c>
      <c r="AF36" s="3058">
        <f t="shared" si="3"/>
        <v>12</v>
      </c>
      <c r="AG36" s="3058">
        <f t="shared" si="3"/>
        <v>6</v>
      </c>
      <c r="AH36" s="3058">
        <f t="shared" si="3"/>
        <v>13</v>
      </c>
      <c r="AI36" s="3058">
        <f t="shared" si="3"/>
        <v>226</v>
      </c>
      <c r="AJ36" s="3058">
        <f t="shared" si="3"/>
        <v>97</v>
      </c>
      <c r="AK36" s="3058">
        <f t="shared" si="3"/>
        <v>38</v>
      </c>
      <c r="AL36" s="3071">
        <f t="shared" si="3"/>
        <v>0</v>
      </c>
      <c r="AM36" s="3071">
        <f>SUM(AM6:AM32)</f>
        <v>0</v>
      </c>
      <c r="AN36" s="3071">
        <f>SUM(AN6:AN32)</f>
        <v>0</v>
      </c>
      <c r="AO36" s="3071">
        <f>SUM(AO6:AO32)</f>
        <v>0</v>
      </c>
    </row>
    <row r="37" spans="1:44">
      <c r="K37" s="3107" t="s">
        <v>3209</v>
      </c>
      <c r="L37" s="3107"/>
      <c r="M37" s="3107"/>
      <c r="N37" s="3108">
        <f>SUM(N6:N31)</f>
        <v>65235.210000000006</v>
      </c>
      <c r="O37" s="3109">
        <f>O6+O7+O8+O12+O16+O20+O21+O22+O24</f>
        <v>64258.69</v>
      </c>
      <c r="P37" s="3109">
        <f>SUM(P8:P31)</f>
        <v>976.52</v>
      </c>
      <c r="Q37" s="3058">
        <f>SUM(Q6:Q31)</f>
        <v>9168.4100000000017</v>
      </c>
      <c r="R37" s="3110">
        <f>SUM(R8:R31)</f>
        <v>480</v>
      </c>
      <c r="S37" s="3110">
        <f>SUM(S8:S31)</f>
        <v>1536</v>
      </c>
      <c r="T37" s="3058"/>
      <c r="U37" s="3058"/>
      <c r="V37" s="3058"/>
      <c r="W37" s="3111">
        <f>SUM(W6:W36)</f>
        <v>6063.76</v>
      </c>
      <c r="Y37" s="3058" t="s">
        <v>3210</v>
      </c>
      <c r="Z37" s="3112">
        <f>Z36/Y36</f>
        <v>6.25E-2</v>
      </c>
      <c r="AA37" s="3112">
        <f>AA36/Y36</f>
        <v>2.0833333333333332E-2</v>
      </c>
      <c r="AB37" s="3112">
        <f>AB36/Y36</f>
        <v>2.5000000000000001E-2</v>
      </c>
      <c r="AC37" s="3112">
        <f>AC36/Y36</f>
        <v>2.5000000000000001E-2</v>
      </c>
      <c r="AD37" s="3112"/>
      <c r="AE37" s="3112">
        <f>AE36/Y36</f>
        <v>0.05</v>
      </c>
      <c r="AF37" s="3112">
        <f>AF36/Y36</f>
        <v>2.5000000000000001E-2</v>
      </c>
      <c r="AG37" s="3112">
        <f>AG36/Y36</f>
        <v>1.2500000000000001E-2</v>
      </c>
      <c r="AH37" s="3112">
        <f>AH36/Y36</f>
        <v>2.7083333333333334E-2</v>
      </c>
      <c r="AI37" s="3112">
        <f>AI36/Y36</f>
        <v>0.47083333333333333</v>
      </c>
      <c r="AJ37" s="3112">
        <f>AJ36/Y36</f>
        <v>0.20208333333333334</v>
      </c>
      <c r="AK37" s="3112">
        <f>AK36/Y36</f>
        <v>7.9166666666666663E-2</v>
      </c>
    </row>
    <row r="39" spans="1:44">
      <c r="C39" s="3606" t="s">
        <v>3211</v>
      </c>
      <c r="D39" s="3607"/>
      <c r="E39" s="3607"/>
      <c r="F39" s="3607"/>
      <c r="G39" s="3607"/>
    </row>
    <row r="40" spans="1:44">
      <c r="A40" s="3044" t="s">
        <v>3212</v>
      </c>
      <c r="B40" s="3044" t="s">
        <v>3213</v>
      </c>
      <c r="C40" s="3113"/>
      <c r="D40" s="3113"/>
      <c r="E40" s="3114" t="s">
        <v>3214</v>
      </c>
      <c r="F40" s="3059" t="s">
        <v>3215</v>
      </c>
      <c r="G40" s="3059" t="s">
        <v>3216</v>
      </c>
    </row>
    <row r="41" spans="1:44">
      <c r="A41" s="3044">
        <v>6138.53</v>
      </c>
      <c r="B41" s="3044">
        <f t="shared" ref="B41" si="4">A41-E41</f>
        <v>0</v>
      </c>
      <c r="C41" s="3612" t="s">
        <v>3217</v>
      </c>
      <c r="D41" s="3115" t="s">
        <v>3218</v>
      </c>
      <c r="E41" s="3116">
        <f>O6</f>
        <v>6138.5300000000007</v>
      </c>
      <c r="F41" s="3059"/>
      <c r="G41" s="3059"/>
    </row>
    <row r="42" spans="1:44">
      <c r="C42" s="3613"/>
      <c r="D42" s="3115" t="s">
        <v>3219</v>
      </c>
      <c r="E42" s="3116"/>
      <c r="F42" s="3059"/>
      <c r="G42" s="3059"/>
      <c r="L42" s="3809" t="s">
        <v>3220</v>
      </c>
      <c r="M42" s="3810"/>
      <c r="N42" s="3063">
        <f>SUM(N43:N47)</f>
        <v>0</v>
      </c>
      <c r="O42" s="3063"/>
      <c r="P42" s="3063"/>
      <c r="Q42" s="3063"/>
      <c r="R42" s="3068"/>
      <c r="S42" s="3068"/>
      <c r="T42" s="3063"/>
      <c r="U42" s="3063"/>
    </row>
    <row r="43" spans="1:44">
      <c r="C43" s="3615" t="s">
        <v>3221</v>
      </c>
      <c r="D43" s="3115" t="s">
        <v>3222</v>
      </c>
      <c r="E43" s="3714">
        <f>G15</f>
        <v>4491.6400000000003</v>
      </c>
      <c r="F43" s="3059"/>
      <c r="G43" s="3059"/>
      <c r="L43" s="3811" t="s">
        <v>3149</v>
      </c>
      <c r="M43" s="3117" t="s">
        <v>3223</v>
      </c>
      <c r="N43" s="3063"/>
      <c r="O43" s="3063"/>
      <c r="P43" s="3063"/>
      <c r="Q43" s="3063"/>
      <c r="R43" s="3068"/>
      <c r="S43" s="3068"/>
      <c r="T43" s="3063"/>
      <c r="U43" s="3063"/>
    </row>
    <row r="44" spans="1:44">
      <c r="C44" s="3615"/>
      <c r="D44" s="3115" t="s">
        <v>3224</v>
      </c>
      <c r="E44" s="3715"/>
      <c r="F44" s="3059"/>
      <c r="G44" s="3059"/>
      <c r="L44" s="3812"/>
      <c r="M44" s="3117" t="s">
        <v>3225</v>
      </c>
      <c r="N44" s="3063"/>
      <c r="O44" s="3063"/>
      <c r="P44" s="3063"/>
      <c r="Q44" s="3063"/>
      <c r="R44" s="3068"/>
      <c r="S44" s="3068"/>
      <c r="T44" s="3063"/>
      <c r="U44" s="3063"/>
    </row>
    <row r="45" spans="1:44">
      <c r="C45" s="3615"/>
      <c r="D45" s="3115" t="s">
        <v>3226</v>
      </c>
      <c r="E45" s="3715"/>
      <c r="F45" s="3059"/>
      <c r="G45" s="3059"/>
      <c r="L45" s="3812"/>
      <c r="M45" s="3117" t="s">
        <v>3227</v>
      </c>
      <c r="N45" s="3063"/>
      <c r="O45" s="3063"/>
      <c r="P45" s="3063"/>
      <c r="Q45" s="3063"/>
      <c r="R45" s="3068"/>
      <c r="S45" s="3068"/>
      <c r="T45" s="3063"/>
      <c r="U45" s="3063"/>
    </row>
    <row r="46" spans="1:44">
      <c r="C46" s="3615"/>
      <c r="D46" s="3115" t="s">
        <v>3228</v>
      </c>
      <c r="E46" s="3715"/>
      <c r="F46" s="3059"/>
      <c r="G46" s="3059"/>
      <c r="L46" s="3812"/>
      <c r="M46" s="3117" t="s">
        <v>3229</v>
      </c>
      <c r="N46" s="3063"/>
      <c r="O46" s="3063"/>
      <c r="P46" s="3063"/>
      <c r="Q46" s="3063"/>
      <c r="R46" s="3068"/>
      <c r="S46" s="3068"/>
      <c r="T46" s="3063"/>
      <c r="U46" s="3063"/>
    </row>
    <row r="47" spans="1:44">
      <c r="C47" s="3615"/>
      <c r="D47" s="3115" t="s">
        <v>3230</v>
      </c>
      <c r="E47" s="3716"/>
      <c r="F47" s="3059"/>
      <c r="G47" s="3059"/>
      <c r="L47" s="3813"/>
      <c r="M47" s="3117" t="s">
        <v>48</v>
      </c>
      <c r="N47" s="3118"/>
      <c r="O47" s="3063"/>
      <c r="P47" s="3063"/>
      <c r="Q47" s="3063"/>
      <c r="R47" s="3068"/>
      <c r="S47" s="3068"/>
      <c r="T47" s="3063"/>
      <c r="U47" s="3063"/>
    </row>
    <row r="48" spans="1:44">
      <c r="C48" s="3113"/>
      <c r="D48" s="3113"/>
      <c r="E48" s="3116"/>
      <c r="F48" s="3059"/>
      <c r="G48" s="3059"/>
    </row>
    <row r="49" spans="1:15">
      <c r="A49" s="3044">
        <v>908.4</v>
      </c>
      <c r="B49" s="3044">
        <f>A49-E49</f>
        <v>-4.7100000000000364</v>
      </c>
      <c r="C49" s="3084" t="s">
        <v>3231</v>
      </c>
      <c r="D49" s="3119" t="s">
        <v>3232</v>
      </c>
      <c r="E49" s="3116">
        <v>913.11</v>
      </c>
      <c r="F49" s="3059"/>
      <c r="G49" s="3059"/>
    </row>
    <row r="50" spans="1:15">
      <c r="C50" s="3115"/>
      <c r="D50" s="3120"/>
      <c r="E50" s="3120"/>
      <c r="F50" s="3059"/>
      <c r="G50" s="3059"/>
      <c r="N50" s="3065" t="e">
        <f>N42+#REF!</f>
        <v>#REF!</v>
      </c>
    </row>
    <row r="51" spans="1:15">
      <c r="A51" s="3044">
        <v>1063.0999999999999</v>
      </c>
      <c r="B51" s="3044">
        <f t="shared" ref="B51:B65" si="5">A51-E51</f>
        <v>4.6099999999999</v>
      </c>
      <c r="C51" s="3605" t="s">
        <v>3233</v>
      </c>
      <c r="D51" s="3119" t="s">
        <v>3234</v>
      </c>
      <c r="E51" s="3116">
        <v>1058.49</v>
      </c>
      <c r="F51" s="3059"/>
      <c r="G51" s="3059"/>
      <c r="N51" s="3044">
        <v>8000</v>
      </c>
      <c r="O51" s="3044" t="e">
        <f>N51/N50</f>
        <v>#REF!</v>
      </c>
    </row>
    <row r="52" spans="1:15">
      <c r="C52" s="3605"/>
      <c r="D52" s="3115" t="s">
        <v>3235</v>
      </c>
      <c r="E52" s="3116"/>
      <c r="F52" s="3059"/>
      <c r="G52" s="3059"/>
    </row>
    <row r="53" spans="1:15">
      <c r="C53" s="3121"/>
      <c r="D53" s="3113"/>
      <c r="E53" s="3116"/>
      <c r="F53" s="3059"/>
      <c r="G53" s="3059"/>
    </row>
    <row r="54" spans="1:15">
      <c r="C54" s="3113"/>
      <c r="D54" s="3113"/>
      <c r="E54" s="3116"/>
      <c r="F54" s="3059"/>
      <c r="G54" s="3059"/>
    </row>
    <row r="55" spans="1:15">
      <c r="C55" s="3620" t="s">
        <v>3236</v>
      </c>
      <c r="D55" s="3119" t="s">
        <v>3237</v>
      </c>
      <c r="E55" s="3622"/>
      <c r="F55" s="3059"/>
      <c r="G55" s="3059"/>
    </row>
    <row r="56" spans="1:15">
      <c r="C56" s="3621"/>
      <c r="D56" s="3119" t="s">
        <v>3238</v>
      </c>
      <c r="E56" s="3618"/>
      <c r="F56" s="3059"/>
      <c r="G56" s="3059"/>
    </row>
    <row r="57" spans="1:15">
      <c r="C57" s="3113"/>
      <c r="D57" s="3113"/>
      <c r="E57" s="3116"/>
      <c r="F57" s="3059"/>
      <c r="G57" s="3059"/>
    </row>
    <row r="58" spans="1:15">
      <c r="C58" s="3620" t="s">
        <v>3239</v>
      </c>
      <c r="D58" s="3119" t="s">
        <v>3240</v>
      </c>
      <c r="E58" s="3116"/>
      <c r="F58" s="3059"/>
      <c r="G58" s="3059"/>
    </row>
    <row r="59" spans="1:15">
      <c r="C59" s="3623"/>
      <c r="D59" s="3119" t="s">
        <v>3241</v>
      </c>
      <c r="E59" s="3116"/>
      <c r="F59" s="3059"/>
      <c r="G59" s="3059"/>
    </row>
    <row r="60" spans="1:15">
      <c r="C60" s="3623"/>
      <c r="D60" s="3119" t="s">
        <v>3242</v>
      </c>
      <c r="E60" s="3116"/>
      <c r="F60" s="3059"/>
      <c r="G60" s="3059"/>
    </row>
    <row r="61" spans="1:15">
      <c r="A61" s="3044">
        <v>1120.19</v>
      </c>
      <c r="B61" s="3044">
        <f t="shared" si="5"/>
        <v>-0.24000000000000909</v>
      </c>
      <c r="C61" s="3623"/>
      <c r="D61" s="3119" t="s">
        <v>3243</v>
      </c>
      <c r="E61" s="3116">
        <v>1120.43</v>
      </c>
      <c r="F61" s="3059"/>
      <c r="G61" s="3059"/>
    </row>
    <row r="62" spans="1:15">
      <c r="C62" s="3621"/>
      <c r="D62" s="3115" t="s">
        <v>3244</v>
      </c>
      <c r="E62" s="3116">
        <v>0</v>
      </c>
      <c r="F62" s="3059"/>
      <c r="G62" s="3059"/>
    </row>
    <row r="63" spans="1:15">
      <c r="C63" s="3615" t="s">
        <v>3245</v>
      </c>
      <c r="D63" s="3115" t="s">
        <v>3246</v>
      </c>
      <c r="E63" s="3116"/>
      <c r="F63" s="3059"/>
      <c r="G63" s="3059"/>
    </row>
    <row r="64" spans="1:15">
      <c r="C64" s="3615"/>
      <c r="D64" s="3119" t="s">
        <v>3247</v>
      </c>
      <c r="E64" s="3116"/>
      <c r="F64" s="3059"/>
      <c r="G64" s="3059"/>
    </row>
    <row r="65" spans="1:7">
      <c r="A65" s="3044">
        <v>64.52</v>
      </c>
      <c r="B65" s="3044">
        <f t="shared" si="5"/>
        <v>0.43999999999999773</v>
      </c>
      <c r="C65" s="3615"/>
      <c r="D65" s="3119" t="s">
        <v>3248</v>
      </c>
      <c r="E65" s="3116">
        <v>64.08</v>
      </c>
      <c r="F65" s="3059"/>
      <c r="G65" s="3059"/>
    </row>
    <row r="66" spans="1:7">
      <c r="C66" s="3615"/>
      <c r="D66" s="3115" t="s">
        <v>3249</v>
      </c>
      <c r="E66" s="3116"/>
      <c r="F66" s="3059"/>
      <c r="G66" s="3059"/>
    </row>
    <row r="67" spans="1:7">
      <c r="C67" s="3615"/>
      <c r="D67" s="3115" t="s">
        <v>3250</v>
      </c>
      <c r="E67" s="3116">
        <v>20.88</v>
      </c>
      <c r="F67" s="3059"/>
      <c r="G67" s="3059"/>
    </row>
    <row r="68" spans="1:7">
      <c r="C68" s="3615"/>
      <c r="D68" s="3115"/>
      <c r="E68" s="3116"/>
      <c r="F68" s="3059"/>
      <c r="G68" s="3059"/>
    </row>
    <row r="69" spans="1:7">
      <c r="C69" s="3615"/>
      <c r="D69" s="3115" t="s">
        <v>3251</v>
      </c>
      <c r="E69" s="3116"/>
      <c r="F69" s="3059"/>
      <c r="G69" s="3059"/>
    </row>
    <row r="70" spans="1:7">
      <c r="C70" s="3615"/>
      <c r="D70" s="3115" t="s">
        <v>3252</v>
      </c>
      <c r="E70" s="3116">
        <v>30.04</v>
      </c>
      <c r="F70" s="3059"/>
      <c r="G70" s="3059"/>
    </row>
    <row r="71" spans="1:7">
      <c r="C71" s="3615"/>
      <c r="D71" s="3115" t="s">
        <v>3253</v>
      </c>
      <c r="E71" s="3116">
        <v>20.89</v>
      </c>
      <c r="F71" s="3059"/>
      <c r="G71" s="3059"/>
    </row>
    <row r="72" spans="1:7">
      <c r="C72" s="3615"/>
      <c r="D72" s="3115" t="s">
        <v>3254</v>
      </c>
      <c r="E72" s="3116"/>
      <c r="F72" s="3059"/>
      <c r="G72" s="3059"/>
    </row>
    <row r="73" spans="1:7">
      <c r="C73" s="3615"/>
      <c r="D73" s="3115" t="s">
        <v>3255</v>
      </c>
      <c r="E73" s="3116">
        <v>24.41</v>
      </c>
      <c r="F73" s="3059"/>
      <c r="G73" s="3059"/>
    </row>
    <row r="74" spans="1:7">
      <c r="C74" s="3058" t="s">
        <v>3256</v>
      </c>
      <c r="D74" s="3058"/>
      <c r="E74" s="3058">
        <f>SUM(E41:E73)</f>
        <v>13882.500000000002</v>
      </c>
      <c r="F74" s="3058"/>
      <c r="G74" s="3059"/>
    </row>
    <row r="75" spans="1:7">
      <c r="C75" s="3120"/>
      <c r="D75" s="3120"/>
      <c r="E75" s="3120"/>
    </row>
    <row r="76" spans="1:7">
      <c r="C76" s="3122" t="s">
        <v>3257</v>
      </c>
      <c r="D76" s="3123" t="s">
        <v>3258</v>
      </c>
      <c r="E76" s="3120"/>
    </row>
  </sheetData>
  <mergeCells count="61">
    <mergeCell ref="C55:C56"/>
    <mergeCell ref="E55:E56"/>
    <mergeCell ref="C58:C62"/>
    <mergeCell ref="C63:C73"/>
    <mergeCell ref="C41:C42"/>
    <mergeCell ref="L42:M42"/>
    <mergeCell ref="C43:C47"/>
    <mergeCell ref="E43:E47"/>
    <mergeCell ref="L43:L47"/>
    <mergeCell ref="C51:C52"/>
    <mergeCell ref="C39:G39"/>
    <mergeCell ref="C27:C28"/>
    <mergeCell ref="D27:D28"/>
    <mergeCell ref="E27:F27"/>
    <mergeCell ref="L27:M27"/>
    <mergeCell ref="E28:F28"/>
    <mergeCell ref="L28:M28"/>
    <mergeCell ref="L29:M29"/>
    <mergeCell ref="L30:M30"/>
    <mergeCell ref="L31:M31"/>
    <mergeCell ref="L32:M32"/>
    <mergeCell ref="L33:L35"/>
    <mergeCell ref="D24:F24"/>
    <mergeCell ref="L24:M24"/>
    <mergeCell ref="D25:F25"/>
    <mergeCell ref="L25:L26"/>
    <mergeCell ref="D26:F26"/>
    <mergeCell ref="D21:F21"/>
    <mergeCell ref="L21:M21"/>
    <mergeCell ref="D22:F22"/>
    <mergeCell ref="L22:M22"/>
    <mergeCell ref="D23:F23"/>
    <mergeCell ref="L23:M23"/>
    <mergeCell ref="E14:F14"/>
    <mergeCell ref="E15:F15"/>
    <mergeCell ref="E16:F16"/>
    <mergeCell ref="L16:M16"/>
    <mergeCell ref="D20:F20"/>
    <mergeCell ref="L20:M20"/>
    <mergeCell ref="D8:F8"/>
    <mergeCell ref="L8:M8"/>
    <mergeCell ref="C9:C19"/>
    <mergeCell ref="D9:F9"/>
    <mergeCell ref="L9:L11"/>
    <mergeCell ref="D10:D16"/>
    <mergeCell ref="E10:F10"/>
    <mergeCell ref="E11:E12"/>
    <mergeCell ref="L12:M12"/>
    <mergeCell ref="E13:F13"/>
    <mergeCell ref="D17:F17"/>
    <mergeCell ref="L17:L19"/>
    <mergeCell ref="D18:D19"/>
    <mergeCell ref="E18:F18"/>
    <mergeCell ref="E19:F19"/>
    <mergeCell ref="L13:L15"/>
    <mergeCell ref="C5:I5"/>
    <mergeCell ref="L5:M5"/>
    <mergeCell ref="D6:F6"/>
    <mergeCell ref="L6:M6"/>
    <mergeCell ref="D7:F7"/>
    <mergeCell ref="L7:M7"/>
  </mergeCells>
  <phoneticPr fontId="14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A44" sqref="A44"/>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5" t="s">
        <v>3895</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3896</v>
      </c>
      <c r="B4" s="1732" t="s">
        <v>1688</v>
      </c>
      <c r="C4" s="1733" t="s">
        <v>762</v>
      </c>
      <c r="D4" s="1734" t="s">
        <v>836</v>
      </c>
      <c r="E4" s="1734" t="s">
        <v>1689</v>
      </c>
      <c r="F4" s="1734" t="s">
        <v>1690</v>
      </c>
      <c r="G4" s="1734">
        <v>70</v>
      </c>
      <c r="H4" s="1734" t="s">
        <v>1690</v>
      </c>
      <c r="I4" s="1734" t="s">
        <v>1691</v>
      </c>
      <c r="K4" s="1734" t="s">
        <v>1692</v>
      </c>
      <c r="L4" s="1734" t="s">
        <v>1692</v>
      </c>
      <c r="M4" s="1734" t="s">
        <v>1692</v>
      </c>
      <c r="N4" s="1734" t="s">
        <v>1692</v>
      </c>
      <c r="O4" s="1734" t="s">
        <v>1692</v>
      </c>
      <c r="P4" s="1734" t="s">
        <v>1692</v>
      </c>
      <c r="Q4" s="1734" t="s">
        <v>1692</v>
      </c>
      <c r="R4" s="1734" t="s">
        <v>1109</v>
      </c>
      <c r="S4" s="1734" t="s">
        <v>1692</v>
      </c>
      <c r="T4" s="1734" t="s">
        <v>1693</v>
      </c>
      <c r="U4" s="1734" t="s">
        <v>1692</v>
      </c>
      <c r="W4" s="1734" t="s">
        <v>1692</v>
      </c>
    </row>
    <row r="5" spans="1:23">
      <c r="A5" s="1735" t="s">
        <v>3897</v>
      </c>
      <c r="B5" s="1732" t="s">
        <v>1694</v>
      </c>
      <c r="C5" s="1733" t="s">
        <v>763</v>
      </c>
      <c r="F5" s="1734" t="s">
        <v>1695</v>
      </c>
      <c r="H5" s="1734" t="s">
        <v>1696</v>
      </c>
      <c r="I5" s="1734" t="s">
        <v>1697</v>
      </c>
      <c r="K5" s="1734" t="s">
        <v>1698</v>
      </c>
      <c r="L5" s="1734" t="s">
        <v>1698</v>
      </c>
      <c r="M5" s="1734" t="s">
        <v>1698</v>
      </c>
      <c r="N5" s="1734" t="s">
        <v>1698</v>
      </c>
      <c r="O5" s="1734" t="s">
        <v>1698</v>
      </c>
      <c r="P5" s="1734" t="s">
        <v>1698</v>
      </c>
      <c r="Q5" s="1734" t="s">
        <v>1698</v>
      </c>
      <c r="R5" s="1734" t="s">
        <v>1110</v>
      </c>
      <c r="S5" s="1734" t="s">
        <v>1698</v>
      </c>
      <c r="T5" s="1734" t="s">
        <v>1699</v>
      </c>
      <c r="U5" s="1734" t="s">
        <v>1698</v>
      </c>
      <c r="W5" s="1734" t="s">
        <v>1698</v>
      </c>
    </row>
    <row r="6" spans="1:23">
      <c r="A6" s="1735" t="s">
        <v>3898</v>
      </c>
      <c r="B6" s="1735" t="s">
        <v>1114</v>
      </c>
      <c r="C6" s="1738" t="s">
        <v>30</v>
      </c>
      <c r="F6" s="1734" t="s">
        <v>1696</v>
      </c>
      <c r="H6" s="1734" t="s">
        <v>1700</v>
      </c>
      <c r="I6" s="1734" t="s">
        <v>1701</v>
      </c>
      <c r="K6" s="1734" t="s">
        <v>1702</v>
      </c>
      <c r="L6" s="1734" t="s">
        <v>1702</v>
      </c>
      <c r="M6" s="1734" t="s">
        <v>1702</v>
      </c>
      <c r="N6" s="1734" t="s">
        <v>1702</v>
      </c>
      <c r="O6" s="1734" t="s">
        <v>1702</v>
      </c>
      <c r="P6" s="1734" t="s">
        <v>1702</v>
      </c>
      <c r="Q6" s="1734" t="s">
        <v>1702</v>
      </c>
      <c r="R6" s="1734" t="s">
        <v>1111</v>
      </c>
      <c r="S6" s="1734" t="s">
        <v>1702</v>
      </c>
      <c r="T6" s="1734"/>
      <c r="U6" s="1734" t="s">
        <v>1702</v>
      </c>
      <c r="W6" s="1734" t="s">
        <v>1702</v>
      </c>
    </row>
    <row r="7" spans="1:23">
      <c r="A7" s="1735" t="s">
        <v>3899</v>
      </c>
      <c r="B7" s="1735" t="s">
        <v>1115</v>
      </c>
      <c r="C7" s="1733" t="s">
        <v>31</v>
      </c>
      <c r="F7" s="1734" t="s">
        <v>1703</v>
      </c>
      <c r="H7" s="1734" t="s">
        <v>1704</v>
      </c>
      <c r="I7" s="1734" t="s">
        <v>1705</v>
      </c>
    </row>
    <row r="8" spans="1:23">
      <c r="A8" s="1735" t="s">
        <v>3900</v>
      </c>
      <c r="B8" s="1732" t="s">
        <v>1706</v>
      </c>
      <c r="C8" s="1733" t="s">
        <v>764</v>
      </c>
      <c r="F8" s="1734" t="s">
        <v>1707</v>
      </c>
      <c r="H8" s="1734"/>
      <c r="I8" s="1734" t="s">
        <v>1708</v>
      </c>
    </row>
    <row r="9" spans="1:23">
      <c r="A9" s="1735" t="s">
        <v>3901</v>
      </c>
      <c r="B9" s="1732" t="s">
        <v>1709</v>
      </c>
      <c r="C9" s="1733" t="s">
        <v>765</v>
      </c>
      <c r="F9" s="1734" t="s">
        <v>1710</v>
      </c>
      <c r="H9" s="1734"/>
    </row>
    <row r="10" spans="1:23">
      <c r="A10" s="1735" t="s">
        <v>3902</v>
      </c>
      <c r="B10" s="1732" t="s">
        <v>1711</v>
      </c>
      <c r="C10" s="1733" t="s">
        <v>766</v>
      </c>
      <c r="F10" s="1734" t="s">
        <v>16</v>
      </c>
    </row>
    <row r="11" spans="1:23">
      <c r="A11" s="1732" t="s">
        <v>1712</v>
      </c>
      <c r="B11" s="1732" t="s">
        <v>1713</v>
      </c>
      <c r="C11" s="1733" t="s">
        <v>767</v>
      </c>
    </row>
    <row r="12" spans="1:23">
      <c r="A12" s="1732" t="s">
        <v>1714</v>
      </c>
      <c r="B12" s="1732" t="s">
        <v>1715</v>
      </c>
      <c r="C12" s="1733" t="s">
        <v>768</v>
      </c>
    </row>
    <row r="13" spans="1:23">
      <c r="A13" s="1732" t="s">
        <v>1716</v>
      </c>
      <c r="B13" s="1732" t="s">
        <v>1717</v>
      </c>
      <c r="C13" s="1733" t="s">
        <v>769</v>
      </c>
    </row>
    <row r="14" spans="1:23">
      <c r="A14" s="1732" t="s">
        <v>1718</v>
      </c>
      <c r="B14" s="1732" t="s">
        <v>1719</v>
      </c>
      <c r="C14" s="1734" t="s">
        <v>16</v>
      </c>
    </row>
    <row r="15" spans="1:23">
      <c r="A15" s="1732" t="s">
        <v>1720</v>
      </c>
      <c r="B15" s="1732" t="s">
        <v>1721</v>
      </c>
      <c r="C15" s="1733"/>
    </row>
    <row r="16" spans="1:23">
      <c r="A16" s="1732" t="s">
        <v>1722</v>
      </c>
      <c r="B16" s="1732" t="s">
        <v>756</v>
      </c>
      <c r="C16" s="1733"/>
    </row>
    <row r="17" spans="1:3">
      <c r="A17" s="1732" t="s">
        <v>1723</v>
      </c>
      <c r="B17" s="1732" t="s">
        <v>3024</v>
      </c>
      <c r="C17" s="1733"/>
    </row>
    <row r="18" spans="1:3">
      <c r="A18" s="1732" t="s">
        <v>1724</v>
      </c>
      <c r="B18" s="1732" t="s">
        <v>757</v>
      </c>
      <c r="C18" s="1733"/>
    </row>
    <row r="19" spans="1:3">
      <c r="A19" s="1732" t="s">
        <v>1725</v>
      </c>
      <c r="B19" s="1732" t="s">
        <v>757</v>
      </c>
      <c r="C19" s="1733"/>
    </row>
    <row r="20" spans="1:3">
      <c r="A20" s="1732" t="s">
        <v>1726</v>
      </c>
      <c r="B20" s="1732" t="s">
        <v>757</v>
      </c>
      <c r="C20" s="1733"/>
    </row>
    <row r="21" spans="1:3">
      <c r="A21" s="1732" t="s">
        <v>1727</v>
      </c>
      <c r="B21" s="1732" t="s">
        <v>757</v>
      </c>
      <c r="C21" s="1733"/>
    </row>
    <row r="22" spans="1:3">
      <c r="A22" s="1732" t="s">
        <v>1728</v>
      </c>
      <c r="B22" s="1732" t="s">
        <v>757</v>
      </c>
      <c r="C22" s="1733"/>
    </row>
    <row r="23" spans="1:3">
      <c r="A23" s="1732" t="s">
        <v>1729</v>
      </c>
      <c r="B23" s="1732" t="s">
        <v>757</v>
      </c>
      <c r="C23" s="1733"/>
    </row>
    <row r="24" spans="1:3">
      <c r="A24" s="1732" t="s">
        <v>1730</v>
      </c>
      <c r="B24" s="1732" t="s">
        <v>757</v>
      </c>
      <c r="C24" s="1733"/>
    </row>
    <row r="25" spans="1:3">
      <c r="A25" s="1732" t="s">
        <v>1731</v>
      </c>
      <c r="B25" s="1732" t="s">
        <v>757</v>
      </c>
      <c r="C25" s="1733"/>
    </row>
    <row r="26" spans="1:3">
      <c r="A26" s="1732" t="s">
        <v>1732</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固安温泉休闲商务产业园区独流一排村东北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814"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14"/>
      <c r="B54" s="1740" t="s">
        <v>832</v>
      </c>
      <c r="C54" s="1737" t="s">
        <v>1248</v>
      </c>
    </row>
    <row r="55" spans="1:4">
      <c r="A55" s="3814"/>
      <c r="B55" s="1740" t="s">
        <v>833</v>
      </c>
      <c r="C55" s="1737" t="s">
        <v>1249</v>
      </c>
    </row>
    <row r="56" spans="1:4">
      <c r="A56" s="3814"/>
      <c r="B56" s="1740" t="s">
        <v>834</v>
      </c>
      <c r="C56" s="1737" t="s">
        <v>1253</v>
      </c>
    </row>
    <row r="57" spans="1:4">
      <c r="A57" s="3814"/>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2904</v>
      </c>
      <c r="B1" s="3815" t="str">
        <f>IF(B10="北京市","北京市",C10)&amp;F10&amp;IF(结果表!G1="在建","出让国有建设用地使用权及在建建筑物",IF(结果表!G1="土地","出让国有建设用地使用权",))&amp;B9&amp;"预评估"</f>
        <v>河北省固安温泉休闲商务产业园区独流一排村东北房地产抵押价值预评估</v>
      </c>
      <c r="C1" s="3816"/>
      <c r="D1" s="3816"/>
      <c r="E1" s="3816"/>
      <c r="F1" s="3816"/>
      <c r="G1" s="3816"/>
      <c r="H1" s="3816"/>
      <c r="I1" s="3817"/>
      <c r="J1" s="2695"/>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河北省固安温泉休闲商务产业园区独流一排村东北房地产抵押价值</v>
      </c>
      <c r="T1" s="1932"/>
      <c r="U1" s="1932"/>
      <c r="V1" s="1932"/>
      <c r="W1" s="1932"/>
      <c r="X1" s="1932"/>
      <c r="Y1" s="1932"/>
      <c r="Z1" s="1932"/>
      <c r="AA1" s="1932"/>
      <c r="AB1" s="1932"/>
    </row>
    <row r="2" spans="1:28">
      <c r="A2" s="2592" t="s">
        <v>2905</v>
      </c>
      <c r="B2" s="2596"/>
      <c r="C2" s="2597"/>
      <c r="D2" s="2896"/>
      <c r="E2" s="2887"/>
      <c r="F2" s="2887"/>
      <c r="G2" s="2888"/>
      <c r="H2" s="2888"/>
      <c r="I2" s="2888"/>
      <c r="J2" s="2695"/>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河北省固安温泉休闲商务产业园区独流一排村东北房地产</v>
      </c>
      <c r="T2" s="1932"/>
      <c r="U2" s="1932"/>
      <c r="V2" s="1932"/>
      <c r="W2" s="1932"/>
      <c r="X2" s="1932"/>
      <c r="Y2" s="1932"/>
      <c r="Z2" s="1932"/>
      <c r="AA2" s="1932"/>
      <c r="AB2" s="1932"/>
    </row>
    <row r="3" spans="1:28">
      <c r="A3" s="308" t="s">
        <v>2906</v>
      </c>
      <c r="B3" s="2598">
        <v>44186</v>
      </c>
      <c r="C3" s="2599" t="s">
        <v>2907</v>
      </c>
      <c r="D3" s="2598">
        <f>B3</f>
        <v>44186</v>
      </c>
      <c r="E3" s="2888"/>
      <c r="F3" s="2888"/>
      <c r="G3" s="2888"/>
      <c r="H3" s="2888"/>
      <c r="I3" s="2888"/>
      <c r="J3" s="2695"/>
      <c r="K3" s="2593"/>
      <c r="L3" s="2594"/>
      <c r="M3" s="2594"/>
      <c r="N3" s="2595"/>
      <c r="O3" s="1762"/>
      <c r="P3" s="2595"/>
      <c r="Q3" s="2595"/>
      <c r="R3" s="2595"/>
      <c r="S3" s="1869"/>
      <c r="T3" s="1932"/>
      <c r="U3" s="1932"/>
      <c r="V3" s="1932"/>
      <c r="W3" s="1932"/>
      <c r="X3" s="1932"/>
      <c r="Y3" s="1932"/>
      <c r="Z3" s="1932"/>
      <c r="AA3" s="1932"/>
      <c r="AB3" s="1932"/>
    </row>
    <row r="4" spans="1:28" ht="13.5" thickBot="1">
      <c r="A4" s="1249" t="s">
        <v>2908</v>
      </c>
      <c r="B4" s="2600" t="s">
        <v>3880</v>
      </c>
      <c r="C4" s="2601">
        <f ca="1">SUMIF(注册房地产估价师,B4,估价师及机构信息!B3:B24)</f>
        <v>1120100036</v>
      </c>
      <c r="D4" s="2600" t="s">
        <v>3881</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5"/>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2909</v>
      </c>
      <c r="B5" s="2605"/>
      <c r="C5" s="2606"/>
      <c r="D5" s="2607"/>
      <c r="E5" s="2889"/>
      <c r="F5" s="2889"/>
      <c r="G5" s="2889"/>
      <c r="H5" s="2889"/>
      <c r="I5" s="2889"/>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2910</v>
      </c>
      <c r="B6" s="2609"/>
      <c r="C6" s="2610"/>
      <c r="D6" s="2611"/>
      <c r="E6" s="2887"/>
      <c r="F6" s="2889"/>
      <c r="G6" s="2889"/>
      <c r="H6" s="2889"/>
      <c r="I6" s="2889"/>
      <c r="J6" s="2665"/>
      <c r="K6" s="2839" t="str">
        <f>IF(COUNTIF(B6,"*上海银行*"),"上海银行","")</f>
        <v/>
      </c>
      <c r="L6" s="2837"/>
      <c r="M6" s="2837"/>
      <c r="N6" s="2665"/>
      <c r="O6" s="2676"/>
      <c r="P6" s="2665"/>
      <c r="Q6" s="2665"/>
      <c r="R6" s="2665"/>
    </row>
    <row r="7" spans="1:28">
      <c r="A7" s="2608" t="s">
        <v>2911</v>
      </c>
      <c r="B7" s="2612"/>
      <c r="C7" s="2610"/>
      <c r="D7" s="2611"/>
      <c r="E7" s="2887"/>
      <c r="F7" s="2889"/>
      <c r="G7" s="2889"/>
      <c r="H7" s="2889"/>
      <c r="I7" s="2889"/>
      <c r="J7" s="2665"/>
      <c r="K7" s="2840"/>
      <c r="L7" s="2837"/>
      <c r="M7" s="2837"/>
      <c r="N7" s="2665"/>
      <c r="O7" s="2676"/>
      <c r="P7" s="2665"/>
      <c r="Q7" s="2665"/>
      <c r="R7" s="2665"/>
    </row>
    <row r="8" spans="1:28">
      <c r="A8" s="2613" t="s">
        <v>2912</v>
      </c>
      <c r="B8" s="2614" t="s">
        <v>3882</v>
      </c>
      <c r="C8" s="2615"/>
      <c r="D8" s="3818" t="s">
        <v>2913</v>
      </c>
      <c r="E8" s="2616" t="s">
        <v>3883</v>
      </c>
      <c r="F8" s="2617"/>
      <c r="G8" s="2888"/>
      <c r="H8" s="2888"/>
      <c r="I8" s="2888"/>
      <c r="J8" s="2665"/>
      <c r="K8" s="2838"/>
      <c r="L8" s="2837"/>
      <c r="M8" s="2837"/>
      <c r="N8" s="2665"/>
      <c r="O8" s="2676"/>
      <c r="P8" s="2665"/>
      <c r="Q8" s="2665"/>
      <c r="R8" s="2665"/>
    </row>
    <row r="9" spans="1:28" ht="13.5" thickBot="1">
      <c r="A9" s="2618" t="s">
        <v>2914</v>
      </c>
      <c r="B9" s="2619" t="s">
        <v>3883</v>
      </c>
      <c r="C9" s="2620"/>
      <c r="D9" s="3819"/>
      <c r="E9" s="2619" t="s">
        <v>70</v>
      </c>
      <c r="F9" s="2621"/>
      <c r="G9" s="2890"/>
      <c r="H9" s="2890"/>
      <c r="I9" s="2890"/>
      <c r="J9" s="2665"/>
      <c r="K9" s="2840"/>
      <c r="L9" s="2837"/>
      <c r="M9" s="2837"/>
      <c r="N9" s="2665"/>
      <c r="O9" s="2676"/>
      <c r="P9" s="2665"/>
      <c r="Q9" s="2665"/>
      <c r="R9" s="2665"/>
    </row>
    <row r="10" spans="1:28" ht="14.25" thickTop="1">
      <c r="A10" s="2622" t="s">
        <v>2915</v>
      </c>
      <c r="B10" s="2623" t="s">
        <v>3884</v>
      </c>
      <c r="C10" s="3482" t="s">
        <v>3885</v>
      </c>
      <c r="D10" s="2607"/>
      <c r="E10" s="2624" t="s">
        <v>2916</v>
      </c>
      <c r="F10" s="3483" t="str">
        <f>资料!Q22</f>
        <v>固安温泉休闲商务产业园区独流一排村东北</v>
      </c>
      <c r="G10" s="2891"/>
      <c r="H10" s="2892"/>
      <c r="I10" s="2893"/>
      <c r="J10" s="2665"/>
      <c r="K10" s="2840"/>
      <c r="L10" s="2837"/>
      <c r="M10" s="2837"/>
      <c r="N10" s="2665"/>
      <c r="O10" s="2676"/>
      <c r="P10" s="2665"/>
      <c r="Q10" s="2665"/>
      <c r="R10" s="2665"/>
    </row>
    <row r="11" spans="1:28">
      <c r="A11" s="2625" t="s">
        <v>2917</v>
      </c>
      <c r="B11" s="2626" t="s">
        <v>3886</v>
      </c>
      <c r="C11" s="2627"/>
      <c r="D11" s="2628"/>
      <c r="E11" s="2595"/>
      <c r="F11" s="2595"/>
      <c r="G11" s="2595"/>
      <c r="H11" s="2595"/>
      <c r="I11" s="2595"/>
      <c r="J11" s="2665"/>
      <c r="K11" s="2840"/>
      <c r="L11" s="2837"/>
      <c r="M11" s="2837"/>
      <c r="N11" s="2665"/>
      <c r="O11" s="2676"/>
      <c r="P11" s="2665"/>
      <c r="Q11" s="2665"/>
      <c r="R11" s="2665"/>
    </row>
    <row r="12" spans="1:28">
      <c r="A12" s="2629" t="s">
        <v>2918</v>
      </c>
      <c r="B12" s="2626" t="s">
        <v>3087</v>
      </c>
      <c r="C12" s="329" t="s">
        <v>2919</v>
      </c>
      <c r="D12" s="2630" t="s">
        <v>2920</v>
      </c>
      <c r="E12" s="2630" t="s">
        <v>2921</v>
      </c>
      <c r="F12" s="2630" t="s">
        <v>2922</v>
      </c>
      <c r="G12" s="2630" t="s">
        <v>2923</v>
      </c>
      <c r="H12" s="2630" t="s">
        <v>2924</v>
      </c>
      <c r="I12" s="2630" t="s">
        <v>2925</v>
      </c>
      <c r="J12" s="2665"/>
      <c r="K12" s="2840"/>
      <c r="L12" s="2837"/>
      <c r="M12" s="2837"/>
      <c r="N12" s="2665"/>
      <c r="O12" s="2676"/>
      <c r="P12" s="2665"/>
      <c r="Q12" s="2665"/>
      <c r="R12" s="2665"/>
    </row>
    <row r="13" spans="1:28">
      <c r="A13" s="1240"/>
      <c r="B13" s="2631"/>
      <c r="C13" s="2632" t="s">
        <v>2926</v>
      </c>
      <c r="D13" s="964">
        <f>资料!A25</f>
        <v>66920</v>
      </c>
      <c r="E13" s="964">
        <v>55963</v>
      </c>
      <c r="F13" s="964">
        <v>59615</v>
      </c>
      <c r="G13" s="964">
        <f>F13</f>
        <v>59615</v>
      </c>
      <c r="H13" s="964">
        <f>G13</f>
        <v>59615</v>
      </c>
      <c r="I13" s="964"/>
      <c r="J13" s="2665"/>
      <c r="K13" s="2840"/>
      <c r="L13" s="2837"/>
      <c r="M13" s="2837"/>
      <c r="N13" s="2665"/>
      <c r="O13" s="2676"/>
      <c r="P13" s="2665"/>
      <c r="Q13" s="2665"/>
      <c r="R13" s="2665"/>
    </row>
    <row r="14" spans="1:28">
      <c r="A14" s="1240"/>
      <c r="B14" s="2631"/>
      <c r="C14" s="2632" t="s">
        <v>2927</v>
      </c>
      <c r="D14" s="2633">
        <v>70</v>
      </c>
      <c r="E14" s="2633">
        <v>50</v>
      </c>
      <c r="F14" s="2633">
        <v>50</v>
      </c>
      <c r="G14" s="2633">
        <v>50</v>
      </c>
      <c r="H14" s="2633">
        <v>50</v>
      </c>
      <c r="I14" s="2633"/>
      <c r="J14" s="2665"/>
      <c r="K14" s="2841"/>
      <c r="L14" s="2837"/>
      <c r="M14" s="2837"/>
      <c r="N14" s="2665"/>
      <c r="O14" s="2676"/>
      <c r="P14" s="2665"/>
      <c r="Q14" s="2665"/>
      <c r="R14" s="2665"/>
    </row>
    <row r="15" spans="1:28">
      <c r="A15" s="326"/>
      <c r="B15" s="2634"/>
      <c r="C15" s="2635" t="s">
        <v>2928</v>
      </c>
      <c r="D15" s="2636">
        <f>IF(B12="出让",IF(D13="","",ROUNDDOWN(MIN((D13-$D$3)/365,D14),2)),D14)</f>
        <v>62.28</v>
      </c>
      <c r="E15" s="2636">
        <f>IF(B12="出让",IF(E13="","",ROUNDDOWN(MIN((E13-$D$3)/365,E14),2)),E14)</f>
        <v>32.26</v>
      </c>
      <c r="F15" s="2636">
        <f>IF(B12="出让",IF(F13="","",ROUNDDOWN(MIN((F13-$D$3)/365,F14),2)),F14)</f>
        <v>42.27</v>
      </c>
      <c r="G15" s="2636">
        <f>IF(B12="出让",IF(G13="","",ROUNDDOWN(MIN((G13-$D$3)/365,G14),2)),G14)</f>
        <v>42.27</v>
      </c>
      <c r="H15" s="2636">
        <f>IF(B12="出让",IF(H13="","",ROUNDDOWN(MIN((H13-$D$3)/365,H14),2)),H14)</f>
        <v>42.27</v>
      </c>
      <c r="I15" s="2636" t="str">
        <f>IF(B12="出让",IF(I13="","",ROUNDDOWN(MIN((I13-$D$3)/365,I14),2)),I14)</f>
        <v/>
      </c>
      <c r="J15" s="2665"/>
      <c r="K15" s="2842"/>
      <c r="L15" s="2677"/>
      <c r="M15" s="2677"/>
      <c r="N15" s="2733"/>
      <c r="O15" s="2677"/>
      <c r="P15" s="2733"/>
      <c r="Q15" s="2665"/>
      <c r="R15" s="2665"/>
    </row>
    <row r="16" spans="1:28">
      <c r="A16" s="2624" t="s">
        <v>2929</v>
      </c>
      <c r="B16" s="3825"/>
      <c r="C16" s="3826"/>
      <c r="D16" s="3827"/>
      <c r="E16" s="2639" t="s">
        <v>2930</v>
      </c>
      <c r="F16" s="3828"/>
      <c r="G16" s="3829"/>
      <c r="H16" s="3829"/>
      <c r="I16" s="3830"/>
      <c r="J16" s="2665"/>
      <c r="K16" s="2842"/>
      <c r="L16" s="2677"/>
      <c r="M16" s="2677"/>
      <c r="N16" s="2733"/>
      <c r="O16" s="2677"/>
      <c r="P16" s="2733"/>
      <c r="Q16" s="2665"/>
      <c r="R16" s="2665"/>
    </row>
    <row r="17" spans="1:28">
      <c r="A17" s="319" t="s">
        <v>2931</v>
      </c>
      <c r="B17" s="308" t="s">
        <v>2932</v>
      </c>
      <c r="C17" s="11">
        <f>'数据-汇总表'!E3</f>
        <v>714394.25</v>
      </c>
      <c r="D17" s="2546" t="s">
        <v>2933</v>
      </c>
      <c r="E17" s="3831" t="s">
        <v>2934</v>
      </c>
      <c r="F17" s="3832"/>
      <c r="G17" s="3832"/>
      <c r="H17" s="3832"/>
      <c r="I17" s="3833"/>
      <c r="J17" s="2665"/>
      <c r="K17" s="2843"/>
      <c r="L17" s="2677"/>
      <c r="M17" s="2677"/>
      <c r="N17" s="2733"/>
      <c r="O17" s="2677"/>
      <c r="P17" s="2733"/>
      <c r="Q17" s="2665"/>
      <c r="R17" s="2665"/>
      <c r="S17" s="2665"/>
      <c r="T17" s="2665"/>
      <c r="U17" s="2665"/>
      <c r="V17" s="2665"/>
    </row>
    <row r="18" spans="1:28" ht="13.5" thickBot="1">
      <c r="A18" s="2640" t="s">
        <v>70</v>
      </c>
      <c r="B18" s="1249" t="s">
        <v>2935</v>
      </c>
      <c r="C18" s="2641">
        <f>'数据-汇总表'!D3</f>
        <v>254442.35</v>
      </c>
      <c r="D18" s="1251" t="s">
        <v>2936</v>
      </c>
      <c r="E18" s="3834" t="s">
        <v>2937</v>
      </c>
      <c r="F18" s="3835"/>
      <c r="G18" s="3835"/>
      <c r="H18" s="3835"/>
      <c r="I18" s="3836"/>
      <c r="J18" s="2665"/>
      <c r="K18" s="2843"/>
      <c r="L18" s="2677"/>
      <c r="M18" s="2677"/>
      <c r="N18" s="2733"/>
      <c r="O18" s="2677"/>
      <c r="P18" s="2733"/>
      <c r="Q18" s="2665"/>
      <c r="R18" s="2665"/>
      <c r="S18" s="2665"/>
      <c r="T18" s="2665"/>
      <c r="U18" s="2665"/>
      <c r="V18" s="2665"/>
    </row>
    <row r="19" spans="1:28" ht="37.5" thickTop="1" thickBot="1">
      <c r="A19" s="333" t="s">
        <v>1733</v>
      </c>
      <c r="B19" s="313" t="s">
        <v>2938</v>
      </c>
      <c r="C19" s="1749"/>
      <c r="D19" s="1750" t="s">
        <v>2939</v>
      </c>
      <c r="E19" s="1751"/>
      <c r="F19" s="1752" t="str">
        <f>IF(AND(C19="是",E19="否"),"是否提供他项权证或相关说明","")</f>
        <v/>
      </c>
      <c r="G19" s="1753"/>
      <c r="H19" s="2889"/>
      <c r="I19" s="2889"/>
      <c r="J19" s="2665"/>
      <c r="K19" s="2840"/>
      <c r="L19" s="2837"/>
      <c r="M19" s="2837"/>
      <c r="N19" s="2733"/>
      <c r="O19" s="2677"/>
      <c r="P19" s="2733"/>
      <c r="Q19" s="2665"/>
      <c r="R19" s="2665"/>
      <c r="S19" s="2665"/>
      <c r="T19" s="2665"/>
      <c r="U19" s="2665"/>
      <c r="V19" s="2665"/>
    </row>
    <row r="20" spans="1:28">
      <c r="A20" s="2857" t="s">
        <v>2940</v>
      </c>
      <c r="B20" s="3821" t="s">
        <v>2941</v>
      </c>
      <c r="C20" s="3822"/>
      <c r="D20" s="3823" t="s">
        <v>2942</v>
      </c>
      <c r="E20" s="3824"/>
      <c r="F20" s="2872" t="s">
        <v>1734</v>
      </c>
      <c r="G20" s="2889"/>
      <c r="H20" s="2889"/>
      <c r="I20" s="2889"/>
      <c r="J20" s="2665"/>
      <c r="K20" s="3820" t="s">
        <v>2943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7"/>
      <c r="B21" s="2858" t="s">
        <v>2944</v>
      </c>
      <c r="C21" s="2859" t="s">
        <v>1735</v>
      </c>
      <c r="D21" s="1754" t="s">
        <v>2945</v>
      </c>
      <c r="E21" s="2860" t="s">
        <v>1735</v>
      </c>
      <c r="F21" s="2873"/>
      <c r="G21" s="2889"/>
      <c r="H21" s="2889"/>
      <c r="I21" s="2889"/>
      <c r="J21" s="2665"/>
      <c r="K21" s="38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7"/>
      <c r="B22" s="2861" t="s">
        <v>2946</v>
      </c>
      <c r="C22" s="2859" t="s">
        <v>1736</v>
      </c>
      <c r="D22" s="2888"/>
      <c r="E22" s="2888"/>
      <c r="F22" s="2888"/>
      <c r="G22" s="2889"/>
      <c r="H22" s="2889"/>
      <c r="I22" s="2889"/>
      <c r="J22" s="2665"/>
      <c r="K22" s="38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2" t="s">
        <v>2947</v>
      </c>
      <c r="B23" s="2726" t="s">
        <v>2948</v>
      </c>
      <c r="C23" s="2863"/>
      <c r="D23" s="2864" t="s">
        <v>2948</v>
      </c>
      <c r="E23" s="2865"/>
      <c r="F23" s="2888"/>
      <c r="G23" s="2889"/>
      <c r="H23" s="2889"/>
      <c r="I23" s="2889"/>
      <c r="J23" s="2665"/>
      <c r="K23" s="2844"/>
      <c r="L23" s="2699"/>
      <c r="M23" s="2837"/>
      <c r="N23" s="2733"/>
      <c r="O23" s="2677"/>
      <c r="P23" s="2733"/>
      <c r="Q23" s="2665"/>
      <c r="R23" s="2665"/>
      <c r="S23" s="2665"/>
      <c r="T23" s="2665"/>
      <c r="U23" s="2665"/>
      <c r="V23" s="2665"/>
    </row>
    <row r="24" spans="1:28">
      <c r="A24" s="2862"/>
      <c r="B24" s="2726" t="s">
        <v>1737</v>
      </c>
      <c r="C24" s="2866"/>
      <c r="D24" s="2862" t="s">
        <v>1737</v>
      </c>
      <c r="E24" s="2867"/>
      <c r="F24" s="2888"/>
      <c r="G24" s="2889"/>
      <c r="H24" s="2889"/>
      <c r="I24" s="2889"/>
      <c r="J24" s="2665"/>
      <c r="K24" s="2844"/>
      <c r="L24" s="2699"/>
      <c r="M24" s="2837"/>
      <c r="N24" s="2733"/>
      <c r="O24" s="2677"/>
      <c r="P24" s="2733"/>
      <c r="Q24" s="2665"/>
      <c r="R24" s="2665"/>
      <c r="S24" s="2665"/>
      <c r="T24" s="2665"/>
      <c r="U24" s="2665"/>
      <c r="V24" s="2665"/>
    </row>
    <row r="25" spans="1:28">
      <c r="A25" s="2862"/>
      <c r="B25" s="2726" t="s">
        <v>1738</v>
      </c>
      <c r="C25" s="2866"/>
      <c r="D25" s="2862" t="s">
        <v>1738</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1739</v>
      </c>
      <c r="C26" s="2870"/>
      <c r="D26" s="2868" t="s">
        <v>1739</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838" t="s">
        <v>2949</v>
      </c>
      <c r="B27" s="326" t="s">
        <v>2950</v>
      </c>
      <c r="C27" s="2642" t="s">
        <v>3887</v>
      </c>
      <c r="D27" s="2643"/>
      <c r="E27" s="2889"/>
      <c r="F27" s="2889"/>
      <c r="G27" s="2889"/>
      <c r="H27" s="2889"/>
      <c r="I27" s="2889"/>
      <c r="J27" s="2665"/>
      <c r="K27" s="2842"/>
      <c r="L27" s="2677"/>
      <c r="M27" s="2677"/>
      <c r="N27" s="2733"/>
      <c r="O27" s="2677"/>
      <c r="P27" s="2733"/>
      <c r="Q27" s="2665"/>
      <c r="R27" s="2665"/>
      <c r="S27" s="2665"/>
      <c r="T27" s="2665"/>
      <c r="U27" s="2665"/>
      <c r="V27" s="2665"/>
    </row>
    <row r="28" spans="1:28">
      <c r="A28" s="3838"/>
      <c r="B28" s="308" t="s">
        <v>2951</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838"/>
      <c r="B29" s="308" t="s">
        <v>2952</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839"/>
      <c r="B30" s="308" t="s">
        <v>2953</v>
      </c>
      <c r="C30" s="3840"/>
      <c r="D30" s="3841"/>
      <c r="E30" s="2889"/>
      <c r="F30" s="2889"/>
      <c r="G30" s="2889"/>
      <c r="H30" s="2889"/>
      <c r="I30" s="2889"/>
      <c r="J30" s="2665"/>
      <c r="K30" s="2840"/>
      <c r="L30" s="2837"/>
      <c r="M30" s="2837"/>
      <c r="N30" s="2665"/>
      <c r="O30" s="2676"/>
      <c r="P30" s="2665"/>
      <c r="Q30" s="2665"/>
      <c r="R30" s="2665"/>
      <c r="S30" s="2665"/>
      <c r="T30" s="2665"/>
      <c r="U30" s="2665"/>
      <c r="V30" s="2665"/>
    </row>
    <row r="31" spans="1:28">
      <c r="A31" s="3842" t="s">
        <v>2954</v>
      </c>
      <c r="B31" s="2648" t="s">
        <v>3888</v>
      </c>
      <c r="C31" s="2547" t="str">
        <f>IF(B31="现房","成新及维护状况正常否",IF(B31="在建","工程状态是否正常",IF(B31="土地","是否闲置","-")))</f>
        <v>工程状态是否正常</v>
      </c>
      <c r="D31" s="1558"/>
      <c r="E31" s="2649"/>
      <c r="F31" s="2889"/>
      <c r="G31" s="2889"/>
      <c r="H31" s="2889"/>
      <c r="I31" s="2889"/>
      <c r="J31" s="2665"/>
      <c r="K31" s="2839"/>
      <c r="L31" s="2837"/>
      <c r="M31" s="2837"/>
      <c r="N31" s="2665"/>
      <c r="O31" s="2676"/>
      <c r="P31" s="2665"/>
      <c r="Q31" s="2665"/>
      <c r="R31" s="2665"/>
      <c r="S31" s="2665"/>
      <c r="T31" s="2665"/>
      <c r="U31" s="2665"/>
      <c r="V31" s="2665"/>
    </row>
    <row r="32" spans="1:28">
      <c r="A32" s="3843"/>
      <c r="B32" s="2648" t="s">
        <v>3889</v>
      </c>
      <c r="C32" s="2547" t="str">
        <f>IF(B32="现房","成新及维护状况是否正常",IF(B32="在建","工程状态是否正常",IF(B32="土地","是否闲置","-")))</f>
        <v>是否闲置</v>
      </c>
      <c r="D32" s="1558"/>
      <c r="E32" s="2649"/>
      <c r="F32" s="2889"/>
      <c r="G32" s="2889"/>
      <c r="H32" s="2889"/>
      <c r="I32" s="2889"/>
      <c r="J32" s="2665"/>
      <c r="K32" s="2840"/>
      <c r="L32" s="2837"/>
      <c r="M32" s="2837"/>
      <c r="N32" s="2665"/>
      <c r="O32" s="2676"/>
      <c r="P32" s="2665"/>
      <c r="Q32" s="2665"/>
      <c r="R32" s="2665"/>
      <c r="S32" s="2665"/>
      <c r="T32" s="2665"/>
      <c r="U32" s="2665"/>
      <c r="V32" s="2665"/>
    </row>
    <row r="33" spans="1:30">
      <c r="A33" s="3843"/>
      <c r="B33" s="2651"/>
      <c r="C33" s="1776" t="str">
        <f>IF(B33="现房","成新及维护状况是否正常",IF(B33="在建","工程状态是否正常",IF(B33="土地","是否闲置","-")))</f>
        <v>-</v>
      </c>
      <c r="D33" s="1550"/>
      <c r="E33" s="2652"/>
      <c r="F33" s="2889"/>
      <c r="G33" s="2889"/>
      <c r="H33" s="2889"/>
      <c r="I33" s="2889"/>
      <c r="J33" s="2665"/>
      <c r="K33" s="2840"/>
      <c r="L33" s="2837"/>
      <c r="M33" s="2837"/>
      <c r="N33" s="2665"/>
      <c r="O33" s="2676"/>
      <c r="P33" s="2665"/>
      <c r="Q33" s="2665"/>
      <c r="R33" s="2665"/>
      <c r="S33" s="2665"/>
      <c r="T33" s="2665"/>
      <c r="U33" s="2665"/>
      <c r="V33" s="2665"/>
    </row>
    <row r="34" spans="1:30">
      <c r="A34" s="308" t="s">
        <v>2955</v>
      </c>
      <c r="B34" s="2215" t="s">
        <v>3890</v>
      </c>
      <c r="C34" s="2215" t="s">
        <v>3892</v>
      </c>
      <c r="D34" s="2215" t="s">
        <v>3891</v>
      </c>
      <c r="E34" s="2215"/>
      <c r="F34" s="2215"/>
      <c r="G34" s="2215"/>
      <c r="H34" s="2215"/>
      <c r="I34" s="2889"/>
      <c r="J34" s="2665"/>
      <c r="K34" s="2653">
        <f>COUNTIF(B34:H34,"——")</f>
        <v>0</v>
      </c>
      <c r="L34" s="329" t="s">
        <v>2956</v>
      </c>
      <c r="M34" s="329" t="s">
        <v>2957</v>
      </c>
      <c r="N34" s="329" t="s">
        <v>2958</v>
      </c>
      <c r="O34" s="329" t="s">
        <v>2959</v>
      </c>
      <c r="P34" s="329" t="s">
        <v>2960</v>
      </c>
      <c r="Q34" s="329" t="s">
        <v>2961</v>
      </c>
      <c r="R34" s="329" t="s">
        <v>2962</v>
      </c>
      <c r="S34" s="3837" t="s">
        <v>2963</v>
      </c>
      <c r="T34" s="2654" t="str">
        <f>NUMBERSTRING(7-K34,1)&amp;"通"</f>
        <v>七通</v>
      </c>
      <c r="U34" s="2665"/>
      <c r="V34" s="2665"/>
    </row>
    <row r="35" spans="1:30">
      <c r="A35" s="2655"/>
      <c r="B35" s="3844" t="s">
        <v>2964</v>
      </c>
      <c r="C35" s="3844"/>
      <c r="D35" s="3844"/>
      <c r="E35" s="3844"/>
      <c r="F35" s="673" t="str">
        <f>C10</f>
        <v>河北省</v>
      </c>
      <c r="G35" s="2889"/>
      <c r="H35" s="2889"/>
      <c r="I35" s="2889"/>
      <c r="J35" s="2665"/>
      <c r="K35" s="329"/>
      <c r="L35" s="329" t="str">
        <f>B34</f>
        <v>通路</v>
      </c>
      <c r="M35" s="335" t="str">
        <f>B34&amp;"、"&amp;C34</f>
        <v>通路、通上水</v>
      </c>
      <c r="N35" s="335" t="str">
        <f>B34&amp;"、"&amp;C34&amp;"、"&amp;D34</f>
        <v>通路、通上水、通下水</v>
      </c>
      <c r="O35" s="335" t="str">
        <f>B34&amp;"、"&amp;C34&amp;"、"&amp;D34&amp;"、"&amp;E34</f>
        <v>通路、通上水、通下水、</v>
      </c>
      <c r="P35" s="335" t="str">
        <f>B34&amp;"、"&amp;C34&amp;"、"&amp;D34&amp;"、"&amp;E34&amp;"、"&amp;F34</f>
        <v>通路、通上水、通下水、、</v>
      </c>
      <c r="Q35" s="335" t="str">
        <f>B34&amp;"、"&amp;C34&amp;"、"&amp;D34&amp;"、"&amp;E34&amp;"、"&amp;F34&amp;"、"&amp;G34</f>
        <v>通路、通上水、通下水、、、</v>
      </c>
      <c r="R35" s="335" t="str">
        <f>B34&amp;"、"&amp;C34&amp;"、"&amp;D34&amp;"、"&amp;E34&amp;"、"&amp;F34&amp;"、"&amp;G34&amp;"、"&amp;H34</f>
        <v>通路、通上水、通下水、、、、</v>
      </c>
      <c r="S35" s="3837"/>
      <c r="T35" s="335" t="str">
        <f>IF(T34="一通",L35,IF(T34="二通",M35,IF(T34="三通",N35,IF(T34="四通",O35,IF(T34="五通",P35,IF(T34="六通",Q35,R35))))))</f>
        <v>通路、通上水、通下水、、、、</v>
      </c>
      <c r="U35" s="2665"/>
      <c r="V35" s="2665"/>
    </row>
    <row r="36" spans="1:30">
      <c r="A36" s="2656"/>
      <c r="B36" s="673" t="s">
        <v>2921</v>
      </c>
      <c r="C36" s="673" t="s">
        <v>2922</v>
      </c>
      <c r="D36" s="673" t="s">
        <v>2920</v>
      </c>
      <c r="E36" s="673" t="s">
        <v>2925</v>
      </c>
      <c r="F36" s="2894"/>
      <c r="G36" s="2889"/>
      <c r="H36" s="2889"/>
      <c r="I36" s="2889"/>
      <c r="J36" s="2665"/>
      <c r="K36" s="2840"/>
      <c r="L36" s="2837"/>
      <c r="M36" s="2837"/>
      <c r="N36" s="2665"/>
      <c r="O36" s="2676"/>
      <c r="P36" s="2665"/>
      <c r="Q36" s="2665"/>
      <c r="R36" s="2665"/>
      <c r="S36" s="2665"/>
      <c r="T36" s="2665"/>
      <c r="U36" s="2665"/>
      <c r="V36" s="2665"/>
    </row>
    <row r="37" spans="1:30">
      <c r="A37" s="2855" t="s">
        <v>2965</v>
      </c>
      <c r="B37" s="2657"/>
      <c r="C37" s="2657"/>
      <c r="D37" s="2657"/>
      <c r="E37" s="2657"/>
      <c r="F37" s="2894"/>
      <c r="G37" s="2889"/>
      <c r="H37" s="2889"/>
      <c r="I37" s="2889"/>
      <c r="J37" s="2665"/>
      <c r="K37" s="2840"/>
      <c r="L37" s="2837"/>
      <c r="M37" s="2837"/>
      <c r="N37" s="2665"/>
      <c r="O37" s="2676"/>
      <c r="P37" s="2665"/>
      <c r="Q37" s="2665"/>
      <c r="R37" s="2665"/>
      <c r="S37" s="2665"/>
      <c r="T37" s="2665"/>
      <c r="U37" s="2665"/>
      <c r="V37" s="2665"/>
    </row>
    <row r="38" spans="1:30" ht="13.5" thickBot="1">
      <c r="A38" s="2856" t="s">
        <v>2966</v>
      </c>
      <c r="B38" s="2658"/>
      <c r="C38" s="2658"/>
      <c r="D38" s="2658"/>
      <c r="E38" s="2658"/>
      <c r="F38" s="2895"/>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2967</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3"/>
      <c r="K40" s="2839"/>
      <c r="L40" s="2677"/>
      <c r="M40" s="2677"/>
      <c r="N40" s="2733"/>
      <c r="O40" s="2677"/>
      <c r="P40" s="2665"/>
      <c r="Q40" s="2665"/>
      <c r="R40" s="2665"/>
      <c r="S40" s="2665"/>
      <c r="T40" s="2665"/>
      <c r="U40" s="2665"/>
      <c r="V40" s="2665"/>
    </row>
    <row r="41" spans="1:30">
      <c r="A41" s="2662" t="s">
        <v>2968</v>
      </c>
      <c r="B41" s="1944"/>
      <c r="C41" s="1558"/>
      <c r="D41" s="2595"/>
      <c r="E41" s="2595"/>
      <c r="F41" s="2595"/>
      <c r="G41" s="2595"/>
      <c r="H41" s="2595"/>
      <c r="I41" s="1762"/>
      <c r="J41" s="2665"/>
      <c r="K41" s="2840"/>
      <c r="L41" s="2837"/>
      <c r="M41" s="2837"/>
      <c r="N41" s="2665"/>
      <c r="O41" s="2676"/>
      <c r="P41" s="2665"/>
      <c r="Q41" s="2665"/>
      <c r="R41" s="2665"/>
      <c r="S41" s="2665"/>
      <c r="T41" s="2665"/>
      <c r="U41" s="2665"/>
      <c r="V41" s="2665"/>
    </row>
    <row r="42" spans="1:30" ht="25.5">
      <c r="A42" s="329" t="s">
        <v>2969</v>
      </c>
      <c r="B42" s="11" t="s">
        <v>2970</v>
      </c>
      <c r="C42" s="11" t="s">
        <v>2971</v>
      </c>
      <c r="D42" s="11" t="s">
        <v>2972</v>
      </c>
      <c r="E42" s="11" t="s">
        <v>2973</v>
      </c>
      <c r="F42" s="11" t="s">
        <v>2974</v>
      </c>
      <c r="G42" s="11" t="s">
        <v>2975</v>
      </c>
      <c r="H42" s="11" t="s">
        <v>2976</v>
      </c>
      <c r="I42" s="11" t="s">
        <v>2977</v>
      </c>
      <c r="J42" s="2851" t="s">
        <v>2978</v>
      </c>
      <c r="K42" s="2852" t="s">
        <v>2979</v>
      </c>
      <c r="L42" s="2852" t="s">
        <v>2980</v>
      </c>
      <c r="M42" s="2852" t="s">
        <v>2981</v>
      </c>
      <c r="N42" s="2845" t="s">
        <v>2982</v>
      </c>
      <c r="O42" s="2845" t="s">
        <v>2983</v>
      </c>
      <c r="P42" s="2845" t="s">
        <v>2984</v>
      </c>
      <c r="Q42" s="2846" t="s">
        <v>2985</v>
      </c>
      <c r="R42" s="2846" t="s">
        <v>2986</v>
      </c>
      <c r="S42" s="2665"/>
      <c r="T42" s="2665"/>
      <c r="U42" s="2665"/>
      <c r="V42" s="2665"/>
    </row>
    <row r="43" spans="1:30" s="1930" customFormat="1">
      <c r="A43" s="1756"/>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30" customFormat="1">
      <c r="A44" s="1756"/>
      <c r="B44" s="1756"/>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30" customFormat="1">
      <c r="A45" s="1756"/>
      <c r="B45" s="1756"/>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30" customFormat="1">
      <c r="A46" s="1756"/>
      <c r="B46" s="1756"/>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30" customFormat="1">
      <c r="A47" s="1756"/>
      <c r="B47" s="1756"/>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30" customFormat="1">
      <c r="A48" s="1756"/>
      <c r="B48" s="1756"/>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30" customFormat="1">
      <c r="A49" s="1756"/>
      <c r="B49" s="1756"/>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30" customFormat="1">
      <c r="A50" s="1756"/>
      <c r="B50" s="1756"/>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30" customFormat="1">
      <c r="A51" s="1756"/>
      <c r="B51" s="1756"/>
      <c r="C51" s="1181"/>
      <c r="D51" s="1181"/>
      <c r="E51" s="1181"/>
      <c r="F51" s="1181"/>
      <c r="G51" s="1181"/>
      <c r="H51" s="1181"/>
      <c r="I51" s="1181"/>
      <c r="J51" s="2663"/>
      <c r="K51" s="2664"/>
      <c r="L51" s="2664"/>
      <c r="M51" s="1181"/>
      <c r="N51" s="1181"/>
      <c r="O51" s="1181"/>
      <c r="P51" s="1181"/>
      <c r="Q51" s="1181"/>
      <c r="R51" s="1181"/>
    </row>
    <row r="52" spans="1:22" s="1930" customFormat="1">
      <c r="A52" s="1756"/>
      <c r="B52" s="1756"/>
      <c r="C52" s="1756"/>
      <c r="D52" s="1756"/>
      <c r="E52" s="1756"/>
      <c r="F52" s="1181"/>
      <c r="G52" s="1756"/>
      <c r="H52" s="1756"/>
      <c r="I52" s="1756"/>
      <c r="J52" s="2666"/>
      <c r="K52" s="2664"/>
      <c r="L52" s="2664"/>
      <c r="M52" s="2664"/>
      <c r="N52" s="1756"/>
      <c r="O52" s="1756"/>
      <c r="P52" s="1756"/>
      <c r="Q52" s="1756"/>
      <c r="R52" s="1756"/>
    </row>
    <row r="53" spans="1:22" s="1930" customFormat="1">
      <c r="A53" s="1756"/>
      <c r="B53" s="1756"/>
      <c r="C53" s="1756"/>
      <c r="D53" s="1756"/>
      <c r="E53" s="1756"/>
      <c r="F53" s="1181"/>
      <c r="G53" s="1756"/>
      <c r="H53" s="1756"/>
      <c r="I53" s="1756"/>
      <c r="J53" s="2666"/>
      <c r="K53" s="2664"/>
      <c r="L53" s="2664"/>
      <c r="M53" s="2664"/>
      <c r="N53" s="1756"/>
      <c r="O53" s="1756"/>
      <c r="P53" s="1756"/>
      <c r="Q53" s="1756"/>
      <c r="R53" s="1756"/>
    </row>
    <row r="54" spans="1:22" s="1930" customFormat="1">
      <c r="A54" s="1756"/>
      <c r="B54" s="1756"/>
      <c r="C54" s="1756"/>
      <c r="D54" s="1756"/>
      <c r="E54" s="1756"/>
      <c r="F54" s="1181"/>
      <c r="G54" s="1756"/>
      <c r="H54" s="1756"/>
      <c r="I54" s="1756"/>
      <c r="J54" s="2666"/>
      <c r="K54" s="2664"/>
      <c r="L54" s="2664"/>
      <c r="M54" s="2664"/>
      <c r="N54" s="1756"/>
      <c r="O54" s="1756"/>
      <c r="P54" s="1756"/>
      <c r="Q54" s="1756"/>
      <c r="R54" s="1756"/>
    </row>
    <row r="55" spans="1:22" s="1930" customFormat="1">
      <c r="A55" s="1756"/>
      <c r="B55" s="1756"/>
      <c r="C55" s="1756"/>
      <c r="D55" s="1756"/>
      <c r="E55" s="1756"/>
      <c r="F55" s="1181"/>
      <c r="G55" s="1756"/>
      <c r="H55" s="1756"/>
      <c r="I55" s="1756"/>
      <c r="J55" s="2666"/>
      <c r="K55" s="2664"/>
      <c r="L55" s="2664"/>
      <c r="M55" s="2664"/>
      <c r="N55" s="1756"/>
      <c r="O55" s="1756"/>
      <c r="P55" s="1756"/>
      <c r="Q55" s="1756"/>
      <c r="R55" s="1756"/>
    </row>
    <row r="56" spans="1:22" s="1930" customFormat="1">
      <c r="A56" s="1756"/>
      <c r="B56" s="1756"/>
      <c r="C56" s="1756"/>
      <c r="D56" s="1756"/>
      <c r="E56" s="1756"/>
      <c r="F56" s="1181"/>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17" sqref="G17"/>
      <selection pane="topRight" activeCell="G17" sqref="G17"/>
      <selection pane="bottomLeft" activeCell="G17" sqref="G17"/>
      <selection pane="bottomRight" activeCell="U10" sqref="U10"/>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hidden="1" customWidth="1"/>
    <col min="11" max="11" width="11" style="1759" customWidth="1"/>
    <col min="12" max="12" width="9.5" style="1759" hidden="1" customWidth="1"/>
    <col min="13" max="13" width="9.5" style="1759" customWidth="1"/>
    <col min="14" max="14" width="9.5" style="1759" hidden="1" customWidth="1"/>
    <col min="15" max="15" width="9.875" style="1759" customWidth="1"/>
    <col min="16" max="16" width="9.75" style="1759" hidden="1" customWidth="1"/>
    <col min="17" max="17" width="9.375" style="1759" customWidth="1"/>
    <col min="18" max="18" width="9.25" style="1759" hidden="1" customWidth="1"/>
    <col min="19" max="19" width="10.875" style="1759" customWidth="1"/>
    <col min="20" max="20" width="10.75" style="1759" hidden="1" customWidth="1"/>
    <col min="21" max="21" width="10.75" style="1759" customWidth="1"/>
    <col min="22" max="22" width="10.875" style="1759" hidden="1" customWidth="1"/>
    <col min="23" max="23" width="10.75" style="1759" customWidth="1"/>
    <col min="24" max="27" width="10.75" style="1759" hidden="1" customWidth="1"/>
    <col min="28" max="28" width="10.875" style="1759" hidden="1" customWidth="1"/>
    <col min="29" max="29" width="11" style="1759" bestFit="1" customWidth="1"/>
    <col min="30" max="30" width="10" style="1759" bestFit="1" customWidth="1"/>
    <col min="31" max="31" width="9.75" style="1759" hidden="1"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1740</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1741</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1742</v>
      </c>
      <c r="B2" s="11" t="s">
        <v>1743</v>
      </c>
      <c r="C2" s="11" t="s">
        <v>1744</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1745</v>
      </c>
      <c r="AZ2" s="1179" t="s">
        <v>1746</v>
      </c>
      <c r="BA2" s="11" t="s">
        <v>1747</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指标!S14</f>
        <v>254442.35</v>
      </c>
      <c r="B3" s="14">
        <f>IF(C3="否",G5-AT5,G5)</f>
        <v>714394.25</v>
      </c>
      <c r="C3" s="1766" t="s">
        <v>3893</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1748</v>
      </c>
      <c r="B5" s="1532"/>
      <c r="C5" s="1532"/>
      <c r="D5" s="1534"/>
      <c r="E5" s="16" t="s">
        <v>1</v>
      </c>
      <c r="F5" s="16">
        <f>SUM(F13:F587)</f>
        <v>0</v>
      </c>
      <c r="G5" s="16">
        <f>SUM(G13:G587)</f>
        <v>715148.19</v>
      </c>
      <c r="H5" s="16">
        <f t="shared" ref="H5:AT5" si="0">SUM(H13:H656)</f>
        <v>709417.59</v>
      </c>
      <c r="I5" s="16">
        <f t="shared" si="0"/>
        <v>468536.51999999996</v>
      </c>
      <c r="J5" s="16">
        <f t="shared" si="0"/>
        <v>0</v>
      </c>
      <c r="K5" s="16">
        <f t="shared" si="0"/>
        <v>5483.52</v>
      </c>
      <c r="L5" s="16">
        <f t="shared" si="0"/>
        <v>0</v>
      </c>
      <c r="M5" s="16">
        <f t="shared" si="0"/>
        <v>28565.589999999989</v>
      </c>
      <c r="N5" s="16">
        <f t="shared" si="0"/>
        <v>0</v>
      </c>
      <c r="O5" s="16">
        <f t="shared" si="0"/>
        <v>8063.96</v>
      </c>
      <c r="P5" s="16">
        <f t="shared" si="0"/>
        <v>0</v>
      </c>
      <c r="Q5" s="16">
        <f t="shared" si="0"/>
        <v>8395.68</v>
      </c>
      <c r="R5" s="16">
        <f t="shared" si="0"/>
        <v>0</v>
      </c>
      <c r="S5" s="16">
        <f t="shared" si="0"/>
        <v>7658.2699999999995</v>
      </c>
      <c r="T5" s="16">
        <f t="shared" si="0"/>
        <v>0</v>
      </c>
      <c r="U5" s="16">
        <f t="shared" si="0"/>
        <v>31222.400000000001</v>
      </c>
      <c r="V5" s="16">
        <f t="shared" si="0"/>
        <v>0</v>
      </c>
      <c r="W5" s="16">
        <f t="shared" si="0"/>
        <v>151491.65</v>
      </c>
      <c r="X5" s="16">
        <f t="shared" si="0"/>
        <v>0</v>
      </c>
      <c r="Y5" s="16">
        <f t="shared" si="0"/>
        <v>0</v>
      </c>
      <c r="Z5" s="16">
        <f t="shared" si="0"/>
        <v>0</v>
      </c>
      <c r="AA5" s="16">
        <f t="shared" si="0"/>
        <v>0</v>
      </c>
      <c r="AB5" s="16">
        <f t="shared" si="0"/>
        <v>0</v>
      </c>
      <c r="AC5" s="16">
        <f t="shared" si="0"/>
        <v>4976.66</v>
      </c>
      <c r="AD5" s="16">
        <f t="shared" si="0"/>
        <v>4976.66</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753.94</v>
      </c>
      <c r="AU5" s="1531"/>
      <c r="AV5" s="15" t="s">
        <v>1748</v>
      </c>
      <c r="AW5" s="1532"/>
      <c r="AX5" s="1532"/>
      <c r="AY5" s="17" t="s">
        <v>3</v>
      </c>
      <c r="AZ5" s="18">
        <f t="shared" ref="AZ5:BT5" si="1">SUM(AZ13:AZ656)</f>
        <v>714394.25</v>
      </c>
      <c r="BA5" s="18">
        <f t="shared" si="1"/>
        <v>709417.59</v>
      </c>
      <c r="BB5" s="18">
        <f t="shared" si="1"/>
        <v>468536.51999999996</v>
      </c>
      <c r="BC5" s="18">
        <f t="shared" si="1"/>
        <v>5483.52</v>
      </c>
      <c r="BD5" s="18">
        <f t="shared" si="1"/>
        <v>28565.589999999989</v>
      </c>
      <c r="BE5" s="18">
        <f t="shared" si="1"/>
        <v>8063.96</v>
      </c>
      <c r="BF5" s="18">
        <f t="shared" si="1"/>
        <v>8395.68</v>
      </c>
      <c r="BG5" s="18">
        <f t="shared" si="1"/>
        <v>7658.2699999999995</v>
      </c>
      <c r="BH5" s="18">
        <f t="shared" si="1"/>
        <v>31222.400000000001</v>
      </c>
      <c r="BI5" s="18">
        <f t="shared" si="1"/>
        <v>151491.65</v>
      </c>
      <c r="BJ5" s="18">
        <f t="shared" si="1"/>
        <v>0</v>
      </c>
      <c r="BK5" s="18">
        <f t="shared" si="1"/>
        <v>0</v>
      </c>
      <c r="BL5" s="18">
        <f t="shared" si="1"/>
        <v>4976.66</v>
      </c>
      <c r="BM5" s="18">
        <f t="shared" si="1"/>
        <v>4976.66</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1749</v>
      </c>
      <c r="B6" s="1772"/>
      <c r="C6" s="1772"/>
      <c r="D6" s="1773"/>
      <c r="E6" s="16">
        <f>H6+AC6+AT6</f>
        <v>254442.35000000003</v>
      </c>
      <c r="F6" s="16" t="s">
        <v>1</v>
      </c>
      <c r="G6" s="16" t="s">
        <v>2</v>
      </c>
      <c r="H6" s="20">
        <f>SUMIF(I$12:AB$12,"总值",I6:AB6)</f>
        <v>252669.84000000003</v>
      </c>
      <c r="I6" s="16">
        <f t="shared" ref="I6:AB6" si="2">ROUND($A$3*I5/$B$3,2)</f>
        <v>166876.39000000001</v>
      </c>
      <c r="J6" s="16">
        <f t="shared" si="2"/>
        <v>0</v>
      </c>
      <c r="K6" s="16">
        <f t="shared" si="2"/>
        <v>1953.04</v>
      </c>
      <c r="L6" s="16">
        <f t="shared" si="2"/>
        <v>0</v>
      </c>
      <c r="M6" s="16">
        <f t="shared" si="2"/>
        <v>10174.07</v>
      </c>
      <c r="N6" s="16">
        <f t="shared" si="2"/>
        <v>0</v>
      </c>
      <c r="O6" s="16">
        <f t="shared" si="2"/>
        <v>2872.1</v>
      </c>
      <c r="P6" s="16">
        <f t="shared" si="2"/>
        <v>0</v>
      </c>
      <c r="Q6" s="16">
        <f t="shared" si="2"/>
        <v>2990.25</v>
      </c>
      <c r="R6" s="16">
        <f t="shared" si="2"/>
        <v>0</v>
      </c>
      <c r="S6" s="16">
        <f t="shared" si="2"/>
        <v>2727.61</v>
      </c>
      <c r="T6" s="16">
        <f t="shared" si="2"/>
        <v>0</v>
      </c>
      <c r="U6" s="16">
        <f t="shared" si="2"/>
        <v>11120.33</v>
      </c>
      <c r="V6" s="16">
        <f t="shared" si="2"/>
        <v>0</v>
      </c>
      <c r="W6" s="16">
        <f t="shared" si="2"/>
        <v>53956.05</v>
      </c>
      <c r="X6" s="16">
        <f t="shared" si="2"/>
        <v>0</v>
      </c>
      <c r="Y6" s="16">
        <f t="shared" si="2"/>
        <v>0</v>
      </c>
      <c r="Z6" s="16">
        <f t="shared" si="2"/>
        <v>0</v>
      </c>
      <c r="AA6" s="16">
        <f t="shared" si="2"/>
        <v>0</v>
      </c>
      <c r="AB6" s="16">
        <f t="shared" si="2"/>
        <v>0</v>
      </c>
      <c r="AC6" s="20">
        <f>SUMIF(AD$12:AS$12,"总值",AD6:AS6)</f>
        <v>1772.51</v>
      </c>
      <c r="AD6" s="16">
        <f t="shared" ref="AD6:AS6" si="3">ROUND($A$3*AD5/$B$3,2)</f>
        <v>1772.51</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1749</v>
      </c>
      <c r="AW6" s="1772"/>
      <c r="AX6" s="1772"/>
      <c r="AY6" s="21">
        <f>IF(AY3&gt;0,AY3,ROUND($A$3*AZ5/$B$3,2))</f>
        <v>254442.35</v>
      </c>
      <c r="AZ6" s="16" t="s">
        <v>3</v>
      </c>
      <c r="BA6" s="16">
        <f>ROUND($AY$6*BA5/$AZ$5,2)</f>
        <v>252669.84</v>
      </c>
      <c r="BB6" s="16">
        <f>ROUND($AY$6*BB5/$AZ$5,2)</f>
        <v>166876.39000000001</v>
      </c>
      <c r="BC6" s="16">
        <f t="shared" ref="BC6:BH6" si="4">ROUND($AY$6*BC5/$AZ$5,2)</f>
        <v>1953.04</v>
      </c>
      <c r="BD6" s="16">
        <f t="shared" si="4"/>
        <v>10174.07</v>
      </c>
      <c r="BE6" s="16">
        <f t="shared" si="4"/>
        <v>2872.1</v>
      </c>
      <c r="BF6" s="16">
        <f t="shared" si="4"/>
        <v>2990.25</v>
      </c>
      <c r="BG6" s="16">
        <f t="shared" si="4"/>
        <v>2727.61</v>
      </c>
      <c r="BH6" s="16">
        <f t="shared" si="4"/>
        <v>11120.33</v>
      </c>
      <c r="BI6" s="16">
        <f t="shared" ref="BI6:BT6" si="5">ROUND($AY$6*BI5/$AZ$5,2)</f>
        <v>53956.05</v>
      </c>
      <c r="BJ6" s="16">
        <f t="shared" si="5"/>
        <v>0</v>
      </c>
      <c r="BK6" s="16">
        <f t="shared" si="5"/>
        <v>0</v>
      </c>
      <c r="BL6" s="16">
        <f t="shared" si="5"/>
        <v>1772.51</v>
      </c>
      <c r="BM6" s="16">
        <f t="shared" si="5"/>
        <v>1772.51</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1750</v>
      </c>
      <c r="B7" s="1755" t="s">
        <v>1751</v>
      </c>
      <c r="C7" s="1755" t="s">
        <v>1752</v>
      </c>
      <c r="D7" s="1755" t="s">
        <v>1753</v>
      </c>
      <c r="E7" s="1755" t="s">
        <v>1754</v>
      </c>
      <c r="F7" s="1755" t="s">
        <v>1755</v>
      </c>
      <c r="G7" s="1776" t="s">
        <v>1756</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1757</v>
      </c>
      <c r="AV7" s="23" t="s">
        <v>1758</v>
      </c>
      <c r="AW7" s="1764" t="s">
        <v>1759</v>
      </c>
      <c r="AX7" s="23" t="s">
        <v>1752</v>
      </c>
      <c r="AY7" s="1532" t="s">
        <v>1760</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1761</v>
      </c>
      <c r="H8" s="1782" t="s">
        <v>1762</v>
      </c>
      <c r="I8" s="1783"/>
      <c r="J8" s="1545"/>
      <c r="K8" s="1545"/>
      <c r="L8" s="1545"/>
      <c r="M8" s="1545"/>
      <c r="N8" s="1545"/>
      <c r="O8" s="1545"/>
      <c r="P8" s="1545"/>
      <c r="Q8" s="1545"/>
      <c r="R8" s="1545"/>
      <c r="S8" s="1545"/>
      <c r="T8" s="1545"/>
      <c r="U8" s="1545"/>
      <c r="V8" s="1784"/>
      <c r="W8" s="1545"/>
      <c r="X8" s="1545"/>
      <c r="Y8" s="1545"/>
      <c r="Z8" s="1545"/>
      <c r="AA8" s="1784"/>
      <c r="AB8" s="1785"/>
      <c r="AC8" s="918" t="s">
        <v>1763</v>
      </c>
      <c r="AD8" s="1786"/>
      <c r="AE8" s="1778"/>
      <c r="AF8" s="1545"/>
      <c r="AG8" s="1545"/>
      <c r="AH8" s="1545"/>
      <c r="AI8" s="1545"/>
      <c r="AJ8" s="1545"/>
      <c r="AK8" s="1545"/>
      <c r="AL8" s="1545"/>
      <c r="AM8" s="1545"/>
      <c r="AN8" s="1545"/>
      <c r="AO8" s="1545"/>
      <c r="AP8" s="1545"/>
      <c r="AQ8" s="1545"/>
      <c r="AR8" s="1545"/>
      <c r="AS8" s="1545"/>
      <c r="AT8" s="1201" t="s">
        <v>1764</v>
      </c>
      <c r="AU8" s="1780" t="s">
        <v>1765</v>
      </c>
      <c r="AV8" s="1201"/>
      <c r="AW8" s="1763"/>
      <c r="AX8" s="1201"/>
      <c r="AY8" s="1764" t="s">
        <v>1766</v>
      </c>
      <c r="AZ8" s="1544" t="s">
        <v>1767</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1768</v>
      </c>
      <c r="I9" s="1789" t="s">
        <v>3851</v>
      </c>
      <c r="J9" s="918"/>
      <c r="K9" s="1789" t="s">
        <v>3851</v>
      </c>
      <c r="L9" s="918"/>
      <c r="M9" s="1789" t="s">
        <v>3851</v>
      </c>
      <c r="N9" s="918"/>
      <c r="O9" s="1789" t="s">
        <v>3851</v>
      </c>
      <c r="P9" s="918"/>
      <c r="Q9" s="1789" t="s">
        <v>3851</v>
      </c>
      <c r="R9" s="918"/>
      <c r="S9" s="1789" t="s">
        <v>3851</v>
      </c>
      <c r="T9" s="918"/>
      <c r="U9" s="1789" t="s">
        <v>3859</v>
      </c>
      <c r="V9" s="918"/>
      <c r="W9" s="1789" t="s">
        <v>3859</v>
      </c>
      <c r="X9" s="1790"/>
      <c r="Y9" s="1789"/>
      <c r="Z9" s="918"/>
      <c r="AA9" s="1789"/>
      <c r="AB9" s="918"/>
      <c r="AC9" s="1781" t="s">
        <v>1768</v>
      </c>
      <c r="AD9" s="15" t="s">
        <v>1769</v>
      </c>
      <c r="AE9" s="1207"/>
      <c r="AF9" s="15" t="s">
        <v>1770</v>
      </c>
      <c r="AG9" s="1207"/>
      <c r="AH9" s="15" t="s">
        <v>1769</v>
      </c>
      <c r="AI9" s="1207"/>
      <c r="AJ9" s="15" t="s">
        <v>1770</v>
      </c>
      <c r="AK9" s="1207"/>
      <c r="AL9" s="15" t="s">
        <v>1769</v>
      </c>
      <c r="AM9" s="1207"/>
      <c r="AN9" s="15" t="s">
        <v>1770</v>
      </c>
      <c r="AO9" s="1207"/>
      <c r="AP9" s="15" t="s">
        <v>1769</v>
      </c>
      <c r="AQ9" s="1207"/>
      <c r="AR9" s="15" t="s">
        <v>1770</v>
      </c>
      <c r="AS9" s="1791"/>
      <c r="AT9" s="1780"/>
      <c r="AU9" s="1780" t="s">
        <v>1771</v>
      </c>
      <c r="AV9" s="1201"/>
      <c r="AW9" s="1763"/>
      <c r="AX9" s="1201"/>
      <c r="AY9" s="28"/>
      <c r="AZ9" s="28" t="s">
        <v>1761</v>
      </c>
      <c r="BA9" s="1792" t="s">
        <v>1772</v>
      </c>
      <c r="BB9" s="1793"/>
      <c r="BC9" s="1247"/>
      <c r="BD9" s="1247"/>
      <c r="BE9" s="1247"/>
      <c r="BF9" s="1247"/>
      <c r="BG9" s="1247"/>
      <c r="BH9" s="1247"/>
      <c r="BI9" s="1247"/>
      <c r="BJ9" s="1247"/>
      <c r="BK9" s="1794"/>
      <c r="BL9" s="15" t="s">
        <v>1773</v>
      </c>
      <c r="BM9" s="1545"/>
      <c r="BN9" s="1783"/>
      <c r="BO9" s="1545"/>
      <c r="BP9" s="1545"/>
      <c r="BQ9" s="1545"/>
      <c r="BR9" s="1545"/>
      <c r="BS9" s="1545"/>
      <c r="BT9" s="26"/>
    </row>
    <row r="10" spans="1:72" s="1787" customFormat="1" ht="12.75">
      <c r="A10" s="1780"/>
      <c r="B10" s="1780"/>
      <c r="C10" s="1780"/>
      <c r="D10" s="1780"/>
      <c r="E10" s="1780"/>
      <c r="F10" s="1780"/>
      <c r="G10" s="1201"/>
      <c r="H10" s="28"/>
      <c r="I10" s="1789" t="s">
        <v>3163</v>
      </c>
      <c r="J10" s="918"/>
      <c r="K10" s="1795" t="s">
        <v>3163</v>
      </c>
      <c r="L10" s="918"/>
      <c r="M10" s="1795" t="s">
        <v>3163</v>
      </c>
      <c r="N10" s="918"/>
      <c r="O10" s="1795" t="s">
        <v>3163</v>
      </c>
      <c r="P10" s="918"/>
      <c r="Q10" s="1795" t="s">
        <v>3163</v>
      </c>
      <c r="R10" s="918"/>
      <c r="S10" s="1795" t="s">
        <v>1343</v>
      </c>
      <c r="T10" s="918"/>
      <c r="U10" s="1795" t="s">
        <v>3903</v>
      </c>
      <c r="V10" s="918"/>
      <c r="W10" s="1795" t="s">
        <v>3840</v>
      </c>
      <c r="X10" s="918"/>
      <c r="Y10" s="1795"/>
      <c r="Z10" s="918"/>
      <c r="AA10" s="1795"/>
      <c r="AB10" s="918"/>
      <c r="AC10" s="1201"/>
      <c r="AD10" s="15" t="s">
        <v>1774</v>
      </c>
      <c r="AE10" s="1796"/>
      <c r="AF10" s="15" t="s">
        <v>1774</v>
      </c>
      <c r="AG10" s="1796"/>
      <c r="AH10" s="15" t="s">
        <v>1775</v>
      </c>
      <c r="AI10" s="1796"/>
      <c r="AJ10" s="15" t="s">
        <v>1775</v>
      </c>
      <c r="AK10" s="1796"/>
      <c r="AL10" s="15" t="s">
        <v>1776</v>
      </c>
      <c r="AM10" s="1207"/>
      <c r="AN10" s="15" t="s">
        <v>1776</v>
      </c>
      <c r="AO10" s="1207"/>
      <c r="AP10" s="15" t="s">
        <v>1777</v>
      </c>
      <c r="AQ10" s="1207"/>
      <c r="AR10" s="15" t="s">
        <v>1777</v>
      </c>
      <c r="AS10" s="1207"/>
      <c r="AT10" s="1780"/>
      <c r="AU10" s="1780"/>
      <c r="AV10" s="1201"/>
      <c r="AW10" s="1763"/>
      <c r="AX10" s="1201"/>
      <c r="AY10" s="28"/>
      <c r="AZ10" s="28"/>
      <c r="BA10" s="1797" t="s">
        <v>1768</v>
      </c>
      <c r="BB10" s="1798" t="str">
        <f>I9</f>
        <v>地上</v>
      </c>
      <c r="BC10" s="29" t="str">
        <f>K9</f>
        <v>地上</v>
      </c>
      <c r="BD10" s="29" t="str">
        <f>M9</f>
        <v>地上</v>
      </c>
      <c r="BE10" s="29" t="str">
        <f>O9</f>
        <v>地上</v>
      </c>
      <c r="BF10" s="29" t="str">
        <f>Q9</f>
        <v>地上</v>
      </c>
      <c r="BG10" s="29" t="str">
        <f>S9</f>
        <v>地上</v>
      </c>
      <c r="BH10" s="29" t="str">
        <f>U9</f>
        <v>地下</v>
      </c>
      <c r="BI10" s="29" t="str">
        <f>W9</f>
        <v>地下</v>
      </c>
      <c r="BJ10" s="29">
        <f>Y9</f>
        <v>0</v>
      </c>
      <c r="BK10" s="29">
        <f>AA9</f>
        <v>0</v>
      </c>
      <c r="BL10" s="25" t="s">
        <v>1768</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3854</v>
      </c>
      <c r="J11" s="1801"/>
      <c r="K11" s="1800" t="s">
        <v>3326</v>
      </c>
      <c r="L11" s="1801"/>
      <c r="M11" s="1800" t="s">
        <v>3324</v>
      </c>
      <c r="N11" s="1801"/>
      <c r="O11" s="1800" t="s">
        <v>3395</v>
      </c>
      <c r="P11" s="1801"/>
      <c r="Q11" s="1800" t="s">
        <v>3397</v>
      </c>
      <c r="R11" s="1801"/>
      <c r="S11" s="1800" t="s">
        <v>1343</v>
      </c>
      <c r="T11" s="1801"/>
      <c r="U11" s="1800" t="s">
        <v>3862</v>
      </c>
      <c r="V11" s="1801"/>
      <c r="W11" s="1800" t="s">
        <v>3840</v>
      </c>
      <c r="X11" s="1801"/>
      <c r="Y11" s="1800"/>
      <c r="Z11" s="1801"/>
      <c r="AA11" s="1800"/>
      <c r="AB11" s="1801"/>
      <c r="AC11" s="1201"/>
      <c r="AD11" s="1802" t="s">
        <v>1778</v>
      </c>
      <c r="AE11" s="1546"/>
      <c r="AF11" s="1802" t="s">
        <v>1778</v>
      </c>
      <c r="AG11" s="1546"/>
      <c r="AH11" s="1802" t="s">
        <v>1779</v>
      </c>
      <c r="AI11" s="1803"/>
      <c r="AJ11" s="1802" t="s">
        <v>1779</v>
      </c>
      <c r="AK11" s="1546"/>
      <c r="AL11" s="1544"/>
      <c r="AM11" s="1546"/>
      <c r="AN11" s="1544"/>
      <c r="AO11" s="1546"/>
      <c r="AP11" s="1544"/>
      <c r="AQ11" s="1546"/>
      <c r="AR11" s="1544"/>
      <c r="AS11" s="1546"/>
      <c r="AT11" s="1763"/>
      <c r="AU11" s="1780"/>
      <c r="AV11" s="1201"/>
      <c r="AW11" s="1763"/>
      <c r="AX11" s="1201"/>
      <c r="AY11" s="28"/>
      <c r="AZ11" s="28"/>
      <c r="BA11" s="28"/>
      <c r="BB11" s="1785" t="str">
        <f>I10</f>
        <v>住宅</v>
      </c>
      <c r="BC11" s="1785" t="str">
        <f>K10</f>
        <v>住宅</v>
      </c>
      <c r="BD11" s="1785" t="str">
        <f>M10</f>
        <v>住宅</v>
      </c>
      <c r="BE11" s="1785" t="str">
        <f>O10</f>
        <v>住宅</v>
      </c>
      <c r="BF11" s="1785" t="str">
        <f>Q10</f>
        <v>住宅</v>
      </c>
      <c r="BG11" s="1785" t="str">
        <f>S10</f>
        <v>商业</v>
      </c>
      <c r="BH11" s="1785" t="str">
        <f>U10</f>
        <v>仓储</v>
      </c>
      <c r="BI11" s="1785" t="str">
        <f>W10</f>
        <v>车库</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1780</v>
      </c>
      <c r="J12" s="11" t="s">
        <v>1781</v>
      </c>
      <c r="K12" s="11" t="s">
        <v>1780</v>
      </c>
      <c r="L12" s="11" t="s">
        <v>1781</v>
      </c>
      <c r="M12" s="11" t="s">
        <v>1780</v>
      </c>
      <c r="N12" s="11" t="s">
        <v>1781</v>
      </c>
      <c r="O12" s="11" t="s">
        <v>1780</v>
      </c>
      <c r="P12" s="11" t="s">
        <v>1781</v>
      </c>
      <c r="Q12" s="11" t="s">
        <v>1780</v>
      </c>
      <c r="R12" s="11" t="s">
        <v>1781</v>
      </c>
      <c r="S12" s="11" t="s">
        <v>1780</v>
      </c>
      <c r="T12" s="11" t="s">
        <v>1781</v>
      </c>
      <c r="U12" s="11" t="s">
        <v>1780</v>
      </c>
      <c r="V12" s="1531" t="s">
        <v>1781</v>
      </c>
      <c r="W12" s="11" t="s">
        <v>1780</v>
      </c>
      <c r="X12" s="11" t="s">
        <v>1781</v>
      </c>
      <c r="Y12" s="11" t="s">
        <v>1780</v>
      </c>
      <c r="Z12" s="11" t="s">
        <v>1781</v>
      </c>
      <c r="AA12" s="11" t="s">
        <v>1780</v>
      </c>
      <c r="AB12" s="11" t="s">
        <v>1781</v>
      </c>
      <c r="AC12" s="1807"/>
      <c r="AD12" s="1534" t="s">
        <v>1780</v>
      </c>
      <c r="AE12" s="11" t="s">
        <v>1781</v>
      </c>
      <c r="AF12" s="11" t="s">
        <v>1780</v>
      </c>
      <c r="AG12" s="11" t="s">
        <v>1781</v>
      </c>
      <c r="AH12" s="11" t="s">
        <v>1780</v>
      </c>
      <c r="AI12" s="11" t="s">
        <v>1781</v>
      </c>
      <c r="AJ12" s="11" t="s">
        <v>1780</v>
      </c>
      <c r="AK12" s="11" t="s">
        <v>1781</v>
      </c>
      <c r="AL12" s="11" t="s">
        <v>1780</v>
      </c>
      <c r="AM12" s="11" t="s">
        <v>1781</v>
      </c>
      <c r="AN12" s="11" t="s">
        <v>1780</v>
      </c>
      <c r="AO12" s="11" t="s">
        <v>1781</v>
      </c>
      <c r="AP12" s="11" t="s">
        <v>1780</v>
      </c>
      <c r="AQ12" s="11" t="s">
        <v>1781</v>
      </c>
      <c r="AR12" s="30" t="s">
        <v>1780</v>
      </c>
      <c r="AS12" s="1805" t="s">
        <v>1781</v>
      </c>
      <c r="AT12" s="1808"/>
      <c r="AU12" s="1805"/>
      <c r="AV12" s="31"/>
      <c r="AW12" s="1764"/>
      <c r="AX12" s="31"/>
      <c r="AY12" s="1809"/>
      <c r="AZ12" s="28"/>
      <c r="BA12" s="1797"/>
      <c r="BB12" s="24" t="str">
        <f>I11</f>
        <v>高层</v>
      </c>
      <c r="BC12" s="1810" t="str">
        <f>K11</f>
        <v>洋房</v>
      </c>
      <c r="BD12" s="1810" t="str">
        <f>M11</f>
        <v>合院</v>
      </c>
      <c r="BE12" s="1785" t="str">
        <f>O11</f>
        <v>公租房</v>
      </c>
      <c r="BF12" s="1785" t="str">
        <f>Q11</f>
        <v>廉租房</v>
      </c>
      <c r="BG12" s="1785" t="str">
        <f>S11</f>
        <v>商业</v>
      </c>
      <c r="BH12" s="1785" t="str">
        <f>U11</f>
        <v>住宅地下</v>
      </c>
      <c r="BI12" s="1785" t="str">
        <f>W11</f>
        <v>车库</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c r="D13" s="1811" t="s">
        <v>3894</v>
      </c>
      <c r="E13" s="16">
        <f>IF($C$3="是",ROUND($A$3*G13/$B$3,2),ROUND($A$3*(G13-AT13)/$B$3,2))</f>
        <v>254442.35</v>
      </c>
      <c r="F13" s="32"/>
      <c r="G13" s="33">
        <f>H13+AC13+AT13</f>
        <v>715148.19</v>
      </c>
      <c r="H13" s="20">
        <f>SUMIF(I$12:AB$12,"总值",I13:AB13)</f>
        <v>709417.59</v>
      </c>
      <c r="I13" s="1812">
        <f>指标!E14</f>
        <v>468536.51999999996</v>
      </c>
      <c r="J13" s="1812"/>
      <c r="K13" s="1812">
        <f>指标!F14</f>
        <v>5483.52</v>
      </c>
      <c r="L13" s="1812"/>
      <c r="M13" s="1812">
        <f>指标!G14</f>
        <v>28565.589999999989</v>
      </c>
      <c r="N13" s="1812"/>
      <c r="O13" s="1812">
        <f>指标!I14</f>
        <v>8063.96</v>
      </c>
      <c r="P13" s="1812"/>
      <c r="Q13" s="1812">
        <f>指标!J14</f>
        <v>8395.68</v>
      </c>
      <c r="R13" s="1812"/>
      <c r="S13" s="1812">
        <f>指标!H14</f>
        <v>7658.2699999999995</v>
      </c>
      <c r="T13" s="1812"/>
      <c r="U13" s="1812">
        <f>指标!N14</f>
        <v>31222.400000000001</v>
      </c>
      <c r="V13" s="1812"/>
      <c r="W13" s="1812">
        <f>指标!O14</f>
        <v>151491.65</v>
      </c>
      <c r="X13" s="1812"/>
      <c r="Y13" s="1812"/>
      <c r="Z13" s="1812"/>
      <c r="AA13" s="1812"/>
      <c r="AB13" s="1812"/>
      <c r="AC13" s="16">
        <f>SUMIF(AD$12:AS$12,"总值",AD13:AS13)</f>
        <v>4976.66</v>
      </c>
      <c r="AD13" s="1813">
        <f>指标!K14</f>
        <v>4976.66</v>
      </c>
      <c r="AE13" s="1813"/>
      <c r="AF13" s="1813"/>
      <c r="AG13" s="1813"/>
      <c r="AH13" s="1813"/>
      <c r="AI13" s="1813"/>
      <c r="AJ13" s="1813"/>
      <c r="AK13" s="1813"/>
      <c r="AL13" s="1813"/>
      <c r="AM13" s="1813"/>
      <c r="AN13" s="1813"/>
      <c r="AO13" s="1813"/>
      <c r="AP13" s="1813"/>
      <c r="AQ13" s="1813"/>
      <c r="AR13" s="1813"/>
      <c r="AS13" s="1813"/>
      <c r="AT13" s="1814">
        <f>指标!L14</f>
        <v>753.94</v>
      </c>
      <c r="AU13" s="1815"/>
      <c r="AV13" s="11">
        <f t="shared" ref="AV13:AX17" si="6">A13</f>
        <v>0</v>
      </c>
      <c r="AW13" s="11">
        <f t="shared" si="6"/>
        <v>0</v>
      </c>
      <c r="AX13" s="11">
        <f t="shared" si="6"/>
        <v>0</v>
      </c>
      <c r="AY13" s="1534">
        <f>ROUND($AY$6*AZ13/$AZ$5,2)</f>
        <v>254442.35</v>
      </c>
      <c r="AZ13" s="16">
        <f>BA13+BL13</f>
        <v>714394.25</v>
      </c>
      <c r="BA13" s="16">
        <f>SUM(BB13:BK13)</f>
        <v>709417.59</v>
      </c>
      <c r="BB13" s="16">
        <f>IF($D13="是",I13-J13,0)</f>
        <v>468536.51999999996</v>
      </c>
      <c r="BC13" s="16">
        <f>IF($D13="是",K13-L13,0)</f>
        <v>5483.52</v>
      </c>
      <c r="BD13" s="16">
        <f>IF($D13="是",M13-N13,0)</f>
        <v>28565.589999999989</v>
      </c>
      <c r="BE13" s="16">
        <f>IF($D13="是",O13-P13,0)</f>
        <v>8063.96</v>
      </c>
      <c r="BF13" s="16">
        <f>IF($D13="是",Q13-R13,0)</f>
        <v>8395.68</v>
      </c>
      <c r="BG13" s="16">
        <f>IF($D13="是",S13-T13,0)</f>
        <v>7658.2699999999995</v>
      </c>
      <c r="BH13" s="16">
        <f>IF($D13="是",U13-V13,0)</f>
        <v>31222.400000000001</v>
      </c>
      <c r="BI13" s="16">
        <f>IF($D13="是",W13-X13,0)</f>
        <v>151491.65</v>
      </c>
      <c r="BJ13" s="16">
        <f>IF($D13="是",Y13-Z13,0)</f>
        <v>0</v>
      </c>
      <c r="BK13" s="16">
        <f>IF($D13="是",AA13-AB13,0)</f>
        <v>0</v>
      </c>
      <c r="BL13" s="16">
        <f>SUM(BM13:BT13)</f>
        <v>4976.66</v>
      </c>
      <c r="BM13" s="16">
        <f>IF($D13="是",AD13-AE13,0)</f>
        <v>4976.66</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845" t="s">
        <v>0</v>
      </c>
      <c r="B1" s="3845" t="s">
        <v>4</v>
      </c>
      <c r="C1" s="3845" t="s">
        <v>5</v>
      </c>
      <c r="D1" s="3846" t="s">
        <v>53</v>
      </c>
      <c r="E1" s="3846" t="s">
        <v>54</v>
      </c>
      <c r="F1" s="3846"/>
      <c r="G1" s="3846"/>
      <c r="H1" s="3846"/>
      <c r="I1" s="3846"/>
      <c r="J1" s="3846"/>
      <c r="K1" s="3846"/>
      <c r="L1" s="3846"/>
      <c r="M1" s="3846"/>
    </row>
    <row r="2" spans="1:13" ht="27" customHeight="1">
      <c r="A2" s="3845"/>
      <c r="B2" s="3845"/>
      <c r="C2" s="3845"/>
      <c r="D2" s="3846"/>
      <c r="E2" s="3846" t="s">
        <v>37</v>
      </c>
      <c r="F2" s="3846" t="s">
        <v>38</v>
      </c>
      <c r="G2" s="3846"/>
      <c r="H2" s="3846"/>
      <c r="I2" s="3846"/>
      <c r="J2" s="3846" t="s">
        <v>39</v>
      </c>
      <c r="K2" s="3846"/>
      <c r="L2" s="3846"/>
      <c r="M2" s="3846"/>
    </row>
    <row r="3" spans="1:13" ht="28.5">
      <c r="A3" s="3845"/>
      <c r="B3" s="3845"/>
      <c r="C3" s="3845"/>
      <c r="D3" s="3846"/>
      <c r="E3" s="38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46" t="s">
        <v>55</v>
      </c>
      <c r="B9" s="3846"/>
      <c r="C9" s="38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2"/>
  <sheetViews>
    <sheetView topLeftCell="B1" workbookViewId="0">
      <selection activeCell="M31" sqref="M31"/>
    </sheetView>
  </sheetViews>
  <sheetFormatPr defaultRowHeight="13.5"/>
  <cols>
    <col min="1" max="1" width="11.125" customWidth="1"/>
    <col min="3" max="3" width="10.5" bestFit="1" customWidth="1"/>
  </cols>
  <sheetData>
    <row r="2" spans="1:19">
      <c r="D2" s="3040" t="s">
        <v>3852</v>
      </c>
      <c r="M2" s="3040" t="s">
        <v>3860</v>
      </c>
      <c r="Q2" s="3040" t="s">
        <v>3876</v>
      </c>
      <c r="R2" s="3040" t="s">
        <v>3646</v>
      </c>
      <c r="S2" s="3040" t="s">
        <v>3877</v>
      </c>
    </row>
    <row r="3" spans="1:19">
      <c r="C3" s="3040" t="s">
        <v>3861</v>
      </c>
      <c r="D3" s="3040" t="s">
        <v>3858</v>
      </c>
      <c r="E3" s="3040" t="s">
        <v>3855</v>
      </c>
      <c r="F3" s="3040" t="s">
        <v>3871</v>
      </c>
      <c r="G3" s="3040" t="s">
        <v>3872</v>
      </c>
      <c r="H3" s="3040" t="s">
        <v>3856</v>
      </c>
      <c r="I3" s="3040" t="s">
        <v>3874</v>
      </c>
      <c r="J3" s="3040" t="s">
        <v>3875</v>
      </c>
      <c r="K3" s="3040" t="s">
        <v>3857</v>
      </c>
      <c r="L3" s="3040" t="s">
        <v>3873</v>
      </c>
      <c r="M3" s="3040" t="s">
        <v>3858</v>
      </c>
      <c r="N3" s="3041" t="s">
        <v>3863</v>
      </c>
      <c r="O3" s="3040" t="s">
        <v>3864</v>
      </c>
    </row>
    <row r="4" spans="1:19">
      <c r="A4" s="3478"/>
      <c r="B4" s="3478" t="s">
        <v>3853</v>
      </c>
      <c r="C4" s="3478">
        <f t="shared" ref="C4:C12" si="0">ROUND(D4+M4,2)</f>
        <v>65235.21</v>
      </c>
      <c r="D4" s="3478">
        <f t="shared" ref="D4:D12" si="1">SUM(E4:L4)</f>
        <v>64258.69</v>
      </c>
      <c r="E4" s="3478">
        <f>'3.1.1期指标'!G11</f>
        <v>50376.19</v>
      </c>
      <c r="F4" s="3478">
        <v>0</v>
      </c>
      <c r="G4" s="3478">
        <v>0</v>
      </c>
      <c r="H4" s="3478">
        <f>'3.1.1期指标'!G15</f>
        <v>4491.6400000000003</v>
      </c>
      <c r="I4" s="3478">
        <v>0</v>
      </c>
      <c r="J4" s="3478">
        <v>0</v>
      </c>
      <c r="K4" s="3478">
        <f>'3.1.1期指标'!G13+'3.1.1期指标'!G16</f>
        <v>9390.86</v>
      </c>
      <c r="L4" s="3478">
        <v>0</v>
      </c>
      <c r="M4" s="3478">
        <f>SUM(N4:O4)</f>
        <v>976.52</v>
      </c>
      <c r="N4" s="3478">
        <f>'3.1.1期指标'!G18</f>
        <v>976.52</v>
      </c>
      <c r="O4" s="3478">
        <f>'3.1.1期指标'!G19</f>
        <v>0</v>
      </c>
      <c r="P4" s="3478"/>
      <c r="Q4" s="3478">
        <f>'3.1.1期指标'!G20</f>
        <v>1.9637127456906536</v>
      </c>
      <c r="R4" s="3478">
        <v>0</v>
      </c>
      <c r="S4" s="3478">
        <f>'3.1.1期指标'!G7</f>
        <v>32723.06</v>
      </c>
    </row>
    <row r="5" spans="1:19">
      <c r="A5" s="3478"/>
      <c r="B5" s="3478" t="s">
        <v>3878</v>
      </c>
      <c r="C5" s="3478">
        <f t="shared" si="0"/>
        <v>78591.990000000005</v>
      </c>
      <c r="D5" s="3478">
        <f t="shared" si="1"/>
        <v>59867.24</v>
      </c>
      <c r="E5" s="3478">
        <f>'3.1.2期指标'!G11</f>
        <v>58728.95</v>
      </c>
      <c r="F5" s="3478">
        <v>0</v>
      </c>
      <c r="G5" s="3478">
        <v>0</v>
      </c>
      <c r="H5" s="3478">
        <f>'3.1.2期指标'!G15</f>
        <v>754.12</v>
      </c>
      <c r="I5" s="3478">
        <v>0</v>
      </c>
      <c r="J5" s="3478">
        <v>0</v>
      </c>
      <c r="K5" s="3478">
        <f>'3.1.2期指标'!G16</f>
        <v>384.17</v>
      </c>
      <c r="L5" s="3478">
        <v>0</v>
      </c>
      <c r="M5" s="3478">
        <f t="shared" ref="M5:M12" si="2">SUM(N5:O5)</f>
        <v>18724.75</v>
      </c>
      <c r="N5" s="3478">
        <f>'3.1.2期指标'!G18</f>
        <v>1753.8400000000001</v>
      </c>
      <c r="O5" s="3478">
        <f>'3.1.2期指标'!G19</f>
        <v>16970.91</v>
      </c>
      <c r="P5" s="3478"/>
      <c r="Q5" s="3478">
        <f>'3.1.2期指标'!G20</f>
        <v>2.2968792922200989</v>
      </c>
      <c r="R5" s="3478">
        <f>'3.1.2期指标'!G28</f>
        <v>525</v>
      </c>
      <c r="S5" s="3478">
        <f>'3.1.2期指标'!G7</f>
        <v>26064.600000000002</v>
      </c>
    </row>
    <row r="6" spans="1:19">
      <c r="A6" s="3040" t="s">
        <v>3981</v>
      </c>
      <c r="B6" s="3040" t="s">
        <v>3865</v>
      </c>
      <c r="C6" s="3040">
        <f t="shared" si="0"/>
        <v>51586.11</v>
      </c>
      <c r="D6" s="3040">
        <f t="shared" si="1"/>
        <v>50391.869999999995</v>
      </c>
      <c r="E6">
        <f>'3.2.1期指标'!G12</f>
        <v>47961.35</v>
      </c>
      <c r="F6">
        <v>0</v>
      </c>
      <c r="G6">
        <v>0</v>
      </c>
      <c r="H6">
        <f>'3.2.1期指标'!G16</f>
        <v>1802.6</v>
      </c>
      <c r="I6">
        <v>0</v>
      </c>
      <c r="J6">
        <v>0</v>
      </c>
      <c r="K6">
        <f>'3.2.1期指标'!G17</f>
        <v>627.92000000000007</v>
      </c>
      <c r="L6">
        <v>0</v>
      </c>
      <c r="M6">
        <f t="shared" si="2"/>
        <v>1194.24</v>
      </c>
      <c r="N6">
        <f>'3.2.1期指标'!G20</f>
        <v>1194.24</v>
      </c>
      <c r="O6">
        <f>'3.2.1期指标'!G21</f>
        <v>0</v>
      </c>
      <c r="Q6">
        <f>'3.2.1期指标'!G22</f>
        <v>2.767756042261226</v>
      </c>
      <c r="R6">
        <f>'3.2.1期指标'!G30</f>
        <v>0</v>
      </c>
      <c r="S6">
        <f>'3.2.1期指标'!G7</f>
        <v>18206.759999999998</v>
      </c>
    </row>
    <row r="7" spans="1:19">
      <c r="A7" s="3040" t="s">
        <v>3981</v>
      </c>
      <c r="B7" s="3040" t="s">
        <v>3866</v>
      </c>
      <c r="C7" s="3040">
        <f t="shared" si="0"/>
        <v>70993.66</v>
      </c>
      <c r="D7" s="3040">
        <f t="shared" si="1"/>
        <v>48611.579999999994</v>
      </c>
      <c r="E7">
        <f>'3.2.2期指标'!G12</f>
        <v>48611.579999999994</v>
      </c>
      <c r="F7">
        <v>0</v>
      </c>
      <c r="G7">
        <v>0</v>
      </c>
      <c r="H7">
        <f>'3.2.2期指标'!G16</f>
        <v>0</v>
      </c>
      <c r="I7">
        <v>0</v>
      </c>
      <c r="J7">
        <v>0</v>
      </c>
      <c r="K7">
        <f>'3.2.2期指标'!G17</f>
        <v>0</v>
      </c>
      <c r="L7">
        <v>0</v>
      </c>
      <c r="M7">
        <f t="shared" si="2"/>
        <v>22382.080000000002</v>
      </c>
      <c r="N7">
        <f>'3.2.2期指标'!G20</f>
        <v>1559.1100000000001</v>
      </c>
      <c r="O7">
        <f>'3.2.2期指标'!G21</f>
        <v>20822.97</v>
      </c>
      <c r="Q7">
        <f>'3.2.2期指标'!G22</f>
        <v>2.0283433092090295</v>
      </c>
      <c r="R7">
        <f>'3.2.2期指标'!G30</f>
        <v>738</v>
      </c>
      <c r="S7">
        <f>'3.2.2期指标'!G7</f>
        <v>23966.150000000005</v>
      </c>
    </row>
    <row r="8" spans="1:19">
      <c r="A8" s="3040" t="s">
        <v>3982</v>
      </c>
      <c r="B8" s="3476">
        <v>3.3</v>
      </c>
      <c r="C8" s="3040">
        <f t="shared" si="0"/>
        <v>90933.23</v>
      </c>
      <c r="D8" s="3040">
        <f t="shared" si="1"/>
        <v>57628.499999999985</v>
      </c>
      <c r="E8">
        <f>'3.3（三期）指标'!G11</f>
        <v>25514.77</v>
      </c>
      <c r="F8">
        <f>'3.3（三期）指标'!G13</f>
        <v>2741.76</v>
      </c>
      <c r="G8">
        <f>'3.3（三期）指标'!G12</f>
        <v>28565.589999999989</v>
      </c>
      <c r="H8">
        <f>'3.3（三期）指标'!G15</f>
        <v>0</v>
      </c>
      <c r="I8">
        <v>0</v>
      </c>
      <c r="J8">
        <v>0</v>
      </c>
      <c r="K8">
        <f>'3.3（三期）指标'!G16</f>
        <v>806.38</v>
      </c>
      <c r="L8">
        <v>0</v>
      </c>
      <c r="M8">
        <f t="shared" si="2"/>
        <v>33304.730000000003</v>
      </c>
      <c r="N8">
        <f>'3.3（三期）指标'!G18</f>
        <v>5994.9199999999992</v>
      </c>
      <c r="O8">
        <f>'3.3（三期）指标'!G19</f>
        <v>27309.81</v>
      </c>
      <c r="Q8">
        <f>'3.3（三期）指标'!G20</f>
        <v>1.1802018293911694</v>
      </c>
      <c r="R8">
        <f>'3.3（三期）指标'!G28</f>
        <v>796</v>
      </c>
      <c r="S8">
        <f>'3.3（三期）指标'!G7</f>
        <v>48829.36</v>
      </c>
    </row>
    <row r="9" spans="1:19">
      <c r="A9" s="3040" t="s">
        <v>3983</v>
      </c>
      <c r="B9" s="3477" t="s">
        <v>3867</v>
      </c>
      <c r="C9" s="3040">
        <f t="shared" si="0"/>
        <v>101558.93</v>
      </c>
      <c r="D9" s="3040">
        <f t="shared" si="1"/>
        <v>73955.859999999986</v>
      </c>
      <c r="E9">
        <f>'3.4（四期）指标'!G11</f>
        <v>70217.989999999991</v>
      </c>
      <c r="F9">
        <f>'3.4（四期）指标'!G12</f>
        <v>2741.76</v>
      </c>
      <c r="G9">
        <v>0</v>
      </c>
      <c r="H9">
        <v>0</v>
      </c>
      <c r="I9">
        <v>0</v>
      </c>
      <c r="J9">
        <v>0</v>
      </c>
      <c r="K9">
        <f>'3.4（四期）指标'!G16</f>
        <v>806.38</v>
      </c>
      <c r="L9">
        <f>'3.4（四期）指标'!G14</f>
        <v>189.73</v>
      </c>
      <c r="M9">
        <f t="shared" si="2"/>
        <v>27603.07</v>
      </c>
      <c r="N9">
        <f>'3.4（四期）指标'!G18</f>
        <v>5778.2300000000005</v>
      </c>
      <c r="O9">
        <f>'3.4（四期）指标'!G19</f>
        <v>21824.84</v>
      </c>
      <c r="Q9">
        <f>'3.4（四期）指标'!G20</f>
        <v>2.4495492457840946</v>
      </c>
      <c r="R9">
        <f>'3.4（四期）指标'!G28</f>
        <v>648</v>
      </c>
      <c r="S9">
        <f>'3.4（四期）指标'!G7</f>
        <v>30191.62</v>
      </c>
    </row>
    <row r="10" spans="1:19">
      <c r="A10" s="3040" t="s">
        <v>3983</v>
      </c>
      <c r="B10" s="3477" t="s">
        <v>3868</v>
      </c>
      <c r="C10" s="3040">
        <f t="shared" si="0"/>
        <v>146190.57</v>
      </c>
      <c r="D10" s="3040">
        <f t="shared" si="1"/>
        <v>99494.9</v>
      </c>
      <c r="E10">
        <f>'3.5（五期）指标'!G11</f>
        <v>99165.189999999988</v>
      </c>
      <c r="F10">
        <v>0</v>
      </c>
      <c r="G10">
        <v>0</v>
      </c>
      <c r="H10">
        <v>0</v>
      </c>
      <c r="I10">
        <v>0</v>
      </c>
      <c r="J10">
        <v>0</v>
      </c>
      <c r="K10">
        <v>0</v>
      </c>
      <c r="L10">
        <f>'3.5（五期）指标'!G14</f>
        <v>329.71000000000004</v>
      </c>
      <c r="M10">
        <f t="shared" si="2"/>
        <v>46695.670000000006</v>
      </c>
      <c r="N10">
        <f>'3.5（五期）指标'!G18</f>
        <v>7874.0100000000011</v>
      </c>
      <c r="O10">
        <f>'3.5（五期）指标'!G19</f>
        <v>38821.660000000003</v>
      </c>
      <c r="Q10">
        <f>'3.5（五期）指标'!G20</f>
        <v>2.0906664503749104</v>
      </c>
      <c r="R10">
        <f>'3.5（五期）指标'!G28</f>
        <v>1192</v>
      </c>
      <c r="S10">
        <f>'3.5（五期）指标'!G7</f>
        <v>47590.04</v>
      </c>
    </row>
    <row r="11" spans="1:19">
      <c r="A11" s="3040" t="s">
        <v>3983</v>
      </c>
      <c r="B11" s="3477" t="s">
        <v>3869</v>
      </c>
      <c r="C11" s="3040">
        <f t="shared" si="0"/>
        <v>132471.75</v>
      </c>
      <c r="D11" s="3040">
        <f t="shared" si="1"/>
        <v>105554.60999999999</v>
      </c>
      <c r="E11">
        <f>'3.6（六期）指标'!G11</f>
        <v>82603.929999999993</v>
      </c>
      <c r="F11">
        <v>0</v>
      </c>
      <c r="G11">
        <v>0</v>
      </c>
      <c r="H11">
        <f>'3.6（六期）指标'!G15</f>
        <v>4712.29</v>
      </c>
      <c r="I11">
        <f>'3.6（六期）指标'!G12</f>
        <v>8063.96</v>
      </c>
      <c r="J11">
        <f>'3.6（六期）指标'!G13</f>
        <v>8395.68</v>
      </c>
      <c r="K11">
        <f>'3.6（六期）指标'!G16</f>
        <v>1544.25</v>
      </c>
      <c r="L11">
        <f>'3.6（六期）指标'!G14</f>
        <v>234.5</v>
      </c>
      <c r="M11">
        <f t="shared" si="2"/>
        <v>26917.140000000003</v>
      </c>
      <c r="N11">
        <f>'3.6（六期）指标'!G18</f>
        <v>5895.06</v>
      </c>
      <c r="O11">
        <f>'3.6（六期）指标'!G19</f>
        <v>21022.080000000002</v>
      </c>
      <c r="Q11">
        <f>'3.6（六期）指标'!G20</f>
        <v>2.4368756716698736</v>
      </c>
      <c r="R11">
        <f>'3.6（六期）指标'!G29</f>
        <v>603</v>
      </c>
      <c r="S11">
        <f>'3.6（六期）指标'!G7</f>
        <v>43315.55</v>
      </c>
    </row>
    <row r="12" spans="1:19">
      <c r="A12" s="3040" t="s">
        <v>3983</v>
      </c>
      <c r="B12" s="3477" t="s">
        <v>3870</v>
      </c>
      <c r="C12" s="3040">
        <f t="shared" si="0"/>
        <v>121413.94</v>
      </c>
      <c r="D12" s="3040">
        <f t="shared" si="1"/>
        <v>96796.819999999978</v>
      </c>
      <c r="E12">
        <f>'3.7（七期）指标'!G11</f>
        <v>94461.709999999977</v>
      </c>
      <c r="F12">
        <v>0</v>
      </c>
      <c r="G12">
        <v>0</v>
      </c>
      <c r="H12">
        <f>'3.7（七期）指标'!G15</f>
        <v>1143.3800000000001</v>
      </c>
      <c r="I12">
        <v>0</v>
      </c>
      <c r="J12">
        <v>0</v>
      </c>
      <c r="K12">
        <f>'3.7（七期）指标'!G16</f>
        <v>1191.73</v>
      </c>
      <c r="L12">
        <v>0</v>
      </c>
      <c r="M12">
        <f t="shared" si="2"/>
        <v>24617.120000000003</v>
      </c>
      <c r="N12">
        <f>'3.7（七期）指标'!G19</f>
        <v>2926.83</v>
      </c>
      <c r="O12">
        <f>'3.7（七期）指标'!G20</f>
        <v>21690.29</v>
      </c>
      <c r="Q12">
        <f>'3.7（七期）指标'!G21</f>
        <v>2.2860240696957934</v>
      </c>
      <c r="R12">
        <f>'3.7（七期）指标'!G29</f>
        <v>773</v>
      </c>
      <c r="S12">
        <f>'3.7（七期）指标'!G7</f>
        <v>42342.870000000024</v>
      </c>
    </row>
    <row r="13" spans="1:19">
      <c r="C13" s="3040">
        <f>SUM(C4:C12)</f>
        <v>858975.3899999999</v>
      </c>
      <c r="D13" s="3040">
        <f t="shared" ref="D13:O13" si="3">SUM(D4:D12)</f>
        <v>656560.06999999983</v>
      </c>
      <c r="E13" s="3040">
        <f t="shared" si="3"/>
        <v>577641.65999999992</v>
      </c>
      <c r="F13" s="3040">
        <f t="shared" si="3"/>
        <v>5483.52</v>
      </c>
      <c r="G13" s="3040">
        <f t="shared" si="3"/>
        <v>28565.589999999989</v>
      </c>
      <c r="H13" s="3040">
        <f t="shared" si="3"/>
        <v>12904.030000000002</v>
      </c>
      <c r="I13" s="3040">
        <f t="shared" si="3"/>
        <v>8063.96</v>
      </c>
      <c r="J13" s="3040">
        <f t="shared" si="3"/>
        <v>8395.68</v>
      </c>
      <c r="K13" s="3040">
        <f t="shared" si="3"/>
        <v>14751.689999999999</v>
      </c>
      <c r="L13" s="3040">
        <f t="shared" si="3"/>
        <v>753.94</v>
      </c>
      <c r="M13" s="3040">
        <f t="shared" si="3"/>
        <v>202415.32000000004</v>
      </c>
      <c r="N13" s="3040">
        <f t="shared" si="3"/>
        <v>33952.76</v>
      </c>
      <c r="O13" s="3040">
        <f t="shared" si="3"/>
        <v>168462.56000000003</v>
      </c>
      <c r="R13" s="3040">
        <f t="shared" ref="R13:S13" si="4">SUM(R4:R12)</f>
        <v>5275</v>
      </c>
      <c r="S13" s="3040">
        <f t="shared" si="4"/>
        <v>313230.01</v>
      </c>
    </row>
    <row r="14" spans="1:19">
      <c r="B14" s="3479" t="s">
        <v>3879</v>
      </c>
      <c r="C14" s="3480">
        <f t="shared" ref="C14:O14" si="5">SUM(C6:C12)</f>
        <v>715148.19</v>
      </c>
      <c r="D14" s="3480">
        <f t="shared" si="5"/>
        <v>532434.1399999999</v>
      </c>
      <c r="E14" s="3480">
        <f t="shared" si="5"/>
        <v>468536.51999999996</v>
      </c>
      <c r="F14" s="3480">
        <f t="shared" si="5"/>
        <v>5483.52</v>
      </c>
      <c r="G14" s="3480">
        <f t="shared" si="5"/>
        <v>28565.589999999989</v>
      </c>
      <c r="H14" s="3480">
        <f t="shared" si="5"/>
        <v>7658.2699999999995</v>
      </c>
      <c r="I14" s="3480">
        <f t="shared" si="5"/>
        <v>8063.96</v>
      </c>
      <c r="J14" s="3480">
        <f t="shared" si="5"/>
        <v>8395.68</v>
      </c>
      <c r="K14" s="3480">
        <f t="shared" si="5"/>
        <v>4976.66</v>
      </c>
      <c r="L14" s="3480">
        <f t="shared" si="5"/>
        <v>753.94</v>
      </c>
      <c r="M14" s="3480">
        <f t="shared" si="5"/>
        <v>182714.05000000002</v>
      </c>
      <c r="N14" s="3480">
        <f t="shared" si="5"/>
        <v>31222.400000000001</v>
      </c>
      <c r="O14" s="3480">
        <f t="shared" si="5"/>
        <v>151491.65</v>
      </c>
      <c r="P14" s="3481"/>
      <c r="Q14" s="3481"/>
      <c r="R14" s="3480">
        <f>SUM(R6:R12)</f>
        <v>4750</v>
      </c>
      <c r="S14" s="3480">
        <f>SUM(S6:S12)</f>
        <v>254442.35</v>
      </c>
    </row>
    <row r="18" spans="1:13">
      <c r="J18" s="3040" t="s">
        <v>3997</v>
      </c>
      <c r="K18" s="3493">
        <v>0.5</v>
      </c>
    </row>
    <row r="19" spans="1:13">
      <c r="B19" s="3040" t="s">
        <v>3984</v>
      </c>
      <c r="I19" s="3040" t="s">
        <v>3860</v>
      </c>
      <c r="J19" s="3040" t="s">
        <v>3996</v>
      </c>
      <c r="K19" s="3040" t="s">
        <v>3998</v>
      </c>
      <c r="L19" s="3040" t="s">
        <v>3999</v>
      </c>
    </row>
    <row r="20" spans="1:13">
      <c r="A20">
        <v>3.2</v>
      </c>
      <c r="B20">
        <v>17</v>
      </c>
      <c r="C20" s="3040" t="s">
        <v>3985</v>
      </c>
      <c r="G20">
        <v>3</v>
      </c>
      <c r="H20">
        <v>12</v>
      </c>
      <c r="I20" s="3493">
        <v>0.1</v>
      </c>
      <c r="J20" s="3494">
        <f t="shared" ref="J20:J30" si="6">ROUND(G20/H20*$K$18,2)</f>
        <v>0.13</v>
      </c>
      <c r="K20" s="3493">
        <f>J20+I20</f>
        <v>0.23</v>
      </c>
      <c r="L20">
        <f>'3.2.1期指标'!N10</f>
        <v>11722</v>
      </c>
      <c r="M20" s="3494">
        <f>ROUND(L20/$L$31*K20,2)</f>
        <v>0.03</v>
      </c>
    </row>
    <row r="21" spans="1:13">
      <c r="B21">
        <v>18</v>
      </c>
      <c r="C21" s="3040" t="s">
        <v>3986</v>
      </c>
      <c r="G21">
        <v>7</v>
      </c>
      <c r="H21">
        <v>12</v>
      </c>
      <c r="I21" s="3493">
        <v>0.1</v>
      </c>
      <c r="J21" s="3494">
        <f t="shared" si="6"/>
        <v>0.28999999999999998</v>
      </c>
      <c r="K21" s="3493">
        <f t="shared" ref="K21:K30" si="7">J21+I21</f>
        <v>0.39</v>
      </c>
      <c r="L21">
        <f>'3.2.2期指标'!N6</f>
        <v>7547.8499999999995</v>
      </c>
      <c r="M21" s="3494">
        <f t="shared" ref="M21:M30" si="8">ROUND(L21/$L$31*K21,2)</f>
        <v>0.03</v>
      </c>
    </row>
    <row r="22" spans="1:13">
      <c r="B22">
        <v>19</v>
      </c>
      <c r="C22" s="3040" t="s">
        <v>3987</v>
      </c>
      <c r="G22">
        <v>7</v>
      </c>
      <c r="H22">
        <v>12</v>
      </c>
      <c r="I22" s="3493">
        <v>0.1</v>
      </c>
      <c r="J22" s="3494">
        <f t="shared" si="6"/>
        <v>0.28999999999999998</v>
      </c>
      <c r="K22" s="3493">
        <f t="shared" si="7"/>
        <v>0.39</v>
      </c>
      <c r="L22">
        <f>'3.2.2期指标'!N14</f>
        <v>9989.5999999999985</v>
      </c>
      <c r="M22" s="3494">
        <f t="shared" si="8"/>
        <v>0.04</v>
      </c>
    </row>
    <row r="23" spans="1:13">
      <c r="B23">
        <v>20</v>
      </c>
      <c r="C23" s="3040" t="s">
        <v>3988</v>
      </c>
      <c r="G23">
        <v>4</v>
      </c>
      <c r="H23">
        <v>12</v>
      </c>
      <c r="I23" s="3493">
        <v>0.1</v>
      </c>
      <c r="J23" s="3494">
        <f t="shared" si="6"/>
        <v>0.17</v>
      </c>
      <c r="K23" s="3493">
        <f t="shared" si="7"/>
        <v>0.27</v>
      </c>
      <c r="L23">
        <f>'3.2.2期指标'!N15</f>
        <v>7547.88</v>
      </c>
      <c r="M23" s="3494">
        <f t="shared" si="8"/>
        <v>0.02</v>
      </c>
    </row>
    <row r="24" spans="1:13">
      <c r="B24">
        <v>21</v>
      </c>
      <c r="C24" s="3040" t="s">
        <v>3989</v>
      </c>
      <c r="H24">
        <v>12</v>
      </c>
      <c r="I24" s="3493">
        <v>0.05</v>
      </c>
      <c r="J24" s="3494">
        <f t="shared" si="6"/>
        <v>0</v>
      </c>
      <c r="K24" s="3493">
        <f t="shared" si="7"/>
        <v>0.05</v>
      </c>
      <c r="L24">
        <f>'3.2.1期指标'!N16</f>
        <v>11462.52</v>
      </c>
      <c r="M24" s="3494">
        <f t="shared" si="8"/>
        <v>0.01</v>
      </c>
    </row>
    <row r="25" spans="1:13">
      <c r="B25">
        <v>22</v>
      </c>
      <c r="C25" s="3040" t="s">
        <v>3990</v>
      </c>
      <c r="H25">
        <v>12</v>
      </c>
      <c r="I25" s="3493">
        <v>0.05</v>
      </c>
      <c r="J25" s="3494">
        <f t="shared" si="6"/>
        <v>0</v>
      </c>
      <c r="K25" s="3493">
        <f t="shared" si="7"/>
        <v>0.05</v>
      </c>
      <c r="L25">
        <f>'3.2.2期指标'!N20</f>
        <v>7547.88</v>
      </c>
      <c r="M25" s="3494">
        <f t="shared" si="8"/>
        <v>0</v>
      </c>
    </row>
    <row r="26" spans="1:13">
      <c r="B26">
        <v>23</v>
      </c>
      <c r="C26" s="3040" t="s">
        <v>3991</v>
      </c>
      <c r="H26">
        <v>12</v>
      </c>
      <c r="I26" s="3493">
        <v>0.05</v>
      </c>
      <c r="J26" s="3494">
        <f t="shared" si="6"/>
        <v>0</v>
      </c>
      <c r="K26" s="3493">
        <f t="shared" si="7"/>
        <v>0.05</v>
      </c>
      <c r="L26">
        <f>'3.2.2期指标'!N21</f>
        <v>9989.5999999999985</v>
      </c>
      <c r="M26" s="3494">
        <f t="shared" si="8"/>
        <v>0</v>
      </c>
    </row>
    <row r="27" spans="1:13">
      <c r="B27">
        <v>24</v>
      </c>
      <c r="C27" s="3040" t="s">
        <v>3992</v>
      </c>
      <c r="H27">
        <v>12</v>
      </c>
      <c r="I27" s="3493">
        <v>0.1</v>
      </c>
      <c r="J27" s="3494">
        <f t="shared" si="6"/>
        <v>0</v>
      </c>
      <c r="K27" s="3493">
        <f t="shared" si="7"/>
        <v>0.1</v>
      </c>
      <c r="L27">
        <f>'3.2.2期指标'!N22</f>
        <v>7547.88</v>
      </c>
      <c r="M27" s="3494">
        <f t="shared" si="8"/>
        <v>0.01</v>
      </c>
    </row>
    <row r="28" spans="1:13">
      <c r="B28">
        <v>25</v>
      </c>
      <c r="C28" s="3040" t="s">
        <v>3993</v>
      </c>
      <c r="G28">
        <v>3</v>
      </c>
      <c r="H28">
        <v>12</v>
      </c>
      <c r="I28" s="3493">
        <v>0.1</v>
      </c>
      <c r="J28" s="3494">
        <f t="shared" si="6"/>
        <v>0.13</v>
      </c>
      <c r="K28" s="3493">
        <f t="shared" si="7"/>
        <v>0.23</v>
      </c>
      <c r="L28">
        <f>'3.2.1期指标'!N23</f>
        <v>11000.65</v>
      </c>
      <c r="M28" s="3494">
        <f t="shared" si="8"/>
        <v>0.02</v>
      </c>
    </row>
    <row r="29" spans="1:13">
      <c r="B29">
        <v>26</v>
      </c>
      <c r="C29" s="3040" t="s">
        <v>3994</v>
      </c>
      <c r="G29">
        <v>6</v>
      </c>
      <c r="H29">
        <v>12</v>
      </c>
      <c r="I29" s="3493">
        <v>0.1</v>
      </c>
      <c r="J29" s="3494">
        <f t="shared" si="6"/>
        <v>0.25</v>
      </c>
      <c r="K29" s="3493">
        <f t="shared" si="7"/>
        <v>0.35</v>
      </c>
      <c r="L29">
        <f>'3.2.1期指标'!N24</f>
        <v>7492.8</v>
      </c>
      <c r="M29" s="3494">
        <f t="shared" si="8"/>
        <v>0.03</v>
      </c>
    </row>
    <row r="30" spans="1:13">
      <c r="B30">
        <v>27</v>
      </c>
      <c r="C30" s="3040" t="s">
        <v>3995</v>
      </c>
      <c r="G30">
        <v>7</v>
      </c>
      <c r="H30">
        <v>12</v>
      </c>
      <c r="I30" s="3493">
        <v>0.1</v>
      </c>
      <c r="J30" s="3494">
        <f t="shared" si="6"/>
        <v>0.28999999999999998</v>
      </c>
      <c r="K30" s="3493">
        <f t="shared" si="7"/>
        <v>0.39</v>
      </c>
      <c r="L30">
        <f>'3.2.1期指标'!N25</f>
        <v>9908.14</v>
      </c>
      <c r="M30" s="3494">
        <f t="shared" si="8"/>
        <v>0.04</v>
      </c>
    </row>
    <row r="31" spans="1:13">
      <c r="L31">
        <f>SUM(L20:L30)</f>
        <v>101756.79999999999</v>
      </c>
      <c r="M31" s="3494">
        <f>SUM(M20:M30)</f>
        <v>0.23</v>
      </c>
    </row>
    <row r="32" spans="1:13">
      <c r="M32" s="3494">
        <f>ROUND(M31*(C6+C7)/C14,2)</f>
        <v>0.04</v>
      </c>
    </row>
  </sheetData>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7" sqref="G2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1807</v>
      </c>
      <c r="B1" s="1300"/>
      <c r="C1" s="1300"/>
      <c r="D1" s="1300"/>
      <c r="E1" s="1300"/>
      <c r="F1" s="1300"/>
      <c r="G1" s="1300"/>
      <c r="H1" s="1300"/>
      <c r="I1" s="1300"/>
      <c r="J1" s="1300"/>
      <c r="K1" s="1300"/>
      <c r="L1" s="1300"/>
      <c r="M1" s="1300"/>
      <c r="N1" s="1300"/>
      <c r="O1" s="1300"/>
      <c r="P1" s="1300"/>
    </row>
    <row r="2" spans="1:16" ht="15">
      <c r="A2" s="3856" t="s">
        <v>1808</v>
      </c>
      <c r="B2" s="3856"/>
      <c r="C2" s="3856"/>
      <c r="D2" s="904" t="s">
        <v>1784</v>
      </c>
      <c r="E2" s="1825" t="s">
        <v>1785</v>
      </c>
      <c r="F2" s="2884"/>
      <c r="G2" s="2875"/>
      <c r="H2" s="2876"/>
      <c r="I2" s="2549" t="s">
        <v>1809</v>
      </c>
      <c r="J2" s="2884"/>
      <c r="K2" s="2884"/>
      <c r="L2" s="2884"/>
      <c r="M2" s="2884"/>
      <c r="N2" s="2886"/>
      <c r="O2" s="2884"/>
      <c r="P2" s="2884"/>
    </row>
    <row r="3" spans="1:16" ht="15.75" thickBot="1">
      <c r="A3" s="3857" t="s">
        <v>1782</v>
      </c>
      <c r="B3" s="3857"/>
      <c r="C3" s="3857"/>
      <c r="D3" s="46">
        <f>'数据-基础表'!AY6</f>
        <v>254442.35</v>
      </c>
      <c r="E3" s="46">
        <f>'数据-基础表'!AZ5</f>
        <v>714394.25</v>
      </c>
      <c r="F3" s="2884"/>
      <c r="G3" s="1306"/>
      <c r="H3" s="1156" t="s">
        <v>1783</v>
      </c>
      <c r="I3" s="963">
        <f>ROUND('数据-基础表'!B3/'数据-基础表'!A3,2)</f>
        <v>2.81</v>
      </c>
      <c r="J3" s="2884"/>
      <c r="K3" s="2884"/>
      <c r="L3" s="2884"/>
      <c r="M3" s="2884"/>
      <c r="N3" s="2886"/>
      <c r="O3" s="2884"/>
      <c r="P3" s="2884"/>
    </row>
    <row r="4" spans="1:16" ht="15">
      <c r="A4" s="3858"/>
      <c r="B4" s="3859"/>
      <c r="C4" s="3860"/>
      <c r="D4" s="1827" t="s">
        <v>1784</v>
      </c>
      <c r="E4" s="1828" t="s">
        <v>1785</v>
      </c>
      <c r="F4" s="2884"/>
      <c r="G4" s="2877" t="s">
        <v>1810</v>
      </c>
      <c r="H4" s="1156" t="s">
        <v>1790</v>
      </c>
      <c r="I4" s="963">
        <f>ROUND(SUMIF('数据-基础表'!I9:AS9,"地上",'数据-基础表'!I5:AS5)/'数据-基础表'!A3,2)</f>
        <v>2.09</v>
      </c>
      <c r="J4" s="2884"/>
      <c r="K4" s="2884"/>
      <c r="L4" s="2884"/>
      <c r="M4" s="2884"/>
      <c r="N4" s="2886"/>
      <c r="O4" s="2884"/>
      <c r="P4" s="2884"/>
    </row>
    <row r="5" spans="1:16">
      <c r="A5" s="47" t="s">
        <v>1786</v>
      </c>
      <c r="B5" s="3861" t="s">
        <v>1787</v>
      </c>
      <c r="C5" s="3861"/>
      <c r="D5" s="48">
        <f>ROUND($D$3*E5/$E$3,2)</f>
        <v>184865.85</v>
      </c>
      <c r="E5" s="49">
        <f>SUMIF('数据-基础表'!$11:$11,"住宅",'数据-基础表'!$5:$5)</f>
        <v>519045.26999999996</v>
      </c>
      <c r="F5" s="2884"/>
      <c r="G5" s="1306"/>
      <c r="H5" s="1156" t="s">
        <v>1783</v>
      </c>
      <c r="I5" s="963">
        <f>ROUND(E31/D31,2)</f>
        <v>2.81</v>
      </c>
      <c r="J5" s="2884"/>
      <c r="K5" s="2884"/>
      <c r="L5" s="2884"/>
      <c r="M5" s="2884"/>
      <c r="N5" s="2884"/>
      <c r="O5" s="2884"/>
      <c r="P5" s="2884"/>
    </row>
    <row r="6" spans="1:16" ht="15" thickBot="1">
      <c r="A6" s="1830"/>
      <c r="B6" s="3861" t="s">
        <v>1788</v>
      </c>
      <c r="C6" s="3861"/>
      <c r="D6" s="48">
        <f>ROUND($D$3*E6/$E$3,2)</f>
        <v>69576.5</v>
      </c>
      <c r="E6" s="49">
        <f>E3-E5</f>
        <v>195348.98000000004</v>
      </c>
      <c r="F6" s="2884"/>
      <c r="G6" s="2878" t="s">
        <v>1789</v>
      </c>
      <c r="H6" s="1307" t="s">
        <v>1790</v>
      </c>
      <c r="I6" s="2879">
        <f>ROUND(F31/D31,2)</f>
        <v>2.09</v>
      </c>
      <c r="J6" s="2884"/>
      <c r="K6" s="2884"/>
      <c r="L6" s="2884"/>
      <c r="M6" s="2884"/>
      <c r="N6" s="2884"/>
      <c r="O6" s="2884"/>
      <c r="P6" s="2884"/>
    </row>
    <row r="7" spans="1:16" ht="15.75" thickBot="1">
      <c r="A7" s="3853"/>
      <c r="B7" s="3854"/>
      <c r="C7" s="3855"/>
      <c r="D7" s="1827" t="s">
        <v>1784</v>
      </c>
      <c r="E7" s="1831" t="s">
        <v>1791</v>
      </c>
      <c r="F7" s="2884"/>
      <c r="G7" s="2880" t="s">
        <v>1792</v>
      </c>
      <c r="H7" s="2881"/>
      <c r="I7" s="2882"/>
      <c r="J7" s="2884"/>
      <c r="K7" s="2884"/>
      <c r="L7" s="2884"/>
      <c r="M7" s="2884"/>
      <c r="N7" s="2884"/>
      <c r="O7" s="2884"/>
      <c r="P7" s="2884"/>
    </row>
    <row r="8" spans="1:16">
      <c r="A8" s="47" t="s">
        <v>1793</v>
      </c>
      <c r="B8" s="50" t="s">
        <v>1794</v>
      </c>
      <c r="C8" s="48" t="s">
        <v>1795</v>
      </c>
      <c r="D8" s="48">
        <f t="shared" ref="D8:D15" si="0">ROUND($D$3*E8/$E$3,2)</f>
        <v>187593.46</v>
      </c>
      <c r="E8" s="51">
        <f>SUMIF('数据-基础表'!BB10:BK10,"地上",'数据-基础表'!BB5:BK5)</f>
        <v>526703.53999999992</v>
      </c>
      <c r="F8" s="2884"/>
      <c r="G8" s="2885"/>
      <c r="H8" s="2885"/>
      <c r="I8" s="2884"/>
      <c r="J8" s="2884"/>
      <c r="K8" s="2884"/>
      <c r="L8" s="2884"/>
      <c r="M8" s="2884"/>
      <c r="N8" s="2884"/>
      <c r="O8" s="2884"/>
      <c r="P8" s="2884"/>
    </row>
    <row r="9" spans="1:16">
      <c r="A9" s="1832"/>
      <c r="B9" s="1833"/>
      <c r="C9" s="48" t="s">
        <v>1796</v>
      </c>
      <c r="D9" s="48">
        <f t="shared" si="0"/>
        <v>0</v>
      </c>
      <c r="E9" s="52">
        <v>0</v>
      </c>
      <c r="F9" s="2884"/>
      <c r="G9" s="2885"/>
      <c r="H9" s="2885"/>
      <c r="I9" s="2884"/>
      <c r="J9" s="2884"/>
      <c r="K9" s="2884"/>
      <c r="L9" s="2884"/>
      <c r="M9" s="2884"/>
      <c r="N9" s="2884"/>
      <c r="O9" s="2884"/>
      <c r="P9" s="2884"/>
    </row>
    <row r="10" spans="1:16">
      <c r="A10" s="1832"/>
      <c r="B10" s="1833"/>
      <c r="C10" s="48" t="s">
        <v>1805</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1797</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1798</v>
      </c>
      <c r="D12" s="48">
        <f t="shared" si="0"/>
        <v>11120.33</v>
      </c>
      <c r="E12" s="51">
        <f>SUMPRODUCT(('数据-基础表'!BB10:BK10="地下")*('数据-基础表'!BB11:BK11="仓储")*('数据-基础表'!BB5:BK5))</f>
        <v>31222.400000000001</v>
      </c>
      <c r="F12" s="2884"/>
      <c r="G12" s="2885"/>
      <c r="H12" s="2885"/>
      <c r="I12" s="2884"/>
      <c r="J12" s="2884"/>
      <c r="K12" s="2884"/>
      <c r="L12" s="2884"/>
      <c r="M12" s="2884"/>
      <c r="N12" s="2884"/>
      <c r="O12" s="2884"/>
      <c r="P12" s="2884"/>
    </row>
    <row r="13" spans="1:16">
      <c r="A13" s="1832"/>
      <c r="B13" s="1833"/>
      <c r="C13" s="48" t="s">
        <v>1799</v>
      </c>
      <c r="D13" s="48">
        <f t="shared" si="0"/>
        <v>53956.05</v>
      </c>
      <c r="E13" s="51">
        <f>SUMPRODUCT(('数据-基础表'!BB10:BK10="地下")*('数据-基础表'!BB11:BK11="车库")*('数据-基础表'!BB5:BK5))</f>
        <v>151491.65</v>
      </c>
      <c r="F13" s="2884"/>
      <c r="G13" s="2885"/>
      <c r="H13" s="2885"/>
      <c r="I13" s="2884"/>
      <c r="J13" s="2884"/>
      <c r="K13" s="2884"/>
      <c r="L13" s="2884"/>
      <c r="M13" s="2884"/>
      <c r="N13" s="2884"/>
      <c r="O13" s="2884"/>
      <c r="P13" s="2884"/>
    </row>
    <row r="14" spans="1:16">
      <c r="A14" s="1832"/>
      <c r="B14" s="1833"/>
      <c r="C14" s="48" t="s">
        <v>1811</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1806</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1800</v>
      </c>
      <c r="D16" s="50">
        <f>SUM(D8:D15)</f>
        <v>252669.83999999997</v>
      </c>
      <c r="E16" s="53">
        <f>SUM(E8:E15)</f>
        <v>709417.59</v>
      </c>
      <c r="F16" s="2884"/>
      <c r="G16" s="2885"/>
      <c r="H16" s="1834" t="s">
        <v>1812</v>
      </c>
      <c r="I16" s="1835"/>
      <c r="J16" s="1300"/>
      <c r="K16" s="3850" t="s">
        <v>1812</v>
      </c>
      <c r="L16" s="3851"/>
      <c r="M16" s="3851"/>
      <c r="N16" s="3851"/>
      <c r="O16" s="3851"/>
      <c r="P16" s="3852"/>
    </row>
    <row r="17" spans="1:19" ht="15">
      <c r="A17" s="1836" t="s">
        <v>1813</v>
      </c>
      <c r="B17" s="1837" t="s">
        <v>1814</v>
      </c>
      <c r="C17" s="1838" t="s">
        <v>1815</v>
      </c>
      <c r="D17" s="1839" t="s">
        <v>1803</v>
      </c>
      <c r="E17" s="1840" t="s">
        <v>1804</v>
      </c>
      <c r="F17" s="1841"/>
      <c r="G17" s="1842"/>
      <c r="H17" s="1843" t="s">
        <v>1816</v>
      </c>
      <c r="I17" s="1844" t="s">
        <v>1801</v>
      </c>
      <c r="J17" s="1300"/>
      <c r="K17" s="3847" t="s">
        <v>1817</v>
      </c>
      <c r="L17" s="3848"/>
      <c r="M17" s="3849"/>
      <c r="N17" s="3847" t="s">
        <v>1818</v>
      </c>
      <c r="O17" s="3848"/>
      <c r="P17" s="3849"/>
      <c r="R17" s="1826" t="s">
        <v>1819</v>
      </c>
      <c r="S17" s="60"/>
    </row>
    <row r="18" spans="1:19" ht="15">
      <c r="A18" s="1832"/>
      <c r="B18" s="1845"/>
      <c r="C18" s="1846"/>
      <c r="D18" s="1847"/>
      <c r="E18" s="1848" t="s">
        <v>1820</v>
      </c>
      <c r="F18" s="1849" t="s">
        <v>1821</v>
      </c>
      <c r="G18" s="1850" t="s">
        <v>1822</v>
      </c>
      <c r="H18" s="1171" t="s">
        <v>1823</v>
      </c>
      <c r="I18" s="1851" t="s">
        <v>1824</v>
      </c>
      <c r="J18" s="1300"/>
      <c r="K18" s="1171" t="s">
        <v>1825</v>
      </c>
      <c r="L18" s="1852" t="s">
        <v>1826</v>
      </c>
      <c r="M18" s="963" t="s">
        <v>1827</v>
      </c>
      <c r="N18" s="1171" t="s">
        <v>1825</v>
      </c>
      <c r="O18" s="1852" t="s">
        <v>1826</v>
      </c>
      <c r="P18" s="963" t="s">
        <v>1827</v>
      </c>
      <c r="R18" s="1156" t="s">
        <v>1828</v>
      </c>
      <c r="S18" s="1156" t="s">
        <v>1829</v>
      </c>
    </row>
    <row r="19" spans="1:19">
      <c r="A19" s="1853"/>
      <c r="B19" s="50" t="s">
        <v>1802</v>
      </c>
      <c r="C19" s="1854" t="str">
        <f>指标!E3</f>
        <v>高层</v>
      </c>
      <c r="D19" s="48">
        <f>ROUND($D$3*E19/$E$3,2)</f>
        <v>166876.39000000001</v>
      </c>
      <c r="E19" s="56">
        <f t="shared" ref="E19:E26" si="1">SUM(F19:G19)</f>
        <v>468536.51999999996</v>
      </c>
      <c r="F19" s="3023">
        <f>'数据-基础表'!I5</f>
        <v>468536.51999999996</v>
      </c>
      <c r="G19" s="3024"/>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166876.39000000001</v>
      </c>
      <c r="S19" s="1157">
        <f t="shared" si="5"/>
        <v>468536.51999999996</v>
      </c>
    </row>
    <row r="20" spans="1:19">
      <c r="A20" s="1857"/>
      <c r="B20" s="50" t="s">
        <v>1830</v>
      </c>
      <c r="C20" s="1854" t="str">
        <f>指标!F3</f>
        <v>洋房</v>
      </c>
      <c r="D20" s="48">
        <f t="shared" ref="D20:D26" si="6">ROUND($D$3*E20/$E$3,2)</f>
        <v>1953.04</v>
      </c>
      <c r="E20" s="56">
        <f t="shared" si="1"/>
        <v>5483.52</v>
      </c>
      <c r="F20" s="3023">
        <f>'数据-基础表'!K5</f>
        <v>5483.52</v>
      </c>
      <c r="G20" s="3024"/>
      <c r="H20" s="679">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1953.04</v>
      </c>
      <c r="S20" s="1157">
        <f t="shared" si="5"/>
        <v>5483.52</v>
      </c>
    </row>
    <row r="21" spans="1:19">
      <c r="A21" s="1857"/>
      <c r="B21" s="50" t="s">
        <v>1830</v>
      </c>
      <c r="C21" s="1854" t="str">
        <f>指标!G3</f>
        <v>合院</v>
      </c>
      <c r="D21" s="48">
        <f t="shared" si="6"/>
        <v>10174.07</v>
      </c>
      <c r="E21" s="56">
        <f t="shared" si="1"/>
        <v>28565.589999999989</v>
      </c>
      <c r="F21" s="3023">
        <f>'数据-基础表'!M5</f>
        <v>28565.589999999989</v>
      </c>
      <c r="G21" s="3024"/>
      <c r="H21" s="679">
        <f t="shared" si="7"/>
        <v>0</v>
      </c>
      <c r="I21" s="51">
        <f t="shared" si="2"/>
        <v>0</v>
      </c>
      <c r="J21" s="1300"/>
      <c r="K21" s="1299">
        <f t="shared" si="3"/>
        <v>0</v>
      </c>
      <c r="L21" s="1156">
        <f t="shared" si="4"/>
        <v>0</v>
      </c>
      <c r="M21" s="1311">
        <f t="shared" si="8"/>
        <v>0</v>
      </c>
      <c r="N21" s="1855"/>
      <c r="O21" s="1856"/>
      <c r="P21" s="1311">
        <f t="shared" si="9"/>
        <v>0</v>
      </c>
      <c r="R21" s="1156">
        <f t="shared" si="5"/>
        <v>10174.07</v>
      </c>
      <c r="S21" s="1157">
        <f t="shared" si="5"/>
        <v>28565.589999999989</v>
      </c>
    </row>
    <row r="22" spans="1:19">
      <c r="A22" s="1857"/>
      <c r="B22" s="50" t="s">
        <v>1830</v>
      </c>
      <c r="C22" s="58" t="str">
        <f>指标!I3</f>
        <v>公租房</v>
      </c>
      <c r="D22" s="48">
        <f t="shared" si="6"/>
        <v>2872.1</v>
      </c>
      <c r="E22" s="56">
        <f t="shared" si="1"/>
        <v>8063.96</v>
      </c>
      <c r="F22" s="3025">
        <f>'数据-基础表'!O5</f>
        <v>8063.96</v>
      </c>
      <c r="G22" s="3026"/>
      <c r="H22" s="679">
        <f t="shared" si="7"/>
        <v>0</v>
      </c>
      <c r="I22" s="51">
        <f t="shared" si="2"/>
        <v>0</v>
      </c>
      <c r="J22" s="1300"/>
      <c r="K22" s="1299">
        <f t="shared" si="3"/>
        <v>0</v>
      </c>
      <c r="L22" s="1156">
        <f t="shared" si="4"/>
        <v>0</v>
      </c>
      <c r="M22" s="1311">
        <f t="shared" si="8"/>
        <v>0</v>
      </c>
      <c r="N22" s="1855"/>
      <c r="O22" s="1856"/>
      <c r="P22" s="1311">
        <f t="shared" si="9"/>
        <v>0</v>
      </c>
      <c r="R22" s="1156">
        <f t="shared" si="5"/>
        <v>2872.1</v>
      </c>
      <c r="S22" s="1157">
        <f t="shared" si="5"/>
        <v>8063.96</v>
      </c>
    </row>
    <row r="23" spans="1:19">
      <c r="A23" s="1857"/>
      <c r="B23" s="50" t="s">
        <v>1830</v>
      </c>
      <c r="C23" s="58" t="str">
        <f>指标!J3</f>
        <v>廉租房</v>
      </c>
      <c r="D23" s="48">
        <f>ROUND($D$3*E23/$E$3,2)</f>
        <v>2990.25</v>
      </c>
      <c r="E23" s="56">
        <f>SUM(F23:G23)</f>
        <v>8395.68</v>
      </c>
      <c r="F23" s="3025">
        <f>'数据-基础表'!Q5</f>
        <v>8395.68</v>
      </c>
      <c r="G23" s="3026"/>
      <c r="H23" s="679">
        <f>ROUND($D$3*I23/$E$3,2)</f>
        <v>0</v>
      </c>
      <c r="I23" s="51">
        <f t="shared" si="2"/>
        <v>0</v>
      </c>
      <c r="J23" s="1300"/>
      <c r="K23" s="1299">
        <f t="shared" si="3"/>
        <v>0</v>
      </c>
      <c r="L23" s="1156">
        <f t="shared" si="4"/>
        <v>0</v>
      </c>
      <c r="M23" s="1311">
        <f t="shared" si="8"/>
        <v>0</v>
      </c>
      <c r="N23" s="1855"/>
      <c r="O23" s="1856"/>
      <c r="P23" s="1311">
        <f t="shared" si="9"/>
        <v>0</v>
      </c>
      <c r="R23" s="1156">
        <f t="shared" si="5"/>
        <v>2990.25</v>
      </c>
      <c r="S23" s="1157">
        <f t="shared" si="5"/>
        <v>8395.68</v>
      </c>
    </row>
    <row r="24" spans="1:19">
      <c r="A24" s="1857"/>
      <c r="B24" s="50" t="s">
        <v>1830</v>
      </c>
      <c r="C24" s="58" t="str">
        <f>指标!H3</f>
        <v>商业</v>
      </c>
      <c r="D24" s="48">
        <f>ROUND($D$3*E24/$E$3,2)</f>
        <v>2727.61</v>
      </c>
      <c r="E24" s="56">
        <f>SUM(F24:G24)</f>
        <v>7658.2699999999995</v>
      </c>
      <c r="F24" s="3025">
        <f>'数据-基础表'!S5</f>
        <v>7658.2699999999995</v>
      </c>
      <c r="G24" s="3026"/>
      <c r="H24" s="679">
        <f>ROUND($D$3*I24/$E$3,2)</f>
        <v>0</v>
      </c>
      <c r="I24" s="51">
        <f t="shared" si="2"/>
        <v>0</v>
      </c>
      <c r="J24" s="1300"/>
      <c r="K24" s="1299">
        <f t="shared" si="3"/>
        <v>0</v>
      </c>
      <c r="L24" s="1156">
        <f t="shared" si="4"/>
        <v>0</v>
      </c>
      <c r="M24" s="1311">
        <f t="shared" si="8"/>
        <v>0</v>
      </c>
      <c r="N24" s="1855"/>
      <c r="O24" s="1856"/>
      <c r="P24" s="1311">
        <f t="shared" si="9"/>
        <v>0</v>
      </c>
      <c r="R24" s="1156">
        <f t="shared" si="5"/>
        <v>2727.61</v>
      </c>
      <c r="S24" s="1157">
        <f t="shared" si="5"/>
        <v>7658.2699999999995</v>
      </c>
    </row>
    <row r="25" spans="1:19">
      <c r="A25" s="1857"/>
      <c r="B25" s="50" t="s">
        <v>1830</v>
      </c>
      <c r="C25" s="58" t="str">
        <f>指标!N3</f>
        <v>住宅地下</v>
      </c>
      <c r="D25" s="48">
        <f t="shared" si="6"/>
        <v>11120.33</v>
      </c>
      <c r="E25" s="56">
        <f t="shared" si="1"/>
        <v>31222.400000000001</v>
      </c>
      <c r="F25" s="3025"/>
      <c r="G25" s="3026">
        <f>'数据-基础表'!U5</f>
        <v>31222.400000000001</v>
      </c>
      <c r="H25" s="47">
        <f t="shared" si="7"/>
        <v>1772.51</v>
      </c>
      <c r="I25" s="51">
        <f t="shared" si="2"/>
        <v>4976.66</v>
      </c>
      <c r="J25" s="1300"/>
      <c r="K25" s="1299">
        <f t="shared" si="3"/>
        <v>0</v>
      </c>
      <c r="L25" s="1156">
        <f t="shared" si="4"/>
        <v>4976.66</v>
      </c>
      <c r="M25" s="1311">
        <f t="shared" si="8"/>
        <v>4976.66</v>
      </c>
      <c r="N25" s="1855"/>
      <c r="O25" s="1856"/>
      <c r="P25" s="1311">
        <f t="shared" si="9"/>
        <v>0</v>
      </c>
      <c r="R25" s="1156">
        <f t="shared" si="5"/>
        <v>12892.84</v>
      </c>
      <c r="S25" s="1157">
        <f t="shared" si="5"/>
        <v>36199.06</v>
      </c>
    </row>
    <row r="26" spans="1:19">
      <c r="A26" s="1857"/>
      <c r="B26" s="50" t="s">
        <v>1830</v>
      </c>
      <c r="C26" s="59" t="str">
        <f>指标!O3</f>
        <v>车库</v>
      </c>
      <c r="D26" s="48">
        <f t="shared" si="6"/>
        <v>53956.05</v>
      </c>
      <c r="E26" s="56">
        <f t="shared" si="1"/>
        <v>151491.65</v>
      </c>
      <c r="F26" s="3025"/>
      <c r="G26" s="3026">
        <f>'数据-基础表'!W5</f>
        <v>151491.65</v>
      </c>
      <c r="H26" s="47">
        <f t="shared" si="7"/>
        <v>0</v>
      </c>
      <c r="I26" s="51">
        <f t="shared" si="2"/>
        <v>0</v>
      </c>
      <c r="J26" s="1300"/>
      <c r="K26" s="1306">
        <f t="shared" si="3"/>
        <v>0</v>
      </c>
      <c r="L26" s="1307">
        <f t="shared" si="4"/>
        <v>0</v>
      </c>
      <c r="M26" s="63">
        <f t="shared" si="8"/>
        <v>0</v>
      </c>
      <c r="N26" s="1858"/>
      <c r="O26" s="1859"/>
      <c r="P26" s="63">
        <f t="shared" si="9"/>
        <v>0</v>
      </c>
      <c r="R26" s="1156">
        <f t="shared" si="5"/>
        <v>53956.05</v>
      </c>
      <c r="S26" s="1157">
        <f t="shared" si="5"/>
        <v>151491.65</v>
      </c>
    </row>
    <row r="27" spans="1:19" ht="15.75" thickBot="1">
      <c r="A27" s="1857"/>
      <c r="B27" s="48"/>
      <c r="C27" s="1860" t="s">
        <v>1831</v>
      </c>
      <c r="D27" s="1301">
        <f>SUM(D19:D26)</f>
        <v>252669.84000000003</v>
      </c>
      <c r="E27" s="1302">
        <f>IF(SUM(E19:E26)='数据-基础表'!BA5,SUM(E19:E26),IF(F27="地上面积有误","面积有误","地下面积有误"))</f>
        <v>709417.59</v>
      </c>
      <c r="F27" s="1301">
        <f>IF(SUM(F19:F26)=E8,SUM(F19:F26),"地上面积有误")</f>
        <v>526703.53999999992</v>
      </c>
      <c r="G27" s="1303">
        <f>SUM(G19:G26)</f>
        <v>182714.05</v>
      </c>
      <c r="H27" s="1304">
        <f>SUM(H19:H26)</f>
        <v>1772.51</v>
      </c>
      <c r="I27" s="1305">
        <f>SUM(I19:I26)</f>
        <v>4976.66</v>
      </c>
      <c r="J27" s="1300"/>
      <c r="K27" s="1308">
        <f>SUM(K19:K26)</f>
        <v>0</v>
      </c>
      <c r="L27" s="1309">
        <f>SUM(L19:L26)</f>
        <v>4976.66</v>
      </c>
      <c r="M27" s="1312">
        <f>SUM(M19:M26)</f>
        <v>4976.66</v>
      </c>
      <c r="N27" s="1308">
        <f t="shared" ref="N27:O27" si="10">SUM(N19:N26)</f>
        <v>0</v>
      </c>
      <c r="O27" s="1309">
        <f t="shared" si="10"/>
        <v>0</v>
      </c>
      <c r="P27" s="1310">
        <f>SUM(P19:P26)</f>
        <v>0</v>
      </c>
      <c r="R27" s="1158">
        <f>IF(SUM(R19:R26)=$D$3,SUM(R19:R26),SUM(R19:R26)&amp;"误差"&amp;ROUND(SUM(R19:R26)-$D$3,2))</f>
        <v>254442.35000000003</v>
      </c>
      <c r="S27" s="1156">
        <f>IF(SUM(S19:S26)=$E$3,SUM(S19:S26),SUM(S19:S26)&amp;"误差"&amp;ROUND(SUM(S19:S26)-E3,2))</f>
        <v>714394.24999999988</v>
      </c>
    </row>
    <row r="28" spans="1:19">
      <c r="A28" s="1857"/>
      <c r="B28" s="50" t="s">
        <v>1832</v>
      </c>
      <c r="C28" s="1168" t="s">
        <v>1833</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1832</v>
      </c>
      <c r="C29" s="1861" t="s">
        <v>1834</v>
      </c>
      <c r="D29" s="48">
        <f>ROUND($D$3*E29/$E$3,2)</f>
        <v>1772.51</v>
      </c>
      <c r="E29" s="56">
        <f>SUM(F29:G29)</f>
        <v>4976.66</v>
      </c>
      <c r="F29" s="62">
        <f>'数据-基础表'!BM5+'数据-基础表'!BO5</f>
        <v>4976.66</v>
      </c>
      <c r="G29" s="63">
        <f>'数据-基础表'!BN5+'数据-基础表'!BP5</f>
        <v>0</v>
      </c>
      <c r="H29" s="2884"/>
      <c r="I29" s="2884"/>
      <c r="J29" s="2884"/>
      <c r="K29" s="2884"/>
      <c r="L29" s="2884"/>
      <c r="M29" s="2884"/>
      <c r="N29" s="2884"/>
      <c r="O29" s="2884"/>
      <c r="P29" s="2884"/>
    </row>
    <row r="30" spans="1:19" ht="15">
      <c r="A30" s="1857"/>
      <c r="B30" s="50"/>
      <c r="C30" s="1862" t="s">
        <v>1831</v>
      </c>
      <c r="D30" s="1301">
        <f>SUM(D28:D29)</f>
        <v>1772.51</v>
      </c>
      <c r="E30" s="1301">
        <f>SUM(E28:E29)</f>
        <v>4976.66</v>
      </c>
      <c r="F30" s="1301">
        <f>SUM(F28:F29)</f>
        <v>4976.66</v>
      </c>
      <c r="G30" s="1303">
        <f>SUM(G28:G29)</f>
        <v>0</v>
      </c>
      <c r="H30" s="2884"/>
      <c r="I30" s="2884"/>
      <c r="J30" s="2884"/>
      <c r="K30" s="2884"/>
      <c r="L30" s="2884"/>
      <c r="M30" s="2884"/>
      <c r="N30" s="2884"/>
      <c r="O30" s="2884"/>
      <c r="P30" s="2884"/>
    </row>
    <row r="31" spans="1:19" ht="15.75" thickBot="1">
      <c r="A31" s="1863"/>
      <c r="B31" s="1864"/>
      <c r="C31" s="943" t="s">
        <v>1835</v>
      </c>
      <c r="D31" s="685">
        <f>D27+D30</f>
        <v>254442.35000000003</v>
      </c>
      <c r="E31" s="685">
        <f>E27+E30</f>
        <v>714394.25</v>
      </c>
      <c r="F31" s="686">
        <f>F27+F30</f>
        <v>531680.19999999995</v>
      </c>
      <c r="G31" s="687">
        <f>G27+G30</f>
        <v>182714.05</v>
      </c>
      <c r="H31" s="2884"/>
      <c r="I31" s="2884"/>
      <c r="J31" s="2884"/>
      <c r="K31" s="2884"/>
      <c r="L31" s="2884"/>
      <c r="M31" s="2884"/>
      <c r="N31" s="2884"/>
      <c r="O31" s="2884"/>
      <c r="P31" s="2884"/>
    </row>
    <row r="32" spans="1:19">
      <c r="A32" s="1829"/>
      <c r="B32" s="1829" t="s">
        <v>1836</v>
      </c>
      <c r="C32" s="1829"/>
      <c r="D32" s="1829"/>
      <c r="E32" s="1183">
        <f>SUMIF(C19:C26,"*住宅*",E19:E26)</f>
        <v>31222.400000000001</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受贵公司委托，我公司对河北省固安温泉休闲商务产业园区独流一排村东北房地产抵押价值进行了预评估。</v>
      </c>
    </row>
    <row r="5" spans="1:1" ht="18.75">
      <c r="A5" s="1667" t="s">
        <v>1577</v>
      </c>
    </row>
    <row r="6" spans="1:1" ht="18.75">
      <c r="A6" s="1668" t="s">
        <v>1578</v>
      </c>
    </row>
    <row r="7" spans="1:1" ht="7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固安温泉休闲商务产业园区独流一排村东北房地产，为所有。根据《国有土地使用证》[]，估价对象（分摊）出让国有建设用地使用权面积为254442.35平方米。根据《房屋所有权证》[]、《测绘报告》[]，估价对象建筑面积为714394.25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固安温泉休闲商务产业园区独流一排村东北房地产,属开发建设的居住项目，该项目尚在开发建设中。根据《国有土地使用证》[]，估价对象（分摊）出让国有建设用地使用权面积为254442.35平方米。根据《房屋所有权证》[]、《测绘报告》[]，估价对象规划建筑面积为714394.25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河北省固安温泉休闲商务产业园区独流一排村东北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2020年12月21日（评估专业人员实地查勘之日）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G17" sqref="G17"/>
      <selection pane="topRight" activeCell="G17" sqref="G17"/>
      <selection pane="bottomLeft" activeCell="G17" sqref="G17"/>
      <selection pane="bottomRight" activeCell="K28" sqref="K2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1837</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1838</v>
      </c>
      <c r="B2" s="1175">
        <f>项目基本情况!D3</f>
        <v>44186</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1839</v>
      </c>
      <c r="B4" s="1875"/>
      <c r="C4" s="1876"/>
      <c r="D4" s="1877"/>
      <c r="E4" s="1876" t="s">
        <v>1840</v>
      </c>
      <c r="F4" s="1876"/>
      <c r="G4" s="1876"/>
      <c r="H4" s="1876"/>
      <c r="I4" s="1876"/>
      <c r="J4" s="1878"/>
      <c r="K4" s="1879"/>
      <c r="L4" s="1880"/>
      <c r="M4" s="1876"/>
      <c r="N4" s="1876" t="s">
        <v>1841</v>
      </c>
      <c r="O4" s="1876"/>
      <c r="P4" s="1876"/>
      <c r="Q4" s="1876"/>
      <c r="R4" s="1876"/>
      <c r="S4" s="1878"/>
      <c r="T4" s="2883" t="str">
        <f>'数据-汇总表'!I17</f>
        <v>按面积比例</v>
      </c>
      <c r="U4" s="1875" t="s">
        <v>1842</v>
      </c>
      <c r="V4" s="1876"/>
      <c r="W4" s="1876"/>
      <c r="X4" s="1876"/>
      <c r="Y4" s="1878"/>
      <c r="Z4" s="1838" t="s">
        <v>1843</v>
      </c>
      <c r="AA4" s="1838"/>
      <c r="AB4" s="1838"/>
      <c r="AC4" s="1838"/>
      <c r="AD4" s="1838"/>
      <c r="AE4" s="1836" t="s">
        <v>1844</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1845</v>
      </c>
      <c r="B5" s="1883" t="s">
        <v>1846</v>
      </c>
      <c r="C5" s="1884" t="s">
        <v>1847</v>
      </c>
      <c r="D5" s="1885" t="s">
        <v>1848</v>
      </c>
      <c r="E5" s="1177" t="s">
        <v>1849</v>
      </c>
      <c r="F5" s="1886" t="s">
        <v>1850</v>
      </c>
      <c r="G5" s="1177" t="s">
        <v>1851</v>
      </c>
      <c r="H5" s="1177" t="s">
        <v>1852</v>
      </c>
      <c r="I5" s="1177" t="s">
        <v>1853</v>
      </c>
      <c r="J5" s="1887" t="s">
        <v>1854</v>
      </c>
      <c r="K5" s="1888" t="s">
        <v>1855</v>
      </c>
      <c r="L5" s="1889" t="s">
        <v>1856</v>
      </c>
      <c r="M5" s="1890" t="s">
        <v>1857</v>
      </c>
      <c r="N5" s="1891" t="s">
        <v>3904</v>
      </c>
      <c r="O5" s="1889" t="s">
        <v>1858</v>
      </c>
      <c r="P5" s="1892" t="s">
        <v>1859</v>
      </c>
      <c r="Q5" s="65" t="s">
        <v>1860</v>
      </c>
      <c r="R5" s="1893" t="s">
        <v>1861</v>
      </c>
      <c r="S5" s="1894" t="s">
        <v>1862</v>
      </c>
      <c r="T5" s="1895" t="s">
        <v>1863</v>
      </c>
      <c r="U5" s="1176" t="s">
        <v>1864</v>
      </c>
      <c r="V5" s="1177" t="s">
        <v>1865</v>
      </c>
      <c r="W5" s="1177" t="s">
        <v>1866</v>
      </c>
      <c r="X5" s="67"/>
      <c r="Y5" s="66" t="s">
        <v>1867</v>
      </c>
      <c r="Z5" s="1896" t="s">
        <v>1864</v>
      </c>
      <c r="AA5" s="1177" t="s">
        <v>1865</v>
      </c>
      <c r="AB5" s="1177" t="s">
        <v>1866</v>
      </c>
      <c r="AC5" s="67"/>
      <c r="AD5" s="67" t="s">
        <v>1867</v>
      </c>
      <c r="AE5" s="1176" t="s">
        <v>1868</v>
      </c>
      <c r="AF5" s="1177" t="s">
        <v>1869</v>
      </c>
      <c r="AG5" s="66" t="s">
        <v>1870</v>
      </c>
      <c r="AH5" s="1176" t="s">
        <v>1871</v>
      </c>
      <c r="AI5" s="1896" t="s">
        <v>1872</v>
      </c>
      <c r="AJ5" s="1896" t="s">
        <v>1873</v>
      </c>
      <c r="AK5" s="1177" t="s">
        <v>1874</v>
      </c>
      <c r="AL5" s="1177" t="s">
        <v>1875</v>
      </c>
      <c r="AM5" s="66" t="s">
        <v>1876</v>
      </c>
      <c r="AN5" s="1897" t="s">
        <v>1877</v>
      </c>
      <c r="AO5" s="1748" t="s">
        <v>1878</v>
      </c>
      <c r="AP5" s="1158" t="s">
        <v>1879</v>
      </c>
      <c r="AQ5" s="1898" t="s">
        <v>1880</v>
      </c>
      <c r="AR5" s="1898" t="s">
        <v>1881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高层</v>
      </c>
      <c r="B6" s="1900" t="str">
        <f>IF(A6=0,"","经营性")</f>
        <v>经营性</v>
      </c>
      <c r="C6" s="1901" t="s">
        <v>3163</v>
      </c>
      <c r="D6" s="966">
        <f>SUMIF(项目基本情况!D$12:I$12,C6,项目基本情况!D$14:I$14)</f>
        <v>70</v>
      </c>
      <c r="E6" s="965">
        <f>IF(B6="","",SUMIF(项目基本情况!D$12:I$12,C6,项目基本情况!D$13:I$13))</f>
        <v>66920</v>
      </c>
      <c r="F6" s="68">
        <f>SUMIF(项目基本情况!D$12:I$12,C6,项目基本情况!D$15:I$15)</f>
        <v>62.28</v>
      </c>
      <c r="G6" s="69">
        <f>IF(ISERROR(ROUND(POWER(1+H6,D6-F6)*(POWER(1+H6,F6)-1)/(POWER(1+H6,D6)-1),3)),0,ROUND(POWER(1+H6,D6-F6)*(POWER(1+H6,F6)-1)/(POWER(1+H6,D6)-1),3))</f>
        <v>0.97599999999999998</v>
      </c>
      <c r="H6" s="741">
        <v>0.04</v>
      </c>
      <c r="I6" s="741">
        <f>H6+0.005</f>
        <v>4.4999999999999998E-2</v>
      </c>
      <c r="J6" s="70">
        <v>8.5000000000000006E-2</v>
      </c>
      <c r="K6" s="1160">
        <f>SUMIF('数据-汇总表'!C$19:C$33,A6,'数据-汇总表'!E$19:E$33)</f>
        <v>468536.51999999996</v>
      </c>
      <c r="L6" s="742">
        <v>2300</v>
      </c>
      <c r="M6" s="71">
        <f t="shared" ref="M6:M14" si="0">ROUND(K6*L6/10000,0)</f>
        <v>107763</v>
      </c>
      <c r="N6" s="740">
        <v>0.05</v>
      </c>
      <c r="O6" s="71">
        <f>IF($N$5="成新度","——",ROUND(M6*N6,0))</f>
        <v>5388</v>
      </c>
      <c r="P6" s="72">
        <f>IF($N$5="成新度","——",M6-O6)</f>
        <v>102375</v>
      </c>
      <c r="Q6" s="743">
        <v>0.15</v>
      </c>
      <c r="R6" s="73">
        <f ca="1">SUMIF('数据-汇总表'!C$19:C$33,A6,'数据-汇总表'!R$19:R$27)</f>
        <v>166876.39000000001</v>
      </c>
      <c r="S6" s="54">
        <f>IF('数据-汇总表'!$I$17="按面积比例",SUMIF('数据-汇总表'!C$19:C$33,A6,'数据-汇总表'!K$19:K$33),SUMIF('数据-汇总表'!C$19:C$33,A6,'数据-汇总表'!N$19:N$33))</f>
        <v>0</v>
      </c>
      <c r="T6" s="1333">
        <f>ROUND($L$14*S6/10000,0)</f>
        <v>0</v>
      </c>
      <c r="U6" s="74"/>
      <c r="V6" s="75"/>
      <c r="W6" s="75"/>
      <c r="X6" s="1170"/>
      <c r="Y6" s="76"/>
      <c r="Z6" s="77"/>
      <c r="AA6" s="70"/>
      <c r="AB6" s="70"/>
      <c r="AC6" s="1170"/>
      <c r="AD6" s="78"/>
      <c r="AE6" s="1171">
        <f ca="1">IF(AN6="",0,SUMIF(INDIRECT("'"&amp;AN6&amp;"'"&amp;"!E:E"),$AE$5,INDIRECT("'"&amp;AN6&amp;"'"&amp;"!F:F")))</f>
        <v>0</v>
      </c>
      <c r="AF6" s="1533"/>
      <c r="AG6" s="143">
        <f>IF(AF6="",0,AE6-AF6)</f>
        <v>0</v>
      </c>
      <c r="AH6" s="79"/>
      <c r="AI6" s="81"/>
      <c r="AJ6" s="82"/>
      <c r="AK6" s="83"/>
      <c r="AL6" s="84"/>
      <c r="AM6" s="85"/>
      <c r="AN6" s="1902"/>
      <c r="AO6" s="55" t="e">
        <f ca="1">SUMIF(INDIRECT("'"&amp;AN6&amp;"'"&amp;"!A:A"),"总价",INDIRECT("'"&amp;AN6&amp;"'"&amp;"!B:B"))</f>
        <v>#REF!</v>
      </c>
      <c r="AP6" s="1903">
        <f>IF(C6="住宅",K6*L6,0)</f>
        <v>1077633996</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洋房</v>
      </c>
      <c r="B7" s="1900" t="str">
        <f t="shared" ref="B7:B13" si="1">IF(A7=0,"","经营性")</f>
        <v>经营性</v>
      </c>
      <c r="C7" s="1901" t="s">
        <v>3163</v>
      </c>
      <c r="D7" s="966">
        <f>SUMIF(项目基本情况!D$12:I$12,C7,项目基本情况!D$14:I$14)</f>
        <v>70</v>
      </c>
      <c r="E7" s="965">
        <f>IF(B7="","",SUMIF(项目基本情况!D$12:I$12,C7,项目基本情况!D$13:I$13))</f>
        <v>66920</v>
      </c>
      <c r="F7" s="68">
        <f>SUMIF(项目基本情况!D$12:I$12,C7,项目基本情况!D$15:I$15)</f>
        <v>62.28</v>
      </c>
      <c r="G7" s="69">
        <f t="shared" ref="G7:G11" si="2">IF(ISERROR(ROUND(POWER(1+H7,D7-F7)*(POWER(1+H7,F7)-1)/(POWER(1+H7,D7)-1),3)),0,ROUND(POWER(1+H7,D7-F7)*(POWER(1+H7,F7)-1)/(POWER(1+H7,D7)-1),3))</f>
        <v>0.97599999999999998</v>
      </c>
      <c r="H7" s="741">
        <f>H6</f>
        <v>0.04</v>
      </c>
      <c r="I7" s="741">
        <f>I6</f>
        <v>4.4999999999999998E-2</v>
      </c>
      <c r="J7" s="70">
        <f>J6</f>
        <v>8.5000000000000006E-2</v>
      </c>
      <c r="K7" s="1160">
        <f>SUMIF('数据-汇总表'!C$19:C$33,A7,'数据-汇总表'!E$19:E$33)</f>
        <v>5483.52</v>
      </c>
      <c r="L7" s="742">
        <f>L6</f>
        <v>2300</v>
      </c>
      <c r="M7" s="71">
        <f t="shared" si="0"/>
        <v>1261</v>
      </c>
      <c r="N7" s="740">
        <f>N6</f>
        <v>0.05</v>
      </c>
      <c r="O7" s="71">
        <f t="shared" ref="O7:O14" si="3">IF($N$5="成新度","——",ROUND(M7*N7,0))</f>
        <v>63</v>
      </c>
      <c r="P7" s="72">
        <f t="shared" ref="P7:P14" si="4">IF($N$5="成新度","——",M7-O7)</f>
        <v>1198</v>
      </c>
      <c r="Q7" s="743">
        <v>0.15</v>
      </c>
      <c r="R7" s="73">
        <f ca="1">SUMIF('数据-汇总表'!C$19:C$33,A7,'数据-汇总表'!R$19:R$27)</f>
        <v>1953.04</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12612096.000000002</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t="str">
        <f>'数据-汇总表'!C21</f>
        <v>合院</v>
      </c>
      <c r="B8" s="1900" t="str">
        <f t="shared" si="1"/>
        <v>经营性</v>
      </c>
      <c r="C8" s="1901" t="s">
        <v>3163</v>
      </c>
      <c r="D8" s="966">
        <f>SUMIF(项目基本情况!D$12:I$12,C8,项目基本情况!D$14:I$14)</f>
        <v>70</v>
      </c>
      <c r="E8" s="965">
        <f>IF(B8="","",SUMIF(项目基本情况!D$12:I$12,C8,项目基本情况!D$13:I$13))</f>
        <v>66920</v>
      </c>
      <c r="F8" s="68">
        <f>SUMIF(项目基本情况!D$12:I$12,C8,项目基本情况!D$15:I$15)</f>
        <v>62.28</v>
      </c>
      <c r="G8" s="69">
        <f t="shared" si="2"/>
        <v>0.97599999999999998</v>
      </c>
      <c r="H8" s="741">
        <f>H6</f>
        <v>0.04</v>
      </c>
      <c r="I8" s="741">
        <f>I6</f>
        <v>4.4999999999999998E-2</v>
      </c>
      <c r="J8" s="70">
        <f t="shared" ref="J8:J13" si="12">J7</f>
        <v>8.5000000000000006E-2</v>
      </c>
      <c r="K8" s="1160">
        <f>SUMIF('数据-汇总表'!C$19:C$33,A8,'数据-汇总表'!E$19:E$33)</f>
        <v>28565.589999999989</v>
      </c>
      <c r="L8" s="742">
        <f>L6</f>
        <v>2300</v>
      </c>
      <c r="M8" s="71">
        <f>ROUND(K8*L8/10000,0)</f>
        <v>6570</v>
      </c>
      <c r="N8" s="740">
        <f>N6</f>
        <v>0.05</v>
      </c>
      <c r="O8" s="71">
        <f t="shared" si="3"/>
        <v>329</v>
      </c>
      <c r="P8" s="72">
        <f t="shared" si="4"/>
        <v>6241</v>
      </c>
      <c r="Q8" s="743">
        <v>0.15</v>
      </c>
      <c r="R8" s="73">
        <f ca="1">SUMIF('数据-汇总表'!C$19:C$33,A8,'数据-汇总表'!R$19:R$27)</f>
        <v>10174.07</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3"/>
      <c r="AG8" s="143">
        <f t="shared" si="7"/>
        <v>0</v>
      </c>
      <c r="AH8" s="747"/>
      <c r="AI8" s="81"/>
      <c r="AJ8" s="82"/>
      <c r="AK8" s="748"/>
      <c r="AL8" s="749"/>
      <c r="AM8" s="750"/>
      <c r="AN8" s="1902"/>
      <c r="AO8" s="55" t="e">
        <f t="shared" ca="1" si="8"/>
        <v>#REF!</v>
      </c>
      <c r="AP8" s="1903">
        <f t="shared" si="9"/>
        <v>65700856.999999978</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t="str">
        <f>'数据-汇总表'!C22</f>
        <v>公租房</v>
      </c>
      <c r="B9" s="1900" t="str">
        <f t="shared" si="1"/>
        <v>经营性</v>
      </c>
      <c r="C9" s="1901" t="s">
        <v>3163</v>
      </c>
      <c r="D9" s="966">
        <f>SUMIF(项目基本情况!D$12:I$12,C9,项目基本情况!D$14:I$14)</f>
        <v>70</v>
      </c>
      <c r="E9" s="965">
        <f>IF(B9="","",SUMIF(项目基本情况!D$12:I$12,C9,项目基本情况!D$13:I$13))</f>
        <v>66920</v>
      </c>
      <c r="F9" s="68">
        <f>SUMIF(项目基本情况!D$12:I$12,C9,项目基本情况!D$15:I$15)</f>
        <v>62.28</v>
      </c>
      <c r="G9" s="69">
        <f t="shared" si="2"/>
        <v>0.97599999999999998</v>
      </c>
      <c r="H9" s="70">
        <f>H6</f>
        <v>0.04</v>
      </c>
      <c r="I9" s="70">
        <f>I6</f>
        <v>4.4999999999999998E-2</v>
      </c>
      <c r="J9" s="70">
        <f t="shared" si="12"/>
        <v>8.5000000000000006E-2</v>
      </c>
      <c r="K9" s="1160">
        <f>SUMIF('数据-汇总表'!C$19:C$33,A9,'数据-汇总表'!E$19:E$33)</f>
        <v>8063.96</v>
      </c>
      <c r="L9" s="742">
        <f t="shared" ref="L9:L13" si="13">L7</f>
        <v>2300</v>
      </c>
      <c r="M9" s="71">
        <f t="shared" si="0"/>
        <v>1855</v>
      </c>
      <c r="N9" s="740">
        <f>N6</f>
        <v>0.05</v>
      </c>
      <c r="O9" s="71">
        <f t="shared" si="3"/>
        <v>93</v>
      </c>
      <c r="P9" s="72">
        <f t="shared" si="4"/>
        <v>1762</v>
      </c>
      <c r="Q9" s="86">
        <v>0.01</v>
      </c>
      <c r="R9" s="73">
        <f ca="1">SUMIF('数据-汇总表'!C$19:C$33,A9,'数据-汇总表'!R$19:R$27)</f>
        <v>2872.1</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18547108</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t="str">
        <f>'数据-汇总表'!C23</f>
        <v>廉租房</v>
      </c>
      <c r="B10" s="1900" t="str">
        <f t="shared" si="1"/>
        <v>经营性</v>
      </c>
      <c r="C10" s="1901" t="s">
        <v>3163</v>
      </c>
      <c r="D10" s="966">
        <f>SUMIF(项目基本情况!D$12:I$12,C10,项目基本情况!D$14:I$14)</f>
        <v>70</v>
      </c>
      <c r="E10" s="965">
        <f>IF(B10="","",SUMIF(项目基本情况!D$12:I$12,C10,项目基本情况!D$13:I$13))</f>
        <v>66920</v>
      </c>
      <c r="F10" s="68">
        <f>SUMIF(项目基本情况!D$12:I$12,C10,项目基本情况!D$15:I$15)</f>
        <v>62.28</v>
      </c>
      <c r="G10" s="69">
        <f t="shared" si="2"/>
        <v>0.97599999999999998</v>
      </c>
      <c r="H10" s="70">
        <f>H6</f>
        <v>0.04</v>
      </c>
      <c r="I10" s="70">
        <f>I6</f>
        <v>4.4999999999999998E-2</v>
      </c>
      <c r="J10" s="70">
        <f t="shared" si="12"/>
        <v>8.5000000000000006E-2</v>
      </c>
      <c r="K10" s="1160">
        <f>SUMIF('数据-汇总表'!C$19:C$33,A10,'数据-汇总表'!E$19:E$33)</f>
        <v>8395.68</v>
      </c>
      <c r="L10" s="742">
        <f t="shared" si="13"/>
        <v>2300</v>
      </c>
      <c r="M10" s="71">
        <f t="shared" si="0"/>
        <v>1931</v>
      </c>
      <c r="N10" s="740">
        <f>N6</f>
        <v>0.05</v>
      </c>
      <c r="O10" s="71">
        <f t="shared" si="3"/>
        <v>97</v>
      </c>
      <c r="P10" s="72">
        <f t="shared" si="4"/>
        <v>1834</v>
      </c>
      <c r="Q10" s="86">
        <v>0.01</v>
      </c>
      <c r="R10" s="73">
        <f ca="1">SUMIF('数据-汇总表'!C$19:C$33,A10,'数据-汇总表'!R$19:R$27)</f>
        <v>2990.25</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19310064</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t="str">
        <f>'数据-汇总表'!C24</f>
        <v>商业</v>
      </c>
      <c r="B11" s="1900" t="str">
        <f t="shared" si="1"/>
        <v>经营性</v>
      </c>
      <c r="C11" s="1901" t="s">
        <v>1343</v>
      </c>
      <c r="D11" s="966">
        <f>SUMIF(项目基本情况!D$12:I$12,C11,项目基本情况!D$14:I$14)</f>
        <v>50</v>
      </c>
      <c r="E11" s="965">
        <f>IF(B11="","",SUMIF(项目基本情况!D$12:I$12,C11,项目基本情况!D$13:I$13))</f>
        <v>55963</v>
      </c>
      <c r="F11" s="68">
        <f>SUMIF(项目基本情况!D$12:I$12,C11,项目基本情况!D$15:I$15)</f>
        <v>32.26</v>
      </c>
      <c r="G11" s="69">
        <f t="shared" si="2"/>
        <v>0.86899999999999999</v>
      </c>
      <c r="H11" s="70">
        <v>0.05</v>
      </c>
      <c r="I11" s="741">
        <f>H11+0.005</f>
        <v>5.5E-2</v>
      </c>
      <c r="J11" s="70">
        <f t="shared" si="12"/>
        <v>8.5000000000000006E-2</v>
      </c>
      <c r="K11" s="1160">
        <f>SUMIF('数据-汇总表'!C$19:C$33,A11,'数据-汇总表'!E$19:E$33)</f>
        <v>7658.2699999999995</v>
      </c>
      <c r="L11" s="742">
        <f t="shared" si="13"/>
        <v>2300</v>
      </c>
      <c r="M11" s="71">
        <f t="shared" si="0"/>
        <v>1761</v>
      </c>
      <c r="N11" s="88">
        <f>N6</f>
        <v>0.05</v>
      </c>
      <c r="O11" s="71">
        <f t="shared" si="3"/>
        <v>88</v>
      </c>
      <c r="P11" s="72">
        <f t="shared" si="4"/>
        <v>1673</v>
      </c>
      <c r="Q11" s="86">
        <v>0.2</v>
      </c>
      <c r="R11" s="73">
        <f ca="1">SUMIF('数据-汇总表'!C$19:C$33,A11,'数据-汇总表'!R$19:R$27)</f>
        <v>2727.61</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t="str">
        <f>'数据-汇总表'!C25</f>
        <v>住宅地下</v>
      </c>
      <c r="B12" s="1900" t="str">
        <f t="shared" si="1"/>
        <v>经营性</v>
      </c>
      <c r="C12" s="1901" t="s">
        <v>3903</v>
      </c>
      <c r="D12" s="966">
        <f>SUMIF(项目基本情况!D$12:I$12,C12,项目基本情况!D$14:I$14)</f>
        <v>50</v>
      </c>
      <c r="E12" s="965">
        <f>IF(B12="","",SUMIF(项目基本情况!D$12:I$12,C12,项目基本情况!D$13:I$13))</f>
        <v>59615</v>
      </c>
      <c r="F12" s="68">
        <f>SUMIF(项目基本情况!D$12:I$12,C12,项目基本情况!D$15:I$15)</f>
        <v>42.27</v>
      </c>
      <c r="G12" s="69">
        <f>IF(ISERROR(ROUND(POWER(1+H12,D12-F12)*(POWER(1+H12,F12)-1)/(POWER(1+H12,D12)-1),3)),0,ROUND(POWER(1+H12,D12-F12)*(POWER(1+H12,F12)-1)/(POWER(1+H12,D12)-1),3))</f>
        <v>0.95</v>
      </c>
      <c r="H12" s="70">
        <v>4.4999999999999998E-2</v>
      </c>
      <c r="I12" s="741">
        <f>H12+0.005</f>
        <v>4.9999999999999996E-2</v>
      </c>
      <c r="J12" s="70">
        <f t="shared" si="12"/>
        <v>8.5000000000000006E-2</v>
      </c>
      <c r="K12" s="1160">
        <f>SUMIF('数据-汇总表'!C$19:C$33,A12,'数据-汇总表'!E$19:E$33)</f>
        <v>31222.400000000001</v>
      </c>
      <c r="L12" s="742">
        <f t="shared" si="13"/>
        <v>2300</v>
      </c>
      <c r="M12" s="71">
        <f>ROUND(K12*L12/10000,0)</f>
        <v>7181</v>
      </c>
      <c r="N12" s="88">
        <f>N6</f>
        <v>0.05</v>
      </c>
      <c r="O12" s="71">
        <f t="shared" si="3"/>
        <v>359</v>
      </c>
      <c r="P12" s="72">
        <f t="shared" si="4"/>
        <v>6822</v>
      </c>
      <c r="Q12" s="86">
        <v>0.05</v>
      </c>
      <c r="R12" s="73">
        <f ca="1">SUMIF('数据-汇总表'!C$19:C$33,A12,'数据-汇总表'!R$19:R$27)</f>
        <v>12892.84</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t="str">
        <f>'数据-汇总表'!C26</f>
        <v>车库</v>
      </c>
      <c r="B13" s="1900" t="str">
        <f t="shared" si="1"/>
        <v>经营性</v>
      </c>
      <c r="C13" s="1901" t="s">
        <v>3840</v>
      </c>
      <c r="D13" s="966">
        <f>SUMIF(项目基本情况!D$12:I$12,C13,项目基本情况!D$14:I$14)</f>
        <v>50</v>
      </c>
      <c r="E13" s="965">
        <f>IF(B13="","",SUMIF(项目基本情况!D$12:I$12,C13,项目基本情况!D$13:I$13))</f>
        <v>59615</v>
      </c>
      <c r="F13" s="68">
        <f>SUMIF(项目基本情况!D$12:I$12,C13,项目基本情况!D$15:I$15)</f>
        <v>42.27</v>
      </c>
      <c r="G13" s="69">
        <f>IF(ISERROR(ROUND(POWER(1+H13,D13-F13)*(POWER(1+H13,F13)-1)/(POWER(1+H13,D13)-1),3)),0,ROUND(POWER(1+H13,D13-F13)*(POWER(1+H13,F13)-1)/(POWER(1+H13,D13)-1),3))</f>
        <v>0.95</v>
      </c>
      <c r="H13" s="70">
        <f>H12</f>
        <v>4.4999999999999998E-2</v>
      </c>
      <c r="I13" s="741">
        <f>H13+0.005</f>
        <v>4.9999999999999996E-2</v>
      </c>
      <c r="J13" s="70">
        <f t="shared" si="12"/>
        <v>8.5000000000000006E-2</v>
      </c>
      <c r="K13" s="1160">
        <f>SUMIF('数据-汇总表'!C$19:C$33,A13,'数据-汇总表'!E$19:E$33)</f>
        <v>151491.65</v>
      </c>
      <c r="L13" s="742">
        <f t="shared" si="13"/>
        <v>2300</v>
      </c>
      <c r="M13" s="71">
        <f>ROUND(K13*L13/10000,0)</f>
        <v>34843</v>
      </c>
      <c r="N13" s="88">
        <f>N6</f>
        <v>0.05</v>
      </c>
      <c r="O13" s="71">
        <f t="shared" si="3"/>
        <v>1742</v>
      </c>
      <c r="P13" s="72">
        <f t="shared" si="4"/>
        <v>33101</v>
      </c>
      <c r="Q13" s="86">
        <v>0.05</v>
      </c>
      <c r="R13" s="73">
        <f ca="1">SUMIF('数据-汇总表'!C$19:C$33,A13,'数据-汇总表'!R$19:R$27)</f>
        <v>53956.05</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1882</v>
      </c>
      <c r="B14" s="1900" t="s">
        <v>1883</v>
      </c>
      <c r="C14" s="1905" t="s">
        <v>1882</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1884</v>
      </c>
      <c r="B15" s="1900" t="s">
        <v>1883</v>
      </c>
      <c r="C15" s="1905" t="s">
        <v>1885</v>
      </c>
      <c r="D15" s="966"/>
      <c r="E15" s="965"/>
      <c r="F15" s="68"/>
      <c r="G15" s="69"/>
      <c r="H15" s="1159"/>
      <c r="I15" s="1159"/>
      <c r="J15" s="1159"/>
      <c r="K15" s="1160">
        <f>SUMIF('数据-汇总表'!C$19:C$33,A15,'数据-汇总表'!E$19:E$33)</f>
        <v>4976.66</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1886</v>
      </c>
      <c r="B16" s="93"/>
      <c r="C16" s="941"/>
      <c r="D16" s="1907"/>
      <c r="E16" s="93"/>
      <c r="F16" s="93"/>
      <c r="G16" s="94">
        <f>ROUND(SUMPRODUCT(G6:G13,K6:K13)/SUMPRODUCT((G6:G13&gt;0)*(K6:K13)),3)</f>
        <v>0.96799999999999997</v>
      </c>
      <c r="H16" s="95">
        <f>ROUND(SUMPRODUCT(H6:H13,K6:K13)/SUMPRODUCT((H6:H13&gt;0)*(K6:K13)),3)</f>
        <v>4.1000000000000002E-2</v>
      </c>
      <c r="I16" s="96"/>
      <c r="J16" s="96"/>
      <c r="K16" s="97">
        <f>SUM(K6:K15)</f>
        <v>714394.25</v>
      </c>
      <c r="L16" s="98">
        <f>ROUND(M16*10000/SUM(K6:K14),0)</f>
        <v>2300</v>
      </c>
      <c r="M16" s="98">
        <f>SUM(M6:M14)</f>
        <v>163165</v>
      </c>
      <c r="N16" s="99">
        <f>ROUND(SUMPRODUCT(M6:M14,N6:N14)/M16,3)</f>
        <v>0.05</v>
      </c>
      <c r="O16" s="98">
        <f>SUM(O6:O14)</f>
        <v>8159</v>
      </c>
      <c r="P16" s="98">
        <f>SUM(P6:P14)</f>
        <v>155006</v>
      </c>
      <c r="Q16" s="100">
        <f>ROUND(SUMPRODUCT(Q6:Q13,K6:K13)/SUMPRODUCT((Q6:Q13&gt;0)*(K6:K13)),2)</f>
        <v>0.12</v>
      </c>
      <c r="R16" s="1164">
        <f ca="1">SUM(R6:R13)</f>
        <v>254442.35000000003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1887</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1888</v>
      </c>
      <c r="B19" s="108">
        <v>0</v>
      </c>
      <c r="C19" s="3027" t="s">
        <v>3037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1889</v>
      </c>
      <c r="B20" s="109">
        <v>3</v>
      </c>
      <c r="C20" s="3028" t="s">
        <v>3035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1890</v>
      </c>
      <c r="B21" s="109">
        <f>ROUND(B20*N16,1)</f>
        <v>0.2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1891</v>
      </c>
      <c r="B22" s="110">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1892</v>
      </c>
      <c r="B23" s="110">
        <f>B19+B21</f>
        <v>0.2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1893</v>
      </c>
      <c r="B24" s="111">
        <f>B20-B21</f>
        <v>2.8</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1894</v>
      </c>
      <c r="B26" s="1913" t="s">
        <v>1895</v>
      </c>
      <c r="C26" s="2903" t="s">
        <v>1896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1897</v>
      </c>
      <c r="B27" s="112">
        <v>33.200000000000003</v>
      </c>
      <c r="C27" s="3029" t="s">
        <v>3039</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1898</v>
      </c>
      <c r="B28" s="115">
        <v>21.6</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1899</v>
      </c>
      <c r="B29" s="117">
        <v>0</v>
      </c>
      <c r="C29" s="3030" t="s">
        <v>3025</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1900</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1901</v>
      </c>
      <c r="B31" s="116">
        <f>B30-B32</f>
        <v>50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1902</v>
      </c>
      <c r="B32" s="681">
        <v>150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1903</v>
      </c>
      <c r="B33" s="682">
        <v>0.03</v>
      </c>
      <c r="C33" s="3031" t="s">
        <v>3026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1904</v>
      </c>
      <c r="B34" s="118">
        <v>0.05</v>
      </c>
      <c r="C34" s="3031" t="s">
        <v>3027</v>
      </c>
      <c r="D34" s="2910" t="s">
        <v>3036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1905</v>
      </c>
      <c r="B35" s="115">
        <f>B30</f>
        <v>200</v>
      </c>
      <c r="C35" s="3031" t="s">
        <v>3028</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1906</v>
      </c>
      <c r="B36" s="119">
        <v>1.4999999999999999E-2</v>
      </c>
      <c r="C36" s="3031" t="s">
        <v>3029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1907</v>
      </c>
      <c r="B37" s="120">
        <v>0.02</v>
      </c>
      <c r="C37" s="3031" t="s">
        <v>3030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1908</v>
      </c>
      <c r="B38" s="118">
        <v>0.02</v>
      </c>
      <c r="C38" s="3031" t="s">
        <v>3030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1909</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1910</v>
      </c>
      <c r="B40" s="1209">
        <f ca="1">存贷款利率!G1</f>
        <v>4.7500000000000001E-2</v>
      </c>
      <c r="C40" s="3031" t="s">
        <v>3031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1911</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1912</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1913</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1914</v>
      </c>
      <c r="B44" s="124">
        <v>0.05</v>
      </c>
      <c r="C44" s="3031" t="s">
        <v>3040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1915</v>
      </c>
      <c r="B45" s="122">
        <v>0.03</v>
      </c>
      <c r="C45" s="3030" t="s">
        <v>3032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1916</v>
      </c>
      <c r="B46" s="122">
        <v>0.02</v>
      </c>
      <c r="C46" s="3030" t="s">
        <v>3033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1917</v>
      </c>
      <c r="B47" s="125">
        <v>0</v>
      </c>
      <c r="C47" s="3033" t="s">
        <v>3041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1918</v>
      </c>
      <c r="B48" s="126">
        <v>0.04</v>
      </c>
      <c r="C48" s="3030" t="s">
        <v>3032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1919</v>
      </c>
      <c r="B49" s="122">
        <v>5.0000000000000001E-4</v>
      </c>
      <c r="C49" s="3030" t="s">
        <v>3034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1920</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1921</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1922</v>
      </c>
      <c r="B52" s="129">
        <f>SUMIF(A54:A63,B53,B54:B63)</f>
        <v>6</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1923</v>
      </c>
      <c r="B53" s="1925" t="s">
        <v>56</v>
      </c>
      <c r="C53" s="2886" t="s">
        <v>1924</v>
      </c>
      <c r="D53" s="3032" t="s">
        <v>3038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1925</v>
      </c>
      <c r="B54" s="80"/>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1926</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1927</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1928</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1929</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1930</v>
      </c>
      <c r="B59" s="80">
        <v>6</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1931</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1932</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1933</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1934</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G17" sqref="G17"/>
      <selection pane="topRight" activeCell="G17" sqref="G17"/>
      <selection pane="bottomLeft" activeCell="G17" sqref="G17"/>
      <selection pane="bottomRight" activeCell="C20" sqref="C20"/>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3" customFormat="1" ht="18.75" thickBot="1">
      <c r="A1" s="3862" t="s">
        <v>3017</v>
      </c>
      <c r="B1" s="3863"/>
      <c r="C1" s="3863"/>
      <c r="D1" s="3863"/>
      <c r="E1" s="3863"/>
      <c r="F1" s="3863"/>
      <c r="G1" s="386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3013</v>
      </c>
      <c r="D2" s="2687"/>
      <c r="E2" s="2684"/>
      <c r="F2" s="2688"/>
      <c r="G2" s="2686" t="s">
        <v>3014</v>
      </c>
      <c r="H2" s="907"/>
      <c r="I2" s="907"/>
      <c r="J2" s="907"/>
      <c r="K2" s="907"/>
      <c r="L2" s="907"/>
      <c r="M2" s="907"/>
      <c r="N2" s="907"/>
      <c r="O2" s="907"/>
      <c r="P2" s="907"/>
      <c r="Q2" s="907"/>
      <c r="R2" s="907"/>
    </row>
    <row r="3" spans="1:29" ht="26.25" thickBot="1">
      <c r="A3" s="2667" t="s">
        <v>3015</v>
      </c>
      <c r="B3" s="2689" t="s">
        <v>2987</v>
      </c>
      <c r="C3" s="3484" t="s">
        <v>3906</v>
      </c>
      <c r="D3" s="2690"/>
      <c r="E3" s="2668" t="s">
        <v>3015</v>
      </c>
      <c r="F3" s="2691" t="s">
        <v>2988</v>
      </c>
      <c r="G3" s="2692" t="s">
        <v>3016</v>
      </c>
      <c r="H3" s="907"/>
      <c r="I3" s="907"/>
      <c r="J3" s="907"/>
      <c r="K3" s="907"/>
      <c r="L3" s="907"/>
      <c r="M3" s="907"/>
      <c r="N3" s="907"/>
      <c r="O3" s="907"/>
      <c r="P3" s="907"/>
      <c r="Q3" s="907"/>
      <c r="R3" s="907"/>
    </row>
    <row r="4" spans="1:29" ht="36.75" thickBot="1">
      <c r="A4" s="2668"/>
      <c r="B4" s="329" t="s">
        <v>2989</v>
      </c>
      <c r="C4" s="3484" t="s">
        <v>3906</v>
      </c>
      <c r="D4" s="2690"/>
      <c r="E4" s="2693"/>
      <c r="F4" s="1558" t="s">
        <v>2990</v>
      </c>
      <c r="G4" s="2694" t="s">
        <v>2991</v>
      </c>
      <c r="H4" s="907"/>
      <c r="I4" s="907"/>
      <c r="J4" s="907"/>
      <c r="K4" s="907"/>
      <c r="L4" s="907"/>
      <c r="M4" s="907"/>
      <c r="N4" s="907"/>
      <c r="O4" s="907"/>
      <c r="P4" s="907"/>
      <c r="Q4" s="907"/>
      <c r="R4" s="907"/>
    </row>
    <row r="5" spans="1:29" ht="24.75" thickBot="1">
      <c r="A5" s="2668"/>
      <c r="B5" s="329" t="s">
        <v>2992</v>
      </c>
      <c r="C5" s="3484" t="s">
        <v>3906</v>
      </c>
      <c r="D5" s="2690"/>
      <c r="E5" s="2693"/>
      <c r="F5" s="329" t="s">
        <v>2993</v>
      </c>
      <c r="G5" s="2694" t="s">
        <v>2994</v>
      </c>
      <c r="H5" s="907"/>
      <c r="I5" s="907"/>
      <c r="J5" s="907"/>
      <c r="K5" s="907"/>
      <c r="L5" s="907"/>
      <c r="M5" s="907"/>
      <c r="N5" s="907"/>
      <c r="O5" s="907"/>
      <c r="P5" s="907"/>
      <c r="Q5" s="907"/>
      <c r="R5" s="907"/>
    </row>
    <row r="6" spans="1:29" ht="15" thickBot="1">
      <c r="A6" s="2668"/>
      <c r="B6" s="329" t="s">
        <v>2995</v>
      </c>
      <c r="C6" s="3484" t="s">
        <v>3906</v>
      </c>
      <c r="D6" s="2690"/>
      <c r="E6" s="2693"/>
      <c r="F6" s="329" t="s">
        <v>2996</v>
      </c>
      <c r="G6" s="2694" t="s">
        <v>2997</v>
      </c>
      <c r="H6" s="907"/>
      <c r="I6" s="907"/>
      <c r="J6" s="907"/>
      <c r="K6" s="907"/>
      <c r="L6" s="907"/>
      <c r="M6" s="907"/>
      <c r="N6" s="907"/>
      <c r="O6" s="907"/>
      <c r="P6" s="907"/>
      <c r="Q6" s="907"/>
      <c r="R6" s="907"/>
    </row>
    <row r="7" spans="1:29" ht="24.75" thickBot="1">
      <c r="A7" s="2668"/>
      <c r="B7" s="329" t="s">
        <v>2993</v>
      </c>
      <c r="C7" s="3484" t="s">
        <v>3906</v>
      </c>
      <c r="D7" s="2695"/>
      <c r="E7" s="2696"/>
      <c r="F7" s="2697" t="s">
        <v>2998</v>
      </c>
      <c r="G7" s="2698" t="s">
        <v>2999</v>
      </c>
      <c r="H7" s="907"/>
      <c r="I7" s="907"/>
      <c r="J7" s="907"/>
      <c r="K7" s="907"/>
      <c r="L7" s="907"/>
      <c r="M7" s="907"/>
      <c r="N7" s="907"/>
      <c r="O7" s="907"/>
      <c r="P7" s="907"/>
      <c r="Q7" s="907"/>
      <c r="R7" s="907"/>
    </row>
    <row r="8" spans="1:29">
      <c r="A8" s="2668"/>
      <c r="B8" s="329" t="s">
        <v>2996</v>
      </c>
      <c r="C8" s="3485" t="s">
        <v>3908</v>
      </c>
      <c r="D8" s="2695"/>
      <c r="E8" s="2695"/>
      <c r="F8" s="2699"/>
      <c r="G8" s="2699"/>
      <c r="H8" s="907"/>
      <c r="I8" s="907"/>
      <c r="J8" s="907"/>
      <c r="K8" s="907"/>
      <c r="L8" s="907"/>
      <c r="M8" s="907"/>
      <c r="N8" s="907"/>
      <c r="O8" s="907"/>
      <c r="P8" s="907"/>
      <c r="Q8" s="907"/>
      <c r="R8" s="907"/>
    </row>
    <row r="9" spans="1:29">
      <c r="A9" s="2668"/>
      <c r="B9" s="329" t="s">
        <v>3000</v>
      </c>
      <c r="C9" s="3486" t="s">
        <v>3910</v>
      </c>
      <c r="D9" s="2690"/>
      <c r="E9" s="2695"/>
      <c r="F9" s="2699"/>
      <c r="G9" s="2699"/>
      <c r="H9" s="907"/>
      <c r="I9" s="907"/>
      <c r="J9" s="907"/>
      <c r="K9" s="907"/>
      <c r="L9" s="907"/>
      <c r="M9" s="907"/>
      <c r="N9" s="907"/>
      <c r="O9" s="907"/>
      <c r="P9" s="907"/>
      <c r="Q9" s="907"/>
      <c r="R9" s="907"/>
    </row>
    <row r="10" spans="1:29" s="2705" customFormat="1" ht="15" thickBot="1">
      <c r="A10" s="2669"/>
      <c r="B10" s="2700" t="s">
        <v>3001</v>
      </c>
      <c r="C10" s="2701"/>
      <c r="D10" s="2690"/>
      <c r="E10" s="2690"/>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90"/>
      <c r="D11" s="2690"/>
      <c r="E11" s="2690"/>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5"/>
      <c r="C12" s="2690"/>
      <c r="D12" s="2708"/>
      <c r="E12" s="2690"/>
      <c r="F12" s="2695"/>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3018</v>
      </c>
      <c r="B13" s="2708"/>
      <c r="C13" s="2708"/>
      <c r="D13" s="2706"/>
      <c r="E13" s="2708"/>
      <c r="F13" s="2708"/>
      <c r="G13" s="2708"/>
    </row>
    <row r="14" spans="1:29" ht="15" thickBot="1">
      <c r="A14" s="2718"/>
      <c r="B14" s="2718"/>
      <c r="C14" s="2719" t="s">
        <v>3002</v>
      </c>
      <c r="D14" s="2690"/>
      <c r="E14" s="2720"/>
      <c r="F14" s="2720"/>
      <c r="G14" s="2686" t="s">
        <v>3003</v>
      </c>
    </row>
    <row r="15" spans="1:29" ht="25.5">
      <c r="A15" s="2670" t="s">
        <v>3004</v>
      </c>
      <c r="B15" s="2721" t="s">
        <v>2987</v>
      </c>
      <c r="C15" s="2722" t="str">
        <f>C3</f>
        <v>较差</v>
      </c>
      <c r="D15" s="2690"/>
      <c r="E15" s="2671" t="s">
        <v>3005</v>
      </c>
      <c r="F15" s="2721" t="s">
        <v>3006</v>
      </c>
      <c r="G15" s="2723" t="str">
        <f>G3</f>
        <v>估价对象位于XX开发区，园区建设成熟度XX，产业集聚程度XX</v>
      </c>
    </row>
    <row r="16" spans="1:29" ht="38.25">
      <c r="A16" s="2672"/>
      <c r="B16" s="2724" t="s">
        <v>2989</v>
      </c>
      <c r="C16" s="2725" t="str">
        <f>C4</f>
        <v>较差</v>
      </c>
      <c r="D16" s="2690"/>
      <c r="E16" s="2673"/>
      <c r="F16" s="2726" t="s">
        <v>2990</v>
      </c>
      <c r="G16" s="2727" t="str">
        <f>G4</f>
        <v>估价对象周边道路状况、公共交通通达情况、停车便捷程度，综合评价交通便捷度较好</v>
      </c>
    </row>
    <row r="17" spans="1:18">
      <c r="A17" s="2672"/>
      <c r="B17" s="2724" t="s">
        <v>2992</v>
      </c>
      <c r="C17" s="2725" t="str">
        <f>C5</f>
        <v>较差</v>
      </c>
      <c r="D17" s="2695"/>
      <c r="E17" s="2673"/>
      <c r="F17" s="2726" t="s">
        <v>3007</v>
      </c>
      <c r="G17" s="2728"/>
    </row>
    <row r="18" spans="1:18" ht="25.5">
      <c r="A18" s="2672"/>
      <c r="B18" s="2726" t="s">
        <v>2995</v>
      </c>
      <c r="C18" s="2727" t="str">
        <f>C6</f>
        <v>较差</v>
      </c>
      <c r="D18" s="2695"/>
      <c r="E18" s="2673"/>
      <c r="F18" s="2726" t="s">
        <v>2998</v>
      </c>
      <c r="G18" s="2727" t="str">
        <f>G7</f>
        <v>该园区内是否有污染型企业，绿化情况，卫生条件，整体环境状况判断</v>
      </c>
    </row>
    <row r="19" spans="1:18" ht="25.5">
      <c r="A19" s="2672"/>
      <c r="B19" s="2726" t="s">
        <v>3008</v>
      </c>
      <c r="C19" s="3487" t="s">
        <v>3911</v>
      </c>
      <c r="D19" s="2690"/>
      <c r="E19" s="2673"/>
      <c r="F19" s="329" t="s">
        <v>2993</v>
      </c>
      <c r="G19" s="2727" t="str">
        <f>G5</f>
        <v>估价对象所在区域公共配套设施齐备情况</v>
      </c>
    </row>
    <row r="20" spans="1:18">
      <c r="A20" s="2672"/>
      <c r="B20" s="2726" t="s">
        <v>3009</v>
      </c>
      <c r="C20" s="2725" t="str">
        <f>C9</f>
        <v>一般</v>
      </c>
      <c r="D20" s="2695"/>
      <c r="E20" s="2673"/>
      <c r="F20" s="329" t="s">
        <v>2996</v>
      </c>
      <c r="G20" s="2727" t="str">
        <f>G6</f>
        <v>估价对象所在区域基础设施水平</v>
      </c>
    </row>
    <row r="21" spans="1:18">
      <c r="A21" s="2672"/>
      <c r="B21" s="329" t="s">
        <v>2993</v>
      </c>
      <c r="C21" s="2727" t="str">
        <f>C7</f>
        <v>较差</v>
      </c>
      <c r="D21" s="2690"/>
      <c r="E21" s="2673"/>
      <c r="F21" s="2726" t="s">
        <v>3010</v>
      </c>
      <c r="G21" s="2729"/>
    </row>
    <row r="22" spans="1:18" ht="13.5" customHeight="1">
      <c r="A22" s="2672"/>
      <c r="B22" s="329" t="s">
        <v>2996</v>
      </c>
      <c r="C22" s="2727" t="str">
        <f>C8</f>
        <v>七通</v>
      </c>
      <c r="D22" s="2690"/>
      <c r="E22" s="2673"/>
      <c r="F22" s="2726" t="s">
        <v>3001</v>
      </c>
      <c r="G22" s="2728"/>
    </row>
    <row r="23" spans="1:18" s="907" customFormat="1" ht="15" thickBot="1">
      <c r="A23" s="2672"/>
      <c r="B23" s="2726" t="s">
        <v>3010</v>
      </c>
      <c r="C23" s="2729"/>
      <c r="D23" s="1928"/>
      <c r="E23" s="2674"/>
      <c r="F23" s="2730" t="s">
        <v>3011</v>
      </c>
      <c r="G23" s="2731"/>
      <c r="H23" s="2715"/>
      <c r="I23" s="2716"/>
      <c r="J23" s="2715"/>
      <c r="K23" s="2715"/>
      <c r="L23" s="2716"/>
      <c r="M23" s="2715"/>
      <c r="N23" s="2715"/>
      <c r="O23" s="2716"/>
      <c r="P23" s="2715"/>
      <c r="Q23" s="2715"/>
      <c r="R23" s="2717"/>
    </row>
    <row r="24" spans="1:18" s="907" customFormat="1" ht="15" thickBot="1">
      <c r="A24" s="2675"/>
      <c r="B24" s="2730" t="s">
        <v>3012</v>
      </c>
      <c r="C24" s="2732">
        <f>C10</f>
        <v>0</v>
      </c>
      <c r="D24" s="1928"/>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714394.25</v>
      </c>
      <c r="C1" s="2912"/>
      <c r="D1" s="2912"/>
      <c r="E1" s="2912"/>
      <c r="F1" s="2912"/>
      <c r="G1" s="2913"/>
      <c r="H1" s="2914"/>
      <c r="I1" s="2914"/>
      <c r="J1" s="2914"/>
      <c r="K1" s="2914"/>
    </row>
    <row r="2" spans="1:11" ht="16.5">
      <c r="A2" s="2736" t="s">
        <v>1319</v>
      </c>
      <c r="B2" s="2736">
        <f>SUM(C14:C23)</f>
        <v>254442.35</v>
      </c>
      <c r="C2" s="2912"/>
      <c r="D2" s="2912"/>
      <c r="E2" s="2912"/>
      <c r="F2" s="2912"/>
      <c r="G2" s="2913"/>
      <c r="H2" s="2914"/>
      <c r="I2" s="2914"/>
      <c r="J2" s="2914"/>
      <c r="K2" s="2914"/>
    </row>
    <row r="3" spans="1:11" ht="16.5">
      <c r="A3" s="2736" t="s">
        <v>1328</v>
      </c>
      <c r="B3" s="2738">
        <f>项目基本情况!D3</f>
        <v>44186</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133435</v>
      </c>
      <c r="C5" s="2736">
        <f ca="1">ROUND(B5*10000/$B$1,0)</f>
        <v>1868</v>
      </c>
      <c r="D5" s="2736">
        <f ca="1">ROUND(B5*10000/$B$2,0)</f>
        <v>5244</v>
      </c>
      <c r="E5" s="2912"/>
      <c r="F5" s="2913"/>
      <c r="G5" s="2913"/>
      <c r="H5" s="2914"/>
      <c r="I5" s="2914"/>
      <c r="J5" s="2914"/>
      <c r="K5" s="2914"/>
    </row>
    <row r="6" spans="1:11" ht="16.5">
      <c r="A6" s="2736" t="s">
        <v>1322</v>
      </c>
      <c r="B6" s="2736">
        <f ca="1">SUM(G14:G23)</f>
        <v>133435</v>
      </c>
      <c r="C6" s="2736">
        <f ca="1">ROUND(B6*10000/$B$1,0)</f>
        <v>1868</v>
      </c>
      <c r="D6" s="2736">
        <f ca="1">ROUND(B6*10000/$B$2,0)</f>
        <v>5244</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SUM(I14:I23)</f>
        <v>0</v>
      </c>
      <c r="C8" s="2736">
        <f>ROUND(B8*10000/$B$1,0)</f>
        <v>0</v>
      </c>
      <c r="D8" s="2736">
        <f>ROUND(B8*10000/$B$2,0)</f>
        <v>0</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714394.25</v>
      </c>
      <c r="C14" s="2742">
        <f>结果表!C118</f>
        <v>254442.35</v>
      </c>
      <c r="D14" s="2742">
        <f ca="1">结果表!H118</f>
        <v>133435</v>
      </c>
      <c r="E14" s="2742">
        <f ca="1">ROUND(D14*10000/B14,0)</f>
        <v>1868</v>
      </c>
      <c r="F14" s="2742">
        <f ca="1">ROUND(D14*10000/C14,0)</f>
        <v>5244</v>
      </c>
      <c r="G14" s="2742">
        <f ca="1">结果表!D122</f>
        <v>133435</v>
      </c>
      <c r="H14" s="2742" t="str">
        <f>结果表!D124</f>
        <v>——</v>
      </c>
      <c r="I14" s="2742" t="str">
        <f>结果表!D126</f>
        <v>——</v>
      </c>
      <c r="J14" s="2913"/>
      <c r="K14" s="2914"/>
    </row>
    <row r="15" spans="1:11" ht="16.5">
      <c r="A15" s="2741" t="s">
        <v>1315</v>
      </c>
      <c r="B15" s="2743"/>
      <c r="C15" s="2743"/>
      <c r="D15" s="2743"/>
      <c r="E15" s="2742" t="e">
        <f t="shared" ref="E15:E23" si="0">ROUND(D15*10000/B15,0)</f>
        <v>#DIV/0!</v>
      </c>
      <c r="F15" s="2742" t="e">
        <f t="shared" ref="F15:F23" si="1">ROUND(D15*10000/C15,0)</f>
        <v>#DIV/0!</v>
      </c>
      <c r="G15" s="1501"/>
      <c r="H15" s="1501"/>
      <c r="I15" s="2743"/>
      <c r="J15" s="2913"/>
      <c r="K15" s="2914"/>
    </row>
    <row r="16" spans="1:11" ht="16.5">
      <c r="A16" s="2741" t="s">
        <v>1314</v>
      </c>
      <c r="B16" s="2743"/>
      <c r="C16" s="2743"/>
      <c r="D16" s="2743"/>
      <c r="E16" s="2742" t="e">
        <f t="shared" si="0"/>
        <v>#DIV/0!</v>
      </c>
      <c r="F16" s="2742" t="e">
        <f t="shared" si="1"/>
        <v>#DIV/0!</v>
      </c>
      <c r="G16" s="1501"/>
      <c r="H16" s="1501"/>
      <c r="I16" s="2743"/>
      <c r="J16" s="2914"/>
      <c r="K16" s="2914"/>
    </row>
    <row r="17" spans="1:11" ht="16.5">
      <c r="A17" s="2741" t="s">
        <v>1313</v>
      </c>
      <c r="B17" s="2743"/>
      <c r="C17" s="2743"/>
      <c r="D17" s="2743"/>
      <c r="E17" s="2742" t="e">
        <f t="shared" si="0"/>
        <v>#DIV/0!</v>
      </c>
      <c r="F17" s="2742" t="e">
        <f t="shared" si="1"/>
        <v>#DIV/0!</v>
      </c>
      <c r="G17" s="1501"/>
      <c r="H17" s="1501"/>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L35" sqref="L3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1940</v>
      </c>
      <c r="B1" s="1934"/>
      <c r="C1" s="1935"/>
      <c r="D1" s="1934"/>
      <c r="E1" s="1934"/>
      <c r="F1" s="1936" t="s">
        <v>1941</v>
      </c>
      <c r="G1" s="1747"/>
      <c r="H1" s="1937" t="str">
        <f>IF(G1="现房","——","估价对象范围")</f>
        <v>估价对象范围</v>
      </c>
      <c r="I1" s="1938"/>
    </row>
    <row r="2" spans="1:12" ht="21.75" customHeight="1" thickBot="1">
      <c r="A2" s="3934" t="str">
        <f>项目基本情况!S2</f>
        <v>河北省固安温泉休闲商务产业园区独流一排村东北房地产</v>
      </c>
      <c r="B2" s="3935"/>
      <c r="C2" s="3935"/>
      <c r="D2" s="3935"/>
      <c r="E2" s="3935"/>
      <c r="F2" s="3935"/>
      <c r="G2" s="3935"/>
      <c r="H2" s="3935"/>
      <c r="I2" s="3936"/>
    </row>
    <row r="3" spans="1:12" ht="12.75">
      <c r="A3" s="3938" t="s">
        <v>1942</v>
      </c>
      <c r="B3" s="3939"/>
      <c r="C3" s="3939"/>
      <c r="D3" s="3939"/>
      <c r="E3" s="3939"/>
      <c r="F3" s="3939"/>
      <c r="G3" s="3939"/>
      <c r="H3" s="3939"/>
      <c r="I3" s="3939"/>
    </row>
    <row r="4" spans="1:12" ht="14.25">
      <c r="A4" s="1941" t="s">
        <v>1943</v>
      </c>
      <c r="B4" s="1942" t="s">
        <v>1944</v>
      </c>
      <c r="C4" s="1943" t="s">
        <v>3979</v>
      </c>
      <c r="D4" s="1943" t="s">
        <v>3980</v>
      </c>
      <c r="E4" s="3943" t="s">
        <v>1945</v>
      </c>
      <c r="F4" s="3944"/>
      <c r="G4" s="3944"/>
      <c r="H4" s="3944"/>
      <c r="I4" s="39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879" t="s">
        <v>1946</v>
      </c>
      <c r="B5" s="3937">
        <v>25</v>
      </c>
      <c r="C5" s="3940"/>
      <c r="D5" s="3928"/>
      <c r="E5" s="136" t="s">
        <v>1947</v>
      </c>
      <c r="F5" s="1944"/>
      <c r="G5" s="1944"/>
      <c r="H5" s="1944"/>
      <c r="I5" s="1558"/>
    </row>
    <row r="6" spans="1:12" ht="12.75">
      <c r="A6" s="3879"/>
      <c r="B6" s="3937"/>
      <c r="C6" s="3942"/>
      <c r="D6" s="3928"/>
      <c r="E6" s="136" t="s">
        <v>1948</v>
      </c>
      <c r="F6" s="1944"/>
      <c r="G6" s="1944"/>
      <c r="H6" s="1944"/>
      <c r="I6" s="1558"/>
    </row>
    <row r="7" spans="1:12" ht="12.75">
      <c r="A7" s="3879"/>
      <c r="B7" s="3937"/>
      <c r="C7" s="3941"/>
      <c r="D7" s="3928"/>
      <c r="E7" s="136" t="s">
        <v>1949</v>
      </c>
      <c r="F7" s="1944"/>
      <c r="G7" s="1944"/>
      <c r="H7" s="1944"/>
      <c r="I7" s="1558"/>
    </row>
    <row r="8" spans="1:12" ht="12.75">
      <c r="A8" s="3879" t="s">
        <v>1950</v>
      </c>
      <c r="B8" s="3937">
        <v>15</v>
      </c>
      <c r="C8" s="3940"/>
      <c r="D8" s="3928"/>
      <c r="E8" s="136" t="s">
        <v>1951</v>
      </c>
      <c r="F8" s="1944"/>
      <c r="G8" s="1944"/>
      <c r="H8" s="1944"/>
      <c r="I8" s="1558"/>
    </row>
    <row r="9" spans="1:12" ht="12.75">
      <c r="A9" s="3879"/>
      <c r="B9" s="3937"/>
      <c r="C9" s="3941"/>
      <c r="D9" s="3928"/>
      <c r="E9" s="136" t="s">
        <v>1952</v>
      </c>
      <c r="F9" s="1944"/>
      <c r="G9" s="1944"/>
      <c r="H9" s="1944"/>
      <c r="I9" s="1558"/>
    </row>
    <row r="10" spans="1:12" ht="12.75">
      <c r="A10" s="3879" t="s">
        <v>1953</v>
      </c>
      <c r="B10" s="3937">
        <v>15</v>
      </c>
      <c r="C10" s="3940"/>
      <c r="D10" s="3928"/>
      <c r="E10" s="136" t="s">
        <v>1954</v>
      </c>
      <c r="F10" s="1944"/>
      <c r="G10" s="1944"/>
      <c r="H10" s="1944"/>
      <c r="I10" s="1558"/>
    </row>
    <row r="11" spans="1:12" ht="12.75">
      <c r="A11" s="3879"/>
      <c r="B11" s="3937"/>
      <c r="C11" s="3941"/>
      <c r="D11" s="3928"/>
      <c r="E11" s="136" t="s">
        <v>1955</v>
      </c>
      <c r="F11" s="1944"/>
      <c r="G11" s="1944"/>
      <c r="H11" s="1944"/>
      <c r="I11" s="1558"/>
    </row>
    <row r="12" spans="1:12" ht="12.75">
      <c r="A12" s="3879" t="s">
        <v>1956</v>
      </c>
      <c r="B12" s="3937">
        <v>15</v>
      </c>
      <c r="C12" s="3940"/>
      <c r="D12" s="3928"/>
      <c r="E12" s="136" t="s">
        <v>1957</v>
      </c>
      <c r="F12" s="1944"/>
      <c r="G12" s="1944"/>
      <c r="H12" s="1944"/>
      <c r="I12" s="1558"/>
    </row>
    <row r="13" spans="1:12" ht="12.75">
      <c r="A13" s="3879"/>
      <c r="B13" s="3937"/>
      <c r="C13" s="3941"/>
      <c r="D13" s="3928"/>
      <c r="E13" s="136" t="s">
        <v>1958</v>
      </c>
      <c r="F13" s="1944"/>
      <c r="G13" s="1944"/>
      <c r="H13" s="1944"/>
      <c r="I13" s="1558"/>
    </row>
    <row r="14" spans="1:12" ht="12.75">
      <c r="A14" s="3879" t="s">
        <v>1959</v>
      </c>
      <c r="B14" s="3937">
        <v>30</v>
      </c>
      <c r="C14" s="3940">
        <v>5</v>
      </c>
      <c r="D14" s="3928">
        <v>5</v>
      </c>
      <c r="E14" s="136" t="s">
        <v>1960</v>
      </c>
      <c r="F14" s="1944"/>
      <c r="G14" s="1944"/>
      <c r="H14" s="1944"/>
      <c r="I14" s="1558"/>
    </row>
    <row r="15" spans="1:12" ht="12.75">
      <c r="A15" s="3879"/>
      <c r="B15" s="3937"/>
      <c r="C15" s="3942"/>
      <c r="D15" s="3928"/>
      <c r="E15" s="136" t="s">
        <v>1961</v>
      </c>
      <c r="F15" s="1944"/>
      <c r="G15" s="1944"/>
      <c r="H15" s="1944"/>
      <c r="I15" s="1558"/>
    </row>
    <row r="16" spans="1:12" ht="12.75">
      <c r="A16" s="3879"/>
      <c r="B16" s="3937"/>
      <c r="C16" s="3941"/>
      <c r="D16" s="3928"/>
      <c r="E16" s="136" t="s">
        <v>1962</v>
      </c>
      <c r="F16" s="1944"/>
      <c r="G16" s="1944"/>
      <c r="H16" s="1944"/>
      <c r="I16" s="1558"/>
    </row>
    <row r="17" spans="1:36" ht="15">
      <c r="A17" s="1945" t="s">
        <v>1963</v>
      </c>
      <c r="B17" s="60"/>
      <c r="C17" s="137">
        <f>SUM(C5:C16)</f>
        <v>5</v>
      </c>
      <c r="D17" s="137">
        <f>SUM(D5:D16)</f>
        <v>5</v>
      </c>
      <c r="E17" s="134"/>
      <c r="F17" s="134"/>
      <c r="G17" s="134"/>
      <c r="H17" s="134"/>
      <c r="I17" s="134"/>
      <c r="K17" s="308"/>
      <c r="L17" s="308" t="s">
        <v>1964</v>
      </c>
      <c r="M17" s="308" t="s">
        <v>1965</v>
      </c>
    </row>
    <row r="18" spans="1:36" ht="31.9" customHeight="1" thickBot="1">
      <c r="A18" s="1946" t="s">
        <v>1966</v>
      </c>
      <c r="B18" s="1947"/>
      <c r="C18" s="138">
        <f>ROUND(C17/SUM(C17:D17),2)</f>
        <v>0.5</v>
      </c>
      <c r="D18" s="138">
        <f>1-C18</f>
        <v>0.5</v>
      </c>
      <c r="E18" s="3959" t="s">
        <v>2863</v>
      </c>
      <c r="F18" s="3960"/>
      <c r="G18" s="3960"/>
      <c r="H18" s="3960"/>
      <c r="I18" s="3960"/>
      <c r="K18" s="308" t="s">
        <v>1967</v>
      </c>
      <c r="L18" s="308">
        <f>IF(C1="",'数据-汇总表'!E3,SUMIF(项目类型,C1,'数据-汇总表'!E17:E26)+SUMIF(项目类型,C1,'数据-汇总表'!I17:I26))</f>
        <v>714394.25</v>
      </c>
      <c r="M18" s="308">
        <f>IF(C1="",'数据-汇总表'!E3,SUMIF(项目类型,C1,'数据-汇总表'!E17:E26))</f>
        <v>714394.25</v>
      </c>
    </row>
    <row r="19" spans="1:36" ht="15">
      <c r="A19" s="1948" t="s">
        <v>1968</v>
      </c>
      <c r="B19" s="1949" t="s">
        <v>1969</v>
      </c>
      <c r="C19" s="139">
        <f ca="1">SUMIF(INDIRECT("'"&amp;C4&amp;"'"&amp;"!A:A"),结果表!B19,INDIRECT("'"&amp;C4&amp;"'"&amp;"!B:B"))</f>
        <v>143681</v>
      </c>
      <c r="D19" s="140">
        <f ca="1">SUMIF(INDIRECT("'"&amp;D4&amp;"'"&amp;"!A:A"),结果表!B19,INDIRECT("'"&amp;D4&amp;"'"&amp;"!B:B"))</f>
        <v>123189</v>
      </c>
      <c r="E19" s="1948" t="s">
        <v>1970</v>
      </c>
      <c r="F19" s="1949" t="s">
        <v>1969</v>
      </c>
      <c r="G19" s="141">
        <f ca="1">ROUND(C19*$C$18+D19*$D$18,0)</f>
        <v>133435</v>
      </c>
      <c r="H19" s="1950" t="s">
        <v>1971</v>
      </c>
      <c r="I19" s="134"/>
      <c r="K19" s="308" t="s">
        <v>1972</v>
      </c>
      <c r="L19" s="308">
        <f>IF(C1="",'数据-汇总表'!D3,SUMIF(项目类型,C1,'数据-汇总表'!D17:D26)+SUMIF(项目类型,C1,'数据-汇总表'!H17:H27))</f>
        <v>254442.35</v>
      </c>
      <c r="M19" s="308">
        <f>IF(C1="",'数据-汇总表'!D3,SUMIF(项目类型,C1,'数据-汇总表'!D17:D26))</f>
        <v>254442.35</v>
      </c>
    </row>
    <row r="20" spans="1:36" ht="15">
      <c r="A20" s="1951"/>
      <c r="B20" s="1156" t="s">
        <v>1973</v>
      </c>
      <c r="C20" s="142">
        <f ca="1">SUMIF(INDIRECT("'"&amp;C4&amp;"'"&amp;"!A:A"),结果表!B20,INDIRECT("'"&amp;C4&amp;"'"&amp;"!B:B"))</f>
        <v>2011</v>
      </c>
      <c r="D20" s="143">
        <f ca="1">SUMIF(INDIRECT("'"&amp;D4&amp;"'"&amp;"!A:A"),结果表!B20,INDIRECT("'"&amp;D4&amp;"'"&amp;"!B:B"))</f>
        <v>1724</v>
      </c>
      <c r="E20" s="1951"/>
      <c r="F20" s="1156" t="s">
        <v>1973</v>
      </c>
      <c r="G20" s="144">
        <f ca="1">ROUND(C20*$C$18+D20*$D$18,0)</f>
        <v>1868</v>
      </c>
      <c r="H20" s="917" t="s">
        <v>1974</v>
      </c>
      <c r="I20" s="134"/>
      <c r="J20" s="734">
        <f ca="1">ROUND(G19*10000/'数据-汇总表'!F31,0)</f>
        <v>2510</v>
      </c>
    </row>
    <row r="21" spans="1:36" ht="15" customHeight="1" thickBot="1">
      <c r="A21" s="936"/>
      <c r="B21" s="1952" t="s">
        <v>1975</v>
      </c>
      <c r="C21" s="728">
        <f ca="1">ROUND(C19*10000/L19,0)</f>
        <v>5647</v>
      </c>
      <c r="D21" s="729">
        <f ca="1">ROUND(D19*10000/L19,0)</f>
        <v>4842</v>
      </c>
      <c r="E21" s="936"/>
      <c r="F21" s="1952" t="s">
        <v>1975</v>
      </c>
      <c r="G21" s="145">
        <f ca="1">ROUND(G19*10000/L19,0)</f>
        <v>5244</v>
      </c>
      <c r="H21" s="1953" t="s">
        <v>1974</v>
      </c>
      <c r="I21" s="134"/>
    </row>
    <row r="22" spans="1:36" ht="15" thickBot="1">
      <c r="A22" s="1875" t="s">
        <v>1976</v>
      </c>
      <c r="B22" s="1954"/>
      <c r="C22" s="1955"/>
      <c r="D22" s="730">
        <f ca="1">IF(C19&lt;D19,D19/C19-1,C19/D19-1)</f>
        <v>0.16634602115448627</v>
      </c>
      <c r="E22" s="134"/>
      <c r="F22" s="134"/>
      <c r="G22" s="134"/>
      <c r="H22" s="134"/>
      <c r="I22" s="134"/>
      <c r="J22" s="734">
        <f>ROUND(250000*10000/'数据-汇总表'!F31,0)</f>
        <v>4702</v>
      </c>
    </row>
    <row r="23" spans="1:36" ht="13.5" thickBot="1">
      <c r="A23" s="1934"/>
      <c r="B23" s="1934"/>
      <c r="C23" s="1934"/>
      <c r="D23" s="1934"/>
      <c r="E23" s="134"/>
      <c r="F23" s="134"/>
      <c r="G23" s="134"/>
      <c r="H23" s="134"/>
      <c r="I23" s="134"/>
    </row>
    <row r="24" spans="1:36" ht="14.25">
      <c r="A24" s="3952" t="s">
        <v>1977</v>
      </c>
      <c r="B24" s="1949" t="s">
        <v>1969</v>
      </c>
      <c r="C24" s="141">
        <f>IF(B30=0,0,D30)</f>
        <v>0</v>
      </c>
      <c r="D24" s="1956"/>
      <c r="E24" s="134"/>
      <c r="F24" s="134"/>
      <c r="G24" s="134"/>
      <c r="H24" s="134"/>
      <c r="I24" s="134"/>
    </row>
    <row r="25" spans="1:36" ht="14.25">
      <c r="A25" s="3953"/>
      <c r="B25" s="1156" t="s">
        <v>1973</v>
      </c>
      <c r="C25" s="146">
        <f>IF(B30=0,0,C30)</f>
        <v>0</v>
      </c>
      <c r="D25" s="1957"/>
      <c r="E25" s="134"/>
      <c r="F25" s="134"/>
      <c r="G25" s="134"/>
      <c r="H25" s="134"/>
      <c r="I25" s="134"/>
    </row>
    <row r="26" spans="1:36" ht="13.5" customHeight="1">
      <c r="A26" s="1958" t="s">
        <v>1978</v>
      </c>
      <c r="B26" s="147" t="s">
        <v>1979</v>
      </c>
      <c r="C26" s="147" t="s">
        <v>1980</v>
      </c>
      <c r="D26" s="148" t="s">
        <v>1981</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1982</v>
      </c>
      <c r="B30" s="147"/>
      <c r="C30" s="147"/>
      <c r="D30" s="147"/>
      <c r="E30" s="2522" t="s">
        <v>2864</v>
      </c>
      <c r="F30" s="134"/>
      <c r="G30" s="134"/>
      <c r="H30" s="134"/>
      <c r="I30" s="134"/>
    </row>
    <row r="31" spans="1:36" s="2528" customFormat="1" ht="26.45" customHeight="1" thickTop="1" thickBot="1">
      <c r="A31" s="2523"/>
      <c r="B31" s="2524"/>
      <c r="C31" s="2524"/>
      <c r="D31" s="2524"/>
      <c r="E31" s="2524"/>
      <c r="F31" s="2524"/>
      <c r="G31" s="2524"/>
      <c r="H31" s="2524"/>
      <c r="I31" s="2525" t="s">
        <v>2865</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1983</v>
      </c>
      <c r="B32" s="1961"/>
      <c r="C32" s="149">
        <f ca="1">IF(D32="总价",G19-C24,G20-C25)</f>
        <v>133435</v>
      </c>
      <c r="D32" s="1962" t="s">
        <v>4000</v>
      </c>
      <c r="E32" s="134"/>
      <c r="F32" s="134"/>
      <c r="G32" s="134"/>
      <c r="H32" s="134"/>
      <c r="I32" s="134"/>
    </row>
    <row r="33" spans="1:15" ht="15">
      <c r="A33" s="894" t="s">
        <v>1984</v>
      </c>
      <c r="B33" s="1963"/>
      <c r="C33" s="1964" t="s">
        <v>4001</v>
      </c>
      <c r="D33" s="1965" t="s">
        <v>3979</v>
      </c>
      <c r="E33" s="1966" t="s">
        <v>1985</v>
      </c>
      <c r="F33" s="1967" t="str">
        <f>IF(D32="楼面单价","取值（单价）","取值（总价）")</f>
        <v>取值（总价）</v>
      </c>
      <c r="G33" s="134"/>
      <c r="H33" s="134"/>
      <c r="I33" s="134"/>
    </row>
    <row r="34" spans="1:15" ht="15">
      <c r="A34" s="1968"/>
      <c r="B34" s="1969" t="s">
        <v>1986</v>
      </c>
      <c r="C34" s="153">
        <f ca="1">IF(C33="自定义",F34,C32-C35)</f>
        <v>122493</v>
      </c>
      <c r="D34" s="969">
        <f ca="1">IF(C33="自定义",ROUND(C34/C32,3),IF(C33="收益比率",SUMIF(INDIRECT("'"&amp;D33&amp;"'"&amp;"!b:b"),"土地收益比率",INDIRECT("'"&amp;D33&amp;"'"&amp;"!c:c")),SUMIF(INDIRECT("'"&amp;D33&amp;"'"&amp;"!b:b"),"土地成本比率",INDIRECT("'"&amp;D33&amp;"'"&amp;"!c:c"))))</f>
        <v>0.91800000000000004</v>
      </c>
      <c r="E34" s="1970" t="s">
        <v>1987</v>
      </c>
      <c r="F34" s="1499"/>
      <c r="G34" s="134"/>
      <c r="H34" s="134"/>
      <c r="I34" s="134"/>
    </row>
    <row r="35" spans="1:15" ht="15.75" thickBot="1">
      <c r="A35" s="1971"/>
      <c r="B35" s="1972" t="s">
        <v>1988</v>
      </c>
      <c r="C35" s="1331">
        <f ca="1">IF(C33="自定义",F35,ROUND(C32*D35,0))</f>
        <v>10942</v>
      </c>
      <c r="D35" s="1332">
        <f ca="1">IF(C33="自定义",ROUND(C35/C32,3),IF(C33="收益比率",SUMIF(INDIRECT("'"&amp;D33&amp;"'"&amp;"!b:b"),"建筑物收益比率",INDIRECT("'"&amp;D33&amp;"'"&amp;"!c:c")),SUMIF(INDIRECT("'"&amp;D33&amp;"'"&amp;"!b:b"),"建筑物成本比率",INDIRECT("'"&amp;D33&amp;"'"&amp;"!c:c"))))</f>
        <v>8.2000000000000003E-2</v>
      </c>
      <c r="E35" s="1973" t="s">
        <v>1989</v>
      </c>
      <c r="F35" s="159"/>
      <c r="G35" s="134"/>
      <c r="H35" s="134"/>
      <c r="I35" s="134"/>
    </row>
    <row r="36" spans="1:15" ht="15.75" thickBot="1">
      <c r="A36" s="3929" t="s">
        <v>1990</v>
      </c>
      <c r="B36" s="1974" t="s">
        <v>1991</v>
      </c>
      <c r="C36" s="150"/>
      <c r="D36" s="1975"/>
      <c r="E36" s="1976"/>
      <c r="F36" s="1977"/>
      <c r="G36" s="134"/>
      <c r="H36" s="134"/>
      <c r="I36" s="134"/>
    </row>
    <row r="37" spans="1:15" ht="15.75" thickBot="1">
      <c r="A37" s="3930"/>
      <c r="B37" s="1861" t="s">
        <v>1992</v>
      </c>
      <c r="C37" s="152"/>
      <c r="D37" s="1300"/>
      <c r="E37" s="1300"/>
      <c r="F37" s="1977"/>
      <c r="G37" s="134"/>
      <c r="H37" s="134"/>
      <c r="I37" s="134"/>
    </row>
    <row r="38" spans="1:15" ht="15.75" thickBot="1">
      <c r="A38" s="3931"/>
      <c r="B38" s="1978" t="s">
        <v>1993</v>
      </c>
      <c r="C38" s="683"/>
      <c r="D38" s="1979" t="s">
        <v>1994</v>
      </c>
      <c r="E38" s="1300"/>
      <c r="F38" s="1977"/>
      <c r="G38" s="134"/>
      <c r="H38" s="134"/>
      <c r="I38" s="134"/>
    </row>
    <row r="39" spans="1:15" ht="15">
      <c r="A39" s="1951" t="s">
        <v>1995</v>
      </c>
      <c r="B39" s="1980" t="s">
        <v>1996</v>
      </c>
      <c r="C39" s="1981" t="s">
        <v>1997</v>
      </c>
      <c r="D39" s="1981" t="s">
        <v>1998</v>
      </c>
      <c r="E39" s="1982" t="s">
        <v>1999</v>
      </c>
      <c r="F39" s="1977"/>
      <c r="G39" s="134"/>
      <c r="H39" s="134"/>
      <c r="I39" s="134"/>
    </row>
    <row r="40" spans="1:15" ht="14.25">
      <c r="A40" s="1983" t="s">
        <v>2000</v>
      </c>
      <c r="B40" s="154"/>
      <c r="C40" s="155"/>
      <c r="D40" s="155"/>
      <c r="E40" s="156"/>
      <c r="F40" s="1977"/>
      <c r="G40" s="134"/>
      <c r="H40" s="134"/>
      <c r="I40" s="134"/>
    </row>
    <row r="41" spans="1:15" ht="14.25">
      <c r="A41" s="1983" t="s">
        <v>2001</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2002</v>
      </c>
      <c r="B44" s="1988"/>
      <c r="C44" s="1988"/>
      <c r="D44" s="1989"/>
      <c r="E44" s="1989"/>
      <c r="F44" s="1990"/>
      <c r="G44" s="1990"/>
      <c r="H44" s="1990"/>
      <c r="I44" s="1990"/>
      <c r="J44" s="1991" t="s">
        <v>2003</v>
      </c>
      <c r="K44" s="1992"/>
      <c r="L44" s="1992"/>
      <c r="M44" s="1992"/>
      <c r="N44" s="1992"/>
      <c r="O44" s="1992"/>
    </row>
    <row r="45" spans="1:15" ht="14.25" customHeight="1" thickBot="1">
      <c r="A45" s="3949" t="s">
        <v>2004</v>
      </c>
      <c r="B45" s="3950"/>
      <c r="C45" s="3951"/>
      <c r="D45" s="160">
        <f ca="1">ROUND(H101*F45,0)</f>
        <v>133435</v>
      </c>
      <c r="E45" s="161" t="s">
        <v>2005</v>
      </c>
      <c r="F45" s="162">
        <v>1</v>
      </c>
      <c r="G45" s="163" t="s">
        <v>2006</v>
      </c>
      <c r="H45" s="134"/>
      <c r="I45" s="134"/>
      <c r="J45" s="3866" t="s">
        <v>2007</v>
      </c>
      <c r="K45" s="3866"/>
      <c r="L45" s="3866"/>
      <c r="M45" s="3866"/>
      <c r="N45" s="3866"/>
      <c r="O45" s="3866"/>
    </row>
    <row r="46" spans="1:15" ht="14.25" customHeight="1">
      <c r="A46" s="3946" t="s">
        <v>2008</v>
      </c>
      <c r="B46" s="3947"/>
      <c r="C46" s="3947"/>
      <c r="D46" s="3947"/>
      <c r="E46" s="3947"/>
      <c r="F46" s="3947"/>
      <c r="G46" s="3948"/>
      <c r="H46" s="1993"/>
      <c r="I46" s="164"/>
      <c r="J46" s="2747">
        <v>1</v>
      </c>
      <c r="K46" s="3867" t="s">
        <v>2009</v>
      </c>
      <c r="L46" s="3867"/>
      <c r="M46" s="3868"/>
      <c r="N46" s="3868"/>
      <c r="O46" s="3868"/>
    </row>
    <row r="47" spans="1:15" ht="12" customHeight="1">
      <c r="A47" s="165" t="s">
        <v>2010</v>
      </c>
      <c r="B47" s="166"/>
      <c r="C47" s="167"/>
      <c r="D47" s="1246" t="s">
        <v>2011</v>
      </c>
      <c r="E47" s="308" t="s">
        <v>2012</v>
      </c>
      <c r="F47" s="168" t="s">
        <v>2013</v>
      </c>
      <c r="G47" s="2770" t="s">
        <v>2014</v>
      </c>
      <c r="H47" s="2771"/>
      <c r="I47" s="164"/>
      <c r="J47" s="2747">
        <v>2</v>
      </c>
      <c r="K47" s="3867" t="s">
        <v>2015</v>
      </c>
      <c r="L47" s="3867"/>
      <c r="M47" s="3869">
        <f>'数据-取费表'!B2</f>
        <v>44186</v>
      </c>
      <c r="N47" s="3869"/>
      <c r="O47" s="3869"/>
    </row>
    <row r="48" spans="1:15" ht="25.5">
      <c r="A48" s="3932" t="s">
        <v>2016</v>
      </c>
      <c r="B48" s="3933"/>
      <c r="C48" s="3933"/>
      <c r="D48" s="2548" t="b">
        <f>IF(H48="情况1",0,IF(H48="情况2",D52,IF(H48="情况3",D53,IF(H48="情况4",D54))))</f>
        <v>0</v>
      </c>
      <c r="E48" s="2558" t="str">
        <f>IF(H48="情况4","(销售额-原购置价)×税（费）率","销售额×税（费）率")</f>
        <v>销售额×税（费）率</v>
      </c>
      <c r="F48" s="2772">
        <f>IF(H48="情况1","免征",'数据-取费表'!B41)</f>
        <v>5.5000000000000007E-2</v>
      </c>
      <c r="G48" s="2773" t="s">
        <v>2017</v>
      </c>
      <c r="H48" s="2774"/>
      <c r="I48" s="1993"/>
      <c r="J48" s="2747">
        <v>3</v>
      </c>
      <c r="K48" s="3867" t="s">
        <v>2018</v>
      </c>
      <c r="L48" s="3867"/>
      <c r="M48" s="3870">
        <f ca="1">H101</f>
        <v>133435</v>
      </c>
      <c r="N48" s="3870"/>
      <c r="O48" s="3870"/>
    </row>
    <row r="49" spans="1:35" ht="25.5" customHeight="1">
      <c r="A49" s="2557" t="s">
        <v>2019</v>
      </c>
      <c r="B49" s="3915" t="s">
        <v>2020</v>
      </c>
      <c r="C49" s="3915"/>
      <c r="D49" s="1776">
        <v>0</v>
      </c>
      <c r="E49" s="330" t="s">
        <v>2021</v>
      </c>
      <c r="F49" s="2650" t="s">
        <v>34</v>
      </c>
      <c r="G49" s="3898"/>
      <c r="H49" s="2529" t="s">
        <v>2866</v>
      </c>
      <c r="I49" s="2530"/>
      <c r="J49" s="2747">
        <v>4</v>
      </c>
      <c r="K49" s="3867" t="str">
        <f>IF(项目基本情况!E8="房地产抵押价值","房地产抵押价值","抵押担保权已注销时的房地产抵押价值")</f>
        <v>房地产抵押价值</v>
      </c>
      <c r="L49" s="3867"/>
      <c r="M49" s="3870">
        <f ca="1">IF(项目基本情况!E8="房地产抵押价值",H107,H109)</f>
        <v>133435</v>
      </c>
      <c r="N49" s="3870"/>
      <c r="O49" s="3870"/>
    </row>
    <row r="50" spans="1:35" ht="25.5" customHeight="1">
      <c r="A50" s="2775"/>
      <c r="B50" s="3915" t="s">
        <v>2022</v>
      </c>
      <c r="C50" s="3915"/>
      <c r="D50" s="2776"/>
      <c r="E50" s="338"/>
      <c r="F50" s="2650"/>
      <c r="G50" s="3899"/>
      <c r="H50" s="2531" t="s">
        <v>2867</v>
      </c>
      <c r="I50" s="2530"/>
      <c r="J50" s="3866" t="s">
        <v>2023</v>
      </c>
      <c r="K50" s="3866"/>
      <c r="L50" s="3866"/>
      <c r="M50" s="3866"/>
      <c r="N50" s="3866"/>
      <c r="O50" s="3866"/>
    </row>
    <row r="51" spans="1:35" ht="20.45" customHeight="1">
      <c r="A51" s="2777"/>
      <c r="B51" s="3915" t="s">
        <v>2024</v>
      </c>
      <c r="C51" s="3915"/>
      <c r="D51" s="1246"/>
      <c r="E51" s="333"/>
      <c r="F51" s="2650"/>
      <c r="G51" s="3900"/>
      <c r="H51" s="2531" t="s">
        <v>2868</v>
      </c>
      <c r="I51" s="2530"/>
      <c r="J51" s="2748" t="s">
        <v>2025</v>
      </c>
      <c r="K51" s="3867" t="s">
        <v>2026</v>
      </c>
      <c r="L51" s="3867"/>
      <c r="M51" s="2748" t="s">
        <v>2027</v>
      </c>
      <c r="N51" s="2748" t="s">
        <v>2028</v>
      </c>
      <c r="O51" s="2748" t="s">
        <v>2029</v>
      </c>
    </row>
    <row r="52" spans="1:35" ht="24" customHeight="1">
      <c r="A52" s="2559" t="s">
        <v>2030</v>
      </c>
      <c r="B52" s="3915" t="s">
        <v>2031</v>
      </c>
      <c r="C52" s="3915"/>
      <c r="D52" s="1246">
        <f ca="1">ROUND(D45*'数据-取费表'!B41/(1+'数据-取费表'!C42),0)</f>
        <v>6989</v>
      </c>
      <c r="E52" s="2558" t="s">
        <v>2032</v>
      </c>
      <c r="F52" s="2778">
        <f>'数据-取费表'!B41</f>
        <v>5.5000000000000007E-2</v>
      </c>
      <c r="G52" s="2779"/>
      <c r="H52" s="2768"/>
      <c r="I52" s="1994"/>
      <c r="J52" s="2747">
        <v>1</v>
      </c>
      <c r="K52" s="3892" t="s">
        <v>2033</v>
      </c>
      <c r="L52" s="3892"/>
      <c r="M52" s="2749" t="b">
        <f>D48</f>
        <v>0</v>
      </c>
      <c r="N52" s="2747" t="str">
        <f>E48</f>
        <v>销售额×税（费）率</v>
      </c>
      <c r="O52" s="2750">
        <f>F48</f>
        <v>5.5000000000000007E-2</v>
      </c>
    </row>
    <row r="53" spans="1:35" ht="12" customHeight="1">
      <c r="A53" s="2559" t="s">
        <v>2034</v>
      </c>
      <c r="B53" s="3916" t="s">
        <v>3022</v>
      </c>
      <c r="C53" s="3917"/>
      <c r="D53" s="1246">
        <f ca="1">ROUND(D45*'数据-取费表'!B41/(1+'数据-取费表'!C42),0)</f>
        <v>6989</v>
      </c>
      <c r="E53" s="2558" t="s">
        <v>2032</v>
      </c>
      <c r="F53" s="2778">
        <f>'数据-取费表'!B41</f>
        <v>5.5000000000000007E-2</v>
      </c>
      <c r="G53" s="2779"/>
      <c r="H53" s="2768"/>
      <c r="I53" s="1994"/>
      <c r="J53" s="2747">
        <v>2</v>
      </c>
      <c r="K53" s="3892" t="s">
        <v>2035</v>
      </c>
      <c r="L53" s="3892"/>
      <c r="M53" s="2749">
        <f t="shared" ref="M53:O54" ca="1" si="0">D55</f>
        <v>67</v>
      </c>
      <c r="N53" s="2747" t="str">
        <f t="shared" si="0"/>
        <v>销售额×税（费）率</v>
      </c>
      <c r="O53" s="2750" t="str">
        <f t="shared" si="0"/>
        <v>免征</v>
      </c>
    </row>
    <row r="54" spans="1:35" ht="12" customHeight="1">
      <c r="A54" s="2559" t="s">
        <v>2036</v>
      </c>
      <c r="B54" s="3916" t="s">
        <v>3023</v>
      </c>
      <c r="C54" s="3917"/>
      <c r="D54" s="1246">
        <f ca="1">C68</f>
        <v>6989</v>
      </c>
      <c r="E54" s="333" t="s">
        <v>2037</v>
      </c>
      <c r="F54" s="2778">
        <f>'数据-取费表'!B41</f>
        <v>5.5000000000000007E-2</v>
      </c>
      <c r="G54" s="2779"/>
      <c r="H54" s="2780"/>
      <c r="I54" s="1994"/>
      <c r="J54" s="2747">
        <v>3</v>
      </c>
      <c r="K54" s="3892" t="s">
        <v>2038</v>
      </c>
      <c r="L54" s="3892"/>
      <c r="M54" s="2749">
        <f t="shared" ca="1" si="0"/>
        <v>75645</v>
      </c>
      <c r="N54" s="2747" t="str">
        <f t="shared" si="0"/>
        <v>增值额×税（费）率</v>
      </c>
      <c r="O54" s="2751" t="str">
        <f t="shared" si="0"/>
        <v>免征</v>
      </c>
    </row>
    <row r="55" spans="1:35" ht="24" customHeight="1">
      <c r="A55" s="3955" t="s">
        <v>2039</v>
      </c>
      <c r="B55" s="3933"/>
      <c r="C55" s="3933"/>
      <c r="D55" s="2548">
        <f ca="1">IF(H55="个人住宅",0,ROUND(D45*I55,0))</f>
        <v>67</v>
      </c>
      <c r="E55" s="2558" t="s">
        <v>2040</v>
      </c>
      <c r="F55" s="2778" t="str">
        <f>IF(H55="正常",I55,"免征")</f>
        <v>免征</v>
      </c>
      <c r="G55" s="2779"/>
      <c r="H55" s="2774"/>
      <c r="I55" s="170">
        <f>'数据-取费表'!B49</f>
        <v>5.0000000000000001E-4</v>
      </c>
      <c r="J55" s="2747">
        <f>IF(H59="非个人房产","",4)</f>
        <v>4</v>
      </c>
      <c r="K55" s="3892" t="str">
        <f>IF(H59="非个人房产","——","个人所得税")</f>
        <v>个人所得税</v>
      </c>
      <c r="L55" s="3892"/>
      <c r="M55" s="2752">
        <f ca="1">D59</f>
        <v>1271</v>
      </c>
      <c r="N55" s="2229" t="str">
        <f>E59</f>
        <v>差额计税</v>
      </c>
      <c r="O55" s="2753">
        <f>F59</f>
        <v>0.01</v>
      </c>
    </row>
    <row r="56" spans="1:35" ht="24.75">
      <c r="A56" s="3955" t="s">
        <v>2041</v>
      </c>
      <c r="B56" s="3933"/>
      <c r="C56" s="3933"/>
      <c r="D56" s="2548">
        <f ca="1">IF(H56="个人住宅",D57,D58)</f>
        <v>75645</v>
      </c>
      <c r="E56" s="2558" t="s">
        <v>2042</v>
      </c>
      <c r="F56" s="2778" t="str">
        <f>IF(H56="正常",F58,"免征")</f>
        <v>免征</v>
      </c>
      <c r="G56" s="2781" t="s">
        <v>2043</v>
      </c>
      <c r="H56" s="2782"/>
      <c r="I56" s="1995"/>
      <c r="J56" s="2747" t="str">
        <f>IF(项目基本情况!K6="上海银行",IF(J55="",4,J55+1),"")</f>
        <v/>
      </c>
      <c r="K56" s="3873" t="str">
        <f>IF(项目基本情况!K6="上海银行","其他处置费用","")</f>
        <v/>
      </c>
      <c r="L56" s="3874"/>
      <c r="M56" s="2749" t="str">
        <f>IF(项目基本情况!K6="上海银行",M69,"")</f>
        <v/>
      </c>
      <c r="N56" s="3873" t="str">
        <f>IF(项目基本情况!K6="上海银行","包含处置中涉及的律师、诉讼、拍卖、评估等费用","")</f>
        <v/>
      </c>
      <c r="O56" s="3876"/>
    </row>
    <row r="57" spans="1:35" ht="12.75">
      <c r="A57" s="2559" t="s">
        <v>2019</v>
      </c>
      <c r="B57" s="3916" t="s">
        <v>2044</v>
      </c>
      <c r="C57" s="3917"/>
      <c r="D57" s="1776">
        <v>0</v>
      </c>
      <c r="E57" s="330" t="s">
        <v>2021</v>
      </c>
      <c r="F57" s="308"/>
      <c r="G57" s="2779"/>
      <c r="H57" s="2783"/>
      <c r="I57" s="1995"/>
      <c r="J57" s="3892">
        <f>IF(AND(J55="",J56=""),4,IF(项目基本情况!K6="上海银行",结果表!J56+1,结果表!J55+1))</f>
        <v>5</v>
      </c>
      <c r="K57" s="3892" t="s">
        <v>2045</v>
      </c>
      <c r="L57" s="2754" t="s">
        <v>2046</v>
      </c>
      <c r="M57" s="2755"/>
      <c r="N57" s="2756">
        <f ca="1">SUMIF(M52:M56,"&lt;9e307")</f>
        <v>76983</v>
      </c>
      <c r="O57" s="2757"/>
      <c r="P57" s="2916">
        <f ca="1">N57/M49</f>
        <v>0.57693258890096299</v>
      </c>
    </row>
    <row r="58" spans="1:35" ht="24.75">
      <c r="A58" s="2559" t="s">
        <v>2030</v>
      </c>
      <c r="B58" s="3916" t="s">
        <v>2047</v>
      </c>
      <c r="C58" s="3915"/>
      <c r="D58" s="2548">
        <f ca="1">IF(H58="转让取得",C81,C97)</f>
        <v>75645</v>
      </c>
      <c r="E58" s="2558" t="s">
        <v>2042</v>
      </c>
      <c r="F58" s="308" t="s">
        <v>34</v>
      </c>
      <c r="G58" s="2779"/>
      <c r="H58" s="2782"/>
      <c r="I58" s="1995"/>
      <c r="J58" s="3892"/>
      <c r="K58" s="3892"/>
      <c r="L58" s="2754" t="s">
        <v>2048</v>
      </c>
      <c r="M58" s="2758"/>
      <c r="N58" s="2759" t="str">
        <f ca="1">NUMBERSTRING(INT(N57*10000),2)&amp;"元整"</f>
        <v>柒亿陆仟玖佰捌拾叁万元整</v>
      </c>
      <c r="O58" s="2760"/>
    </row>
    <row r="59" spans="1:35" ht="24.75" thickBot="1">
      <c r="A59" s="3896" t="s">
        <v>2049</v>
      </c>
      <c r="B59" s="3897"/>
      <c r="C59" s="3897"/>
      <c r="D59" s="2784">
        <f ca="1">IF(H59="非个人房产","——",IF(H59="个人住宅（满五唯一有凭证）",0,IF(H59="个人其他（无凭证）",ROUND(D45*F59,0),ROUND(C67*F59,0))))</f>
        <v>1271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2043</v>
      </c>
      <c r="H59" s="2533"/>
      <c r="I59" s="2532" t="s">
        <v>2869</v>
      </c>
      <c r="J59" s="3894">
        <f>J57+1</f>
        <v>6</v>
      </c>
      <c r="K59" s="3892" t="s">
        <v>2050</v>
      </c>
      <c r="L59" s="2747" t="s">
        <v>2046</v>
      </c>
      <c r="M59" s="2761"/>
      <c r="N59" s="2762">
        <f ca="1">M49-N57</f>
        <v>56452</v>
      </c>
      <c r="O59" s="2763"/>
    </row>
    <row r="60" spans="1:35" ht="12" customHeight="1">
      <c r="A60" s="1996"/>
      <c r="B60" s="1934"/>
      <c r="C60" s="1934"/>
      <c r="D60" s="1934"/>
      <c r="E60" s="1764"/>
      <c r="F60" s="1995"/>
      <c r="G60" s="1995"/>
      <c r="H60" s="1997"/>
      <c r="I60" s="134"/>
      <c r="J60" s="3895"/>
      <c r="K60" s="3892"/>
      <c r="L60" s="2754" t="s">
        <v>2048</v>
      </c>
      <c r="M60" s="2758"/>
      <c r="N60" s="2759" t="str">
        <f ca="1">NUMBERSTRING(INT(N59*10000),2)&amp;"元整"</f>
        <v>伍亿陆仟肆佰伍拾贰万元整</v>
      </c>
      <c r="O60" s="2760"/>
    </row>
    <row r="61" spans="1:35" ht="13.5" thickBot="1">
      <c r="A61" s="3954" t="s">
        <v>2051</v>
      </c>
      <c r="B61" s="3954"/>
      <c r="C61" s="3954"/>
      <c r="D61" s="3954"/>
      <c r="E61" s="3954"/>
      <c r="F61" s="1995"/>
      <c r="G61" s="1995"/>
      <c r="H61" s="1997"/>
      <c r="I61" s="134"/>
      <c r="J61" s="2747">
        <f>J59+1</f>
        <v>7</v>
      </c>
      <c r="K61" s="3892" t="s">
        <v>2052</v>
      </c>
      <c r="L61" s="3892"/>
      <c r="M61" s="2764"/>
      <c r="N61" s="2765">
        <f ca="1">ROUND(N59*10000/'数据-汇总表'!E3,0)</f>
        <v>790</v>
      </c>
      <c r="O61" s="2766"/>
    </row>
    <row r="62" spans="1:35" ht="12.75">
      <c r="A62" s="3911" t="s">
        <v>2053</v>
      </c>
      <c r="B62" s="3912"/>
      <c r="C62" s="2210"/>
      <c r="D62" s="2210" t="s">
        <v>2054</v>
      </c>
      <c r="E62" s="171" t="s">
        <v>2055</v>
      </c>
      <c r="F62" s="1995"/>
      <c r="G62" s="1995"/>
      <c r="H62" s="1997"/>
      <c r="I62" s="134"/>
    </row>
    <row r="63" spans="1:35" ht="12.75">
      <c r="A63" s="178" t="s">
        <v>775</v>
      </c>
      <c r="B63" s="172" t="s">
        <v>2056</v>
      </c>
      <c r="C63" s="2788">
        <f ca="1">ROUND((C64+C65)/(1+'数据-取费表'!C42),0)</f>
        <v>127081</v>
      </c>
      <c r="D63" s="172"/>
      <c r="E63" s="173"/>
      <c r="F63" s="1995"/>
      <c r="G63" s="1995"/>
      <c r="H63" s="1997"/>
      <c r="I63" s="134"/>
      <c r="J63" s="3875" t="s">
        <v>2057</v>
      </c>
      <c r="K63" s="1502" t="s">
        <v>2058</v>
      </c>
      <c r="L63" s="1502">
        <f ca="1">IF(M49&gt;10000,M49*0.5%,IF(AND(M49&gt;1000,M49&lt;=10000),M49*1%,IF(AND(M49&gt;100,M49&lt;=1000),M49*3%,IF(AND(M49&gt;10,M49&lt;=100),M49*5%,M49*8%))))</f>
        <v>667.17500000000007</v>
      </c>
      <c r="M63" s="308">
        <f ca="1">ROUND(L63,1)</f>
        <v>667.2</v>
      </c>
      <c r="N63" s="2767"/>
      <c r="Z63" s="1939"/>
      <c r="AI63" s="1940"/>
    </row>
    <row r="64" spans="1:35" ht="14.25" customHeight="1">
      <c r="A64" s="174" t="s">
        <v>770</v>
      </c>
      <c r="B64" s="175" t="s">
        <v>2059</v>
      </c>
      <c r="C64" s="2789">
        <f ca="1">D45</f>
        <v>133435</v>
      </c>
      <c r="D64" s="175" t="s">
        <v>32</v>
      </c>
      <c r="E64" s="177"/>
      <c r="F64" s="1995"/>
      <c r="G64" s="1995"/>
      <c r="H64" s="1997"/>
      <c r="I64" s="134"/>
      <c r="J64" s="3875"/>
      <c r="K64" s="1502" t="s">
        <v>2060</v>
      </c>
      <c r="L64" s="1502">
        <f ca="1">IF(M49&gt;2000,M49*0.5%,IF(AND(M49&gt;1000,M49&lt;=2000),M49*0.6%,IF(AND(M49&gt;500,M49&lt;=1000),M49*0.7%,IF(AND(M49&gt;200,M49&lt;=500),M49*0.8%,IF(AND(M49&gt;100,M49&lt;=200),M49*0.9%,IF(AND(M49&gt;50,M49&lt;=100),M49*1%,IF(AND(M49&gt;20,M49&lt;=50),M49*1.5%,IF(AND(M49&gt;10,M49&lt;=20),M49*2%,IF(AND(M49&gt;1,M49&lt;=10),M49*2.5%)))))))))</f>
        <v>667.17500000000007</v>
      </c>
      <c r="M64" s="308">
        <f t="shared" ref="M64:M65" ca="1" si="1">ROUND(L64,1)</f>
        <v>667.2</v>
      </c>
      <c r="N64" s="2768" t="s">
        <v>2061</v>
      </c>
      <c r="Z64" s="1939"/>
      <c r="AI64" s="1940"/>
    </row>
    <row r="65" spans="1:35" ht="14.25" customHeight="1">
      <c r="A65" s="174" t="s">
        <v>771</v>
      </c>
      <c r="B65" s="175" t="s">
        <v>2062</v>
      </c>
      <c r="C65" s="2790"/>
      <c r="D65" s="175"/>
      <c r="E65" s="177"/>
      <c r="F65" s="1995"/>
      <c r="G65" s="1995"/>
      <c r="H65" s="1997"/>
      <c r="I65" s="134"/>
      <c r="J65" s="3875"/>
      <c r="K65" s="1502" t="s">
        <v>2063</v>
      </c>
      <c r="L65" s="1502">
        <f ca="1">IF(M49&gt;1000,M49*0.1%,IF(AND(M49&gt;500,M49&lt;=1000),M49*0.5%,IF(AND(M49&gt;50,M49&lt;=500),M49*1%,IF(AND(M49&gt;1,M49&lt;=50),M49*1.5%))))</f>
        <v>133.435</v>
      </c>
      <c r="M65" s="308">
        <f t="shared" ca="1" si="1"/>
        <v>133.4</v>
      </c>
      <c r="N65" s="2768" t="s">
        <v>2061</v>
      </c>
      <c r="Z65" s="1939"/>
      <c r="AI65" s="1940"/>
    </row>
    <row r="66" spans="1:35" ht="14.25" customHeight="1">
      <c r="A66" s="178" t="s">
        <v>772</v>
      </c>
      <c r="B66" s="179" t="s">
        <v>2064</v>
      </c>
      <c r="C66" s="2791"/>
      <c r="D66" s="179" t="s">
        <v>32</v>
      </c>
      <c r="E66" s="1510" t="s">
        <v>1337</v>
      </c>
      <c r="F66" s="1995"/>
      <c r="G66" s="1995"/>
      <c r="H66" s="1997"/>
      <c r="I66" s="134"/>
      <c r="J66" s="3875"/>
      <c r="K66" s="1502" t="s">
        <v>2065</v>
      </c>
      <c r="L66" s="1502">
        <f ca="1">M49*0.5%</f>
        <v>667.17500000000007</v>
      </c>
      <c r="M66" s="308">
        <f ca="1">IF(L66&gt;0.5,0.5,ROUND(L66,0))</f>
        <v>0.5</v>
      </c>
      <c r="N66" s="2768" t="s">
        <v>2066</v>
      </c>
      <c r="Z66" s="1939"/>
      <c r="AI66" s="1940"/>
    </row>
    <row r="67" spans="1:35" ht="14.25" customHeight="1">
      <c r="A67" s="178" t="s">
        <v>773</v>
      </c>
      <c r="B67" s="179" t="s">
        <v>2067</v>
      </c>
      <c r="C67" s="2792">
        <f ca="1">C63-C66</f>
        <v>127081</v>
      </c>
      <c r="D67" s="175" t="s">
        <v>32</v>
      </c>
      <c r="E67" s="177"/>
      <c r="F67" s="1995"/>
      <c r="G67" s="1995"/>
      <c r="H67" s="1997"/>
      <c r="I67" s="134"/>
      <c r="J67" s="3875"/>
      <c r="K67" s="1502" t="s">
        <v>2068</v>
      </c>
      <c r="L67" s="1502">
        <f ca="1">IF(M49&gt;=10000,(8.25+(M49-10000)*0.01%),IF(AND(M49&gt;=8000,M49&lt;10000),(7.85+(M49-8000)*0.02%),IF(AND(M49&gt;=5000,M49&lt;8000),(6.65+(M49-5000)*0.04%),IF(AND(M49&gt;=2000,M49&lt;5000),(4.25+(PM49-2000)*0.08%),IF(AND(M49&gt;=1000,M49&lt;2000),(2.75+(M49-1000)*0.15%),IF(AND(M49&gt;=100,M49&lt;1000),(0.5+(M49-100)*0.25%),IF(AND(M49&gt;0,M49&lt;100),M49*0.5%)))))))</f>
        <v>20.593499999999999</v>
      </c>
      <c r="M67" s="308">
        <f ca="1">ROUND(L67*0.9,1)</f>
        <v>18.5</v>
      </c>
      <c r="N67" s="2767"/>
      <c r="Z67" s="1939"/>
      <c r="AI67" s="1940"/>
    </row>
    <row r="68" spans="1:35" ht="14.25" customHeight="1" thickBot="1">
      <c r="A68" s="181" t="s">
        <v>774</v>
      </c>
      <c r="B68" s="182" t="s">
        <v>2069</v>
      </c>
      <c r="C68" s="2793">
        <f ca="1">IF(C67&lt;=0,0,ROUND(C67*D68,0))</f>
        <v>6989</v>
      </c>
      <c r="D68" s="2794">
        <f>'数据-取费表'!B41</f>
        <v>5.5000000000000007E-2</v>
      </c>
      <c r="E68" s="184"/>
      <c r="F68" s="1995"/>
      <c r="G68" s="1995"/>
      <c r="H68" s="1997"/>
      <c r="I68" s="134"/>
      <c r="J68" s="3875"/>
      <c r="K68" s="1502" t="s">
        <v>2070</v>
      </c>
      <c r="L68" s="1502">
        <f ca="1">IF(M49&gt;10000,M49*0.5%,IF(AND(M49&gt;5000,M49&lt;=10000),M49*1%,IF(AND(M49&gt;1000,M49&lt;=5000),M49*2%,IF(AND(M49&gt;200,M49&lt;=1000),M49*3%,M49*5%))))</f>
        <v>667.17500000000007</v>
      </c>
      <c r="M68" s="308">
        <f ca="1">ROUND(L68,1)</f>
        <v>667.2</v>
      </c>
      <c r="N68" s="2767"/>
      <c r="Z68" s="1939"/>
      <c r="AI68" s="1940"/>
    </row>
    <row r="69" spans="1:35" s="1959" customFormat="1" ht="16.5" customHeight="1">
      <c r="A69" s="1998"/>
      <c r="B69" s="1999"/>
      <c r="C69" s="2000"/>
      <c r="D69" s="2001"/>
      <c r="E69" s="2002"/>
      <c r="F69" s="1764"/>
      <c r="G69" s="1764"/>
      <c r="H69" s="1763"/>
      <c r="I69" s="1934"/>
      <c r="J69" s="3875"/>
      <c r="K69" s="1502" t="s">
        <v>2071</v>
      </c>
      <c r="L69" s="1502"/>
      <c r="M69" s="308">
        <f ca="1">ROUND(SUM(M63:M68),0)</f>
        <v>2154</v>
      </c>
      <c r="N69" s="2769">
        <f ca="1">M69/M49</f>
        <v>1.6142691197961554E-2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919" t="s">
        <v>2072</v>
      </c>
      <c r="B70" s="3920"/>
      <c r="C70" s="3920"/>
      <c r="D70" s="3920"/>
      <c r="E70" s="3920"/>
      <c r="F70" s="3920"/>
      <c r="G70" s="3920"/>
      <c r="H70" s="3920"/>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911" t="s">
        <v>2053</v>
      </c>
      <c r="B71" s="3912"/>
      <c r="C71" s="2210"/>
      <c r="D71" s="2210" t="s">
        <v>2054</v>
      </c>
      <c r="E71" s="185" t="s">
        <v>2055</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2073</v>
      </c>
      <c r="C72" s="2792">
        <f ca="1">ROUND(D45/(1+'数据-取费表'!C42),0)</f>
        <v>127081</v>
      </c>
      <c r="D72" s="175" t="s">
        <v>32</v>
      </c>
      <c r="E72" s="2555"/>
      <c r="F72" s="2554"/>
      <c r="G72" s="2554"/>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2074</v>
      </c>
      <c r="C73" s="2792">
        <f ca="1">C74+C78</f>
        <v>635</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2075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2076</v>
      </c>
      <c r="C75" s="2795"/>
      <c r="D75" s="175" t="s">
        <v>32</v>
      </c>
      <c r="E75" s="190" t="s">
        <v>2077</v>
      </c>
      <c r="F75" s="2796"/>
      <c r="G75" s="190" t="s">
        <v>2078</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2079</v>
      </c>
      <c r="C76" s="175">
        <f>IF(F75="购房发票",ROUND(C75*H75*D76,0),0)</f>
        <v>0</v>
      </c>
      <c r="D76" s="2798">
        <v>0.05</v>
      </c>
      <c r="E76" s="3916" t="s">
        <v>2080</v>
      </c>
      <c r="F76" s="3915"/>
      <c r="G76" s="3915"/>
      <c r="H76" s="3918"/>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2081</v>
      </c>
      <c r="C77" s="175">
        <f>ROUND(IF(G77="个人住宅",0,IF(G77="2016年5月1日前购买",C75*D77,C75*D77/(1+'数据-取费表'!C42))),0)</f>
        <v>0</v>
      </c>
      <c r="D77" s="2799">
        <f>'数据-取费表'!B48+'数据-取费表'!B49</f>
        <v>4.0500000000000001E-2</v>
      </c>
      <c r="E77" s="2548" t="s">
        <v>2082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2083</v>
      </c>
      <c r="C78" s="2800">
        <f ca="1">ROUND(D45*D78/(1+'数据-取费表'!C42),0)</f>
        <v>635</v>
      </c>
      <c r="D78" s="2801">
        <f>'数据-取费表'!B43</f>
        <v>5.000000000000001E-3</v>
      </c>
      <c r="E78" s="3908" t="s">
        <v>2084</v>
      </c>
      <c r="F78" s="3909"/>
      <c r="G78" s="3909"/>
      <c r="H78" s="3910"/>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2085</v>
      </c>
      <c r="C79" s="2792">
        <f ca="1">C72-C73</f>
        <v>126446</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2086</v>
      </c>
      <c r="C80" s="2802">
        <f ca="1">IF(C79&lt;=0,0,C79/C73)</f>
        <v>199.1275590551181</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2087</v>
      </c>
      <c r="C81" s="2803">
        <f ca="1">ROUND(IF(C79&lt;=0,0,IF(C80&gt;=200%,C79*60%-C73*35%,IF(C80&gt;=100%,C79*50%-C73*15%,IF(C80&gt;=50%,C79*40%-C73*5%,IF(C80&lt;50%,C79*30%,0))))),0)</f>
        <v>75645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919" t="s">
        <v>2088</v>
      </c>
      <c r="B83" s="3920"/>
      <c r="C83" s="3920"/>
      <c r="D83" s="3920"/>
      <c r="E83" s="3920"/>
      <c r="F83" s="3920"/>
      <c r="G83" s="3920"/>
      <c r="H83" s="3920"/>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911" t="s">
        <v>2053</v>
      </c>
      <c r="B84" s="3912"/>
      <c r="C84" s="2210"/>
      <c r="D84" s="2210" t="s">
        <v>2054</v>
      </c>
      <c r="E84" s="185" t="s">
        <v>2055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2073</v>
      </c>
      <c r="C85" s="2792">
        <f ca="1">ROUND(D45/(1+'数据-取费表'!C42),0)</f>
        <v>127081</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2074</v>
      </c>
      <c r="C86" s="2792">
        <f ca="1">IF(H88="仅含出让金",C87+C90+C91+C92+C93+C94,C87+C91+C92+C93+C94)</f>
        <v>635</v>
      </c>
      <c r="D86" s="2805"/>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2089</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2090</v>
      </c>
      <c r="C88" s="2806"/>
      <c r="D88" s="2801"/>
      <c r="E88" s="199" t="s">
        <v>2091</v>
      </c>
      <c r="F88" s="2551"/>
      <c r="G88" s="200" t="s">
        <v>2092</v>
      </c>
      <c r="H88" s="2011"/>
      <c r="I88" s="2008"/>
      <c r="J88" s="2745" t="s">
        <v>3019</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2081</v>
      </c>
      <c r="C89" s="2800">
        <f>ROUND(C88*D89,0)</f>
        <v>0</v>
      </c>
      <c r="D89" s="2801">
        <f>'数据-取费表'!B48+'数据-取费表'!B49</f>
        <v>4.0500000000000001E-2</v>
      </c>
      <c r="E89" s="199" t="s">
        <v>2093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2094</v>
      </c>
      <c r="C90" s="2806"/>
      <c r="D90" s="2801"/>
      <c r="E90" s="199" t="str">
        <f>IF(H88="-","土地取得成本中已包含该笔费用"," ")</f>
        <v xml:space="preserve"> </v>
      </c>
      <c r="F90" s="2551"/>
      <c r="G90" s="3877" t="s">
        <v>2861</v>
      </c>
      <c r="H90" s="3878"/>
      <c r="I90" s="2008"/>
      <c r="J90" s="2745" t="s">
        <v>3020</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2095</v>
      </c>
      <c r="B91" s="175" t="s">
        <v>2096</v>
      </c>
      <c r="C91" s="2800">
        <f>IF(H91="——",成本法!C33,I91)</f>
        <v>0</v>
      </c>
      <c r="D91" s="2801"/>
      <c r="E91" s="3908" t="s">
        <v>2097</v>
      </c>
      <c r="F91" s="3909"/>
      <c r="G91" s="3909"/>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2098</v>
      </c>
      <c r="B92" s="175" t="s">
        <v>2099</v>
      </c>
      <c r="C92" s="2800">
        <f>ROUND((C87+C90+C91)*D92,0)</f>
        <v>0</v>
      </c>
      <c r="D92" s="2807"/>
      <c r="E92" s="3908" t="s">
        <v>2100</v>
      </c>
      <c r="F92" s="3909"/>
      <c r="G92" s="3909"/>
      <c r="H92" s="3910"/>
      <c r="I92" s="2008"/>
      <c r="J92" s="2746" t="s">
        <v>3021</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2101</v>
      </c>
      <c r="B93" s="175" t="s">
        <v>2083</v>
      </c>
      <c r="C93" s="2800">
        <f ca="1">ROUND(D45*D93/(1+'数据-取费表'!C42),0)</f>
        <v>635</v>
      </c>
      <c r="D93" s="2801">
        <f>'数据-取费表'!B43</f>
        <v>5.000000000000001E-3</v>
      </c>
      <c r="E93" s="3908" t="s">
        <v>2084</v>
      </c>
      <c r="F93" s="3909"/>
      <c r="G93" s="3909"/>
      <c r="H93" s="3910"/>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2102</v>
      </c>
      <c r="B94" s="175" t="s">
        <v>2103</v>
      </c>
      <c r="C94" s="2806">
        <f>ROUND((C87+C90+C91)*D94,0)</f>
        <v>0</v>
      </c>
      <c r="D94" s="2801">
        <v>0.2</v>
      </c>
      <c r="E94" s="3956" t="s">
        <v>2104</v>
      </c>
      <c r="F94" s="3957"/>
      <c r="G94" s="3957"/>
      <c r="H94" s="395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2085</v>
      </c>
      <c r="C95" s="2792">
        <f ca="1">ROUND(C85-C86,0)</f>
        <v>126446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2086</v>
      </c>
      <c r="C96" s="2802">
        <f ca="1">IF(C95&lt;=0,0,C95/C86)</f>
        <v>199.1275590551181</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2087</v>
      </c>
      <c r="C97" s="2803">
        <f ca="1">ROUND(IF(C95&lt;=0,0,IF(C96&gt;=200%,C95*60%-C86*35%,IF(C96&gt;=100%,C95*50%-C86*15%,IF(C96&gt;=50%,C95*40%-C86*5%,IF(C96&lt;50%,C95*30%,0))))),0)</f>
        <v>75645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2105</v>
      </c>
      <c r="B99" s="1934"/>
      <c r="C99" s="1934"/>
      <c r="D99" s="1934"/>
      <c r="E99" s="1764"/>
      <c r="F99" s="1764"/>
      <c r="G99" s="1764"/>
      <c r="H99" s="1763"/>
      <c r="I99" s="134"/>
    </row>
    <row r="100" spans="1:35" ht="18.75" customHeight="1">
      <c r="A100" s="3858" t="s">
        <v>2106</v>
      </c>
      <c r="B100" s="3859"/>
      <c r="C100" s="3859"/>
      <c r="D100" s="3893"/>
      <c r="E100" s="3859" t="s">
        <v>2107</v>
      </c>
      <c r="F100" s="3859"/>
      <c r="G100" s="3859"/>
      <c r="H100" s="3893"/>
      <c r="I100" s="134"/>
    </row>
    <row r="101" spans="1:35" ht="18.75" customHeight="1">
      <c r="A101" s="3901" t="s">
        <v>2108</v>
      </c>
      <c r="B101" s="3902"/>
      <c r="C101" s="2809" t="str">
        <f>C4</f>
        <v>成本法</v>
      </c>
      <c r="D101" s="2810" t="str">
        <f>D4</f>
        <v>假设开发法</v>
      </c>
      <c r="E101" s="3871" t="s">
        <v>2109</v>
      </c>
      <c r="F101" s="3872"/>
      <c r="G101" s="2014" t="s">
        <v>2110</v>
      </c>
      <c r="H101" s="2819">
        <f ca="1">H118</f>
        <v>133435</v>
      </c>
      <c r="I101" s="134"/>
    </row>
    <row r="102" spans="1:35" ht="18.75" customHeight="1">
      <c r="A102" s="3903" t="s">
        <v>2111</v>
      </c>
      <c r="B102" s="2808" t="s">
        <v>2110</v>
      </c>
      <c r="C102" s="2809">
        <f ca="1">C19</f>
        <v>143681</v>
      </c>
      <c r="D102" s="2810">
        <f ca="1">D19</f>
        <v>123189</v>
      </c>
      <c r="E102" s="3871"/>
      <c r="F102" s="3872"/>
      <c r="G102" s="2014" t="s">
        <v>2112</v>
      </c>
      <c r="H102" s="2779">
        <f ca="1">I118</f>
        <v>1868</v>
      </c>
      <c r="I102" s="134"/>
    </row>
    <row r="103" spans="1:35" ht="42.75" customHeight="1">
      <c r="A103" s="3903"/>
      <c r="B103" s="2808" t="s">
        <v>2112</v>
      </c>
      <c r="C103" s="2811">
        <f ca="1">C20</f>
        <v>2011</v>
      </c>
      <c r="D103" s="2812">
        <f ca="1">D20</f>
        <v>1724</v>
      </c>
      <c r="E103" s="3864" t="s">
        <v>2113</v>
      </c>
      <c r="F103" s="3865"/>
      <c r="G103" s="2015" t="s">
        <v>2114</v>
      </c>
      <c r="H103" s="2819">
        <f>IF(D36="正常操作",H104+H105+H106,H105+H106)</f>
        <v>0</v>
      </c>
      <c r="I103" s="134"/>
    </row>
    <row r="104" spans="1:35" ht="18.75" customHeight="1">
      <c r="A104" s="3903" t="s">
        <v>2115</v>
      </c>
      <c r="B104" s="2813" t="s">
        <v>2110</v>
      </c>
      <c r="C104" s="2814">
        <f ca="1">H118</f>
        <v>133435</v>
      </c>
      <c r="D104" s="2815"/>
      <c r="E104" s="1861" t="s">
        <v>2116</v>
      </c>
      <c r="F104" s="1852"/>
      <c r="G104" s="2015" t="s">
        <v>2114</v>
      </c>
      <c r="H104" s="2820">
        <f>IF(D36="同一抵押权人同一抵押物续贷",C36&amp;"（续贷，未扣减，详见特别提示）",C36)</f>
        <v>0</v>
      </c>
      <c r="I104" s="134"/>
    </row>
    <row r="105" spans="1:35" ht="18.75" customHeight="1" thickBot="1">
      <c r="A105" s="3913"/>
      <c r="B105" s="2816" t="s">
        <v>2112</v>
      </c>
      <c r="C105" s="2817">
        <f ca="1">I118</f>
        <v>1868</v>
      </c>
      <c r="D105" s="2818"/>
      <c r="E105" s="1861" t="s">
        <v>2117</v>
      </c>
      <c r="F105" s="1852"/>
      <c r="G105" s="2015" t="s">
        <v>2114</v>
      </c>
      <c r="H105" s="2821">
        <f>C37</f>
        <v>0</v>
      </c>
      <c r="I105" s="134"/>
    </row>
    <row r="106" spans="1:35" ht="18.75" customHeight="1">
      <c r="A106" s="1934" t="s">
        <v>2118</v>
      </c>
      <c r="B106" s="1934"/>
      <c r="C106" s="1934"/>
      <c r="D106" s="1934"/>
      <c r="E106" s="2016" t="s">
        <v>2119</v>
      </c>
      <c r="F106" s="1852"/>
      <c r="G106" s="2015" t="s">
        <v>2114</v>
      </c>
      <c r="H106" s="2821">
        <f>C38</f>
        <v>0</v>
      </c>
      <c r="I106" s="134"/>
    </row>
    <row r="107" spans="1:35" ht="18.75" customHeight="1">
      <c r="A107" s="134"/>
      <c r="B107" s="134"/>
      <c r="C107" s="134"/>
      <c r="D107" s="134"/>
      <c r="E107" s="3904" t="str">
        <f>IF(项目基本情况!E8="已注销","——","3.房地产抵押价值")</f>
        <v>3.房地产抵押价值</v>
      </c>
      <c r="F107" s="3872"/>
      <c r="G107" s="2014" t="s">
        <v>2110</v>
      </c>
      <c r="H107" s="2819">
        <f ca="1">IF(E107="——","——",H101-H103)</f>
        <v>133435</v>
      </c>
      <c r="I107" s="134"/>
    </row>
    <row r="108" spans="1:35" ht="18.75" customHeight="1">
      <c r="A108" s="134"/>
      <c r="B108" s="134"/>
      <c r="C108" s="134"/>
      <c r="D108" s="134"/>
      <c r="E108" s="3904"/>
      <c r="F108" s="3872"/>
      <c r="G108" s="2014" t="s">
        <v>2112</v>
      </c>
      <c r="H108" s="2779">
        <f ca="1">ROUND(H107*10000/'数据-汇总表'!E3,0)</f>
        <v>1868</v>
      </c>
      <c r="I108" s="134"/>
    </row>
    <row r="109" spans="1:35" ht="18.75" customHeight="1">
      <c r="A109" s="134"/>
      <c r="B109" s="134"/>
      <c r="C109" s="134"/>
      <c r="D109" s="134"/>
      <c r="E109" s="3904" t="str">
        <f>IF(项目基本情况!E8="已注销及未注销","4.抵押担保权已注销时的房地产抵押价值",IF(项目基本情况!E8="已注销","3.抵押担保权已注销时的房地产抵押价值","——"))</f>
        <v>——</v>
      </c>
      <c r="F109" s="3872"/>
      <c r="G109" s="2014" t="s">
        <v>2110</v>
      </c>
      <c r="H109" s="2822" t="str">
        <f>IF(E109="——","——",H101-H105-H106)</f>
        <v>——</v>
      </c>
      <c r="I109" s="134"/>
    </row>
    <row r="110" spans="1:35" ht="18.75" customHeight="1">
      <c r="A110" s="134"/>
      <c r="B110" s="134"/>
      <c r="C110" s="134"/>
      <c r="D110" s="134"/>
      <c r="E110" s="3904"/>
      <c r="F110" s="3872"/>
      <c r="G110" s="2014" t="s">
        <v>2112</v>
      </c>
      <c r="H110" s="2779" t="str">
        <f>IF(H109="——","——",ROUND(H109*10000/'数据-汇总表'!E3,0))</f>
        <v>——</v>
      </c>
      <c r="I110" s="134"/>
    </row>
    <row r="111" spans="1:35" ht="18.75" customHeight="1">
      <c r="A111" s="134"/>
      <c r="B111" s="134"/>
      <c r="C111" s="134"/>
      <c r="D111" s="134"/>
      <c r="E111" s="3905" t="str">
        <f>IF(项目基本情况!E9="抵押净值",IF(OR(项目基本情况!E8="已注销",项目基本情况!E8="房地产抵押价值"),"4.抵押净值","5.抵押净值"),"——")</f>
        <v>——</v>
      </c>
      <c r="F111" s="3891"/>
      <c r="G111" s="2014" t="s">
        <v>2110</v>
      </c>
      <c r="H111" s="2819" t="str">
        <f>IF(E111="——","——",N59)</f>
        <v>——</v>
      </c>
      <c r="I111" s="134"/>
    </row>
    <row r="112" spans="1:35" ht="18.75" customHeight="1" thickBot="1">
      <c r="A112" s="134"/>
      <c r="B112" s="134"/>
      <c r="C112" s="134"/>
      <c r="D112" s="134"/>
      <c r="E112" s="3906"/>
      <c r="F112" s="3907"/>
      <c r="G112" s="2017" t="s">
        <v>2112</v>
      </c>
      <c r="H112" s="2823" t="str">
        <f>IF(E111="——","——",N61)</f>
        <v>——</v>
      </c>
      <c r="I112" s="134"/>
    </row>
    <row r="113" spans="1:27" ht="18.75" customHeight="1">
      <c r="A113" s="134"/>
      <c r="B113" s="134"/>
      <c r="C113" s="134"/>
      <c r="D113" s="134"/>
      <c r="E113" s="3914" t="s">
        <v>2118</v>
      </c>
      <c r="F113" s="3914"/>
      <c r="G113" s="3914"/>
      <c r="H113" s="3914"/>
      <c r="I113" s="134"/>
    </row>
    <row r="114" spans="1:27" ht="3.75" customHeight="1">
      <c r="A114" s="1934"/>
      <c r="B114" s="1934"/>
      <c r="C114" s="1934"/>
      <c r="D114" s="1934"/>
      <c r="E114" s="1996"/>
      <c r="F114" s="1996"/>
      <c r="G114" s="1996"/>
      <c r="H114" s="1996"/>
      <c r="I114" s="1934"/>
    </row>
    <row r="115" spans="1:27" ht="18.75" customHeight="1">
      <c r="A115" s="3925" t="s">
        <v>2120</v>
      </c>
      <c r="B115" s="3926"/>
      <c r="C115" s="3926"/>
      <c r="D115" s="3926"/>
      <c r="E115" s="3926"/>
      <c r="F115" s="3926"/>
      <c r="G115" s="3926"/>
      <c r="H115" s="3926"/>
      <c r="I115" s="3927"/>
    </row>
    <row r="116" spans="1:27" ht="27" customHeight="1">
      <c r="A116" s="3879" t="s">
        <v>2121</v>
      </c>
      <c r="B116" s="3883" t="s">
        <v>2122</v>
      </c>
      <c r="C116" s="3883" t="s">
        <v>2123</v>
      </c>
      <c r="D116" s="3889" t="s">
        <v>2124</v>
      </c>
      <c r="E116" s="3890"/>
      <c r="F116" s="3921" t="s">
        <v>2125</v>
      </c>
      <c r="G116" s="3921"/>
      <c r="H116" s="3879" t="s">
        <v>2126</v>
      </c>
      <c r="I116" s="3879"/>
    </row>
    <row r="117" spans="1:27" ht="18.75" customHeight="1">
      <c r="A117" s="3879"/>
      <c r="B117" s="3884"/>
      <c r="C117" s="3884"/>
      <c r="D117" s="2553" t="s">
        <v>2127</v>
      </c>
      <c r="E117" s="2553" t="s">
        <v>2128</v>
      </c>
      <c r="F117" s="2553" t="s">
        <v>2127</v>
      </c>
      <c r="G117" s="2553" t="s">
        <v>2129</v>
      </c>
      <c r="H117" s="2553" t="s">
        <v>2127</v>
      </c>
      <c r="I117" s="2553" t="s">
        <v>2129</v>
      </c>
    </row>
    <row r="118" spans="1:27" ht="24.75" customHeight="1">
      <c r="A118" s="2824" t="str">
        <f>项目基本情况!S2</f>
        <v>河北省固安温泉休闲商务产业园区独流一排村东北房地产</v>
      </c>
      <c r="B118" s="2553">
        <f>M18</f>
        <v>714394.25</v>
      </c>
      <c r="C118" s="2553">
        <f>M19</f>
        <v>254442.35</v>
      </c>
      <c r="D118" s="2553">
        <f ca="1">ROUND(IF(D32="总价",C34,E118*B118/10000),0)</f>
        <v>122493</v>
      </c>
      <c r="E118" s="2553">
        <f ca="1">ROUND(IF(C33="自定义",IF(D32="楼面单价",C34,D118*10000/B118),I118-G118),0)</f>
        <v>1715</v>
      </c>
      <c r="F118" s="2553">
        <f ca="1">ROUND(IF(D32="总价",C35,G118*B118/10000),0)</f>
        <v>10942</v>
      </c>
      <c r="G118" s="2553">
        <f ca="1">ROUND(IF(D32="楼面单价",C35,F118*10000/B118),0)</f>
        <v>153</v>
      </c>
      <c r="H118" s="2553">
        <f ca="1">ROUND(IF(D32="总价",C32,I118*B118/10000),0)</f>
        <v>133435</v>
      </c>
      <c r="I118" s="2553">
        <f ca="1">ROUND(IF(D32="楼面单价",C32,H118*10000/B118),0)</f>
        <v>1868</v>
      </c>
      <c r="K118" s="734">
        <f ca="1">ROUND(D118*10000/'数据-汇总表'!F31,0)</f>
        <v>2304</v>
      </c>
    </row>
    <row r="119" spans="1:27" ht="18.75" customHeight="1">
      <c r="A119" s="3879" t="s">
        <v>2130</v>
      </c>
      <c r="B119" s="3879"/>
      <c r="C119" s="3879"/>
      <c r="D119" s="3885" t="str">
        <f ca="1">NUMBERSTRING(INT(D118*10000),2)&amp;"元整"</f>
        <v>壹拾贰亿贰仟肆佰玖拾叁万元整</v>
      </c>
      <c r="E119" s="3886"/>
      <c r="F119" s="3885" t="str">
        <f ca="1">NUMBERSTRING(INT(F118*10000),2)&amp;"元整"</f>
        <v>壹亿零玖佰肆拾贰万元整</v>
      </c>
      <c r="G119" s="3886"/>
      <c r="H119" s="3885" t="str">
        <f ca="1">NUMBERSTRING(INT(H118*10000),2)&amp;"元整"</f>
        <v>壹拾叁亿叁仟肆佰叁拾伍万元整</v>
      </c>
      <c r="I119" s="3886"/>
    </row>
    <row r="120" spans="1:27" ht="18.75" customHeight="1">
      <c r="A120" s="3880" t="str">
        <f>IF(项目基本情况!B9="房地产市场价值","",MID(E103,3,LEN(E103)-2))</f>
        <v>估价师知悉的法定优先受偿款</v>
      </c>
      <c r="B120" s="3881"/>
      <c r="C120" s="3882"/>
      <c r="D120" s="3880">
        <f>H103</f>
        <v>0</v>
      </c>
      <c r="E120" s="3881"/>
      <c r="F120" s="3881"/>
      <c r="G120" s="3881"/>
      <c r="H120" s="3881"/>
      <c r="I120" s="388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922" t="s">
        <v>2130</v>
      </c>
      <c r="B121" s="3923"/>
      <c r="C121" s="3924"/>
      <c r="D121" s="3885" t="str">
        <f>IF(D120=0,"零元整",NUMBERSTRING(INT(D120*10000),2)&amp;"元整")</f>
        <v>零元整</v>
      </c>
      <c r="E121" s="3887"/>
      <c r="F121" s="3887"/>
      <c r="G121" s="3887"/>
      <c r="H121" s="3887"/>
      <c r="I121" s="3886"/>
      <c r="AA121" s="734"/>
    </row>
    <row r="122" spans="1:27" ht="18.75" customHeight="1">
      <c r="A122" s="3891" t="str">
        <f>IF(项目基本情况!B9="房地产市场价值","",MID(E107,3,LEN(E107)-2))</f>
        <v>房地产抵押价值</v>
      </c>
      <c r="B122" s="3891"/>
      <c r="C122" s="3891"/>
      <c r="D122" s="3880">
        <f ca="1">H107</f>
        <v>133435</v>
      </c>
      <c r="E122" s="3881"/>
      <c r="F122" s="3881"/>
      <c r="G122" s="3881"/>
      <c r="H122" s="3881"/>
      <c r="I122" s="3882"/>
      <c r="AA122" s="734"/>
    </row>
    <row r="123" spans="1:27" ht="18.75" customHeight="1">
      <c r="A123" s="3879" t="s">
        <v>2130</v>
      </c>
      <c r="B123" s="3879"/>
      <c r="C123" s="3879"/>
      <c r="D123" s="3885" t="str">
        <f ca="1">NUMBERSTRING(INT(D122*10000),2)&amp;"元整"</f>
        <v>壹拾叁亿叁仟肆佰叁拾伍万元整</v>
      </c>
      <c r="E123" s="3887"/>
      <c r="F123" s="3887"/>
      <c r="G123" s="3887"/>
      <c r="H123" s="3887"/>
      <c r="I123" s="3886"/>
      <c r="AA123" s="734"/>
    </row>
    <row r="124" spans="1:27" ht="18.75" customHeight="1">
      <c r="A124" s="3891" t="str">
        <f>IF(项目基本情况!B9="房地产市场价值","",MID(E109,3,LEN(E109)-2))</f>
        <v/>
      </c>
      <c r="B124" s="3891"/>
      <c r="C124" s="3891"/>
      <c r="D124" s="3880" t="str">
        <f>H109</f>
        <v>——</v>
      </c>
      <c r="E124" s="3881"/>
      <c r="F124" s="3881"/>
      <c r="G124" s="3881"/>
      <c r="H124" s="3881"/>
      <c r="I124" s="3882"/>
      <c r="AA124" s="734"/>
    </row>
    <row r="125" spans="1:27" ht="18.75" customHeight="1">
      <c r="A125" s="3879" t="s">
        <v>2130</v>
      </c>
      <c r="B125" s="3879"/>
      <c r="C125" s="3879"/>
      <c r="D125" s="3885" t="e">
        <f>NUMBERSTRING(INT(D124*10000),2)&amp;"元整"</f>
        <v>#VALUE!</v>
      </c>
      <c r="E125" s="3887"/>
      <c r="F125" s="3887"/>
      <c r="G125" s="3887"/>
      <c r="H125" s="3887"/>
      <c r="I125" s="3886"/>
      <c r="AA125" s="734"/>
    </row>
    <row r="126" spans="1:27" ht="18.75" customHeight="1">
      <c r="A126" s="3891" t="str">
        <f>IF(项目基本情况!B9="房地产市场价值","",MID(E111,3,LEN(E111)-2))</f>
        <v/>
      </c>
      <c r="B126" s="3891"/>
      <c r="C126" s="3891"/>
      <c r="D126" s="3880" t="str">
        <f>H111</f>
        <v>——</v>
      </c>
      <c r="E126" s="3881"/>
      <c r="F126" s="3881"/>
      <c r="G126" s="3881"/>
      <c r="H126" s="3881"/>
      <c r="I126" s="3882"/>
      <c r="AA126" s="734"/>
    </row>
    <row r="127" spans="1:27" ht="18.75" customHeight="1">
      <c r="A127" s="3879" t="s">
        <v>2130</v>
      </c>
      <c r="B127" s="3879"/>
      <c r="C127" s="3879"/>
      <c r="D127" s="3885" t="e">
        <f>NUMBERSTRING(INT(D126*10000),2)&amp;"元整"</f>
        <v>#VALUE!</v>
      </c>
      <c r="E127" s="3887"/>
      <c r="F127" s="3887"/>
      <c r="G127" s="3887"/>
      <c r="H127" s="3887"/>
      <c r="I127" s="3886"/>
      <c r="AA127" s="734"/>
    </row>
    <row r="128" spans="1:27" ht="21.75" customHeight="1">
      <c r="A128" s="3888" t="s">
        <v>2131</v>
      </c>
      <c r="B128" s="3888"/>
      <c r="C128" s="3888"/>
      <c r="D128" s="3888"/>
      <c r="E128" s="3888"/>
      <c r="F128" s="3888"/>
      <c r="G128" s="3888"/>
      <c r="H128" s="3888"/>
      <c r="I128" s="3888"/>
      <c r="AA128" s="734"/>
    </row>
    <row r="129" spans="1:35" ht="21.75" customHeight="1">
      <c r="A129" s="2018" t="s">
        <v>2132</v>
      </c>
      <c r="B129" s="2019"/>
      <c r="C129" s="2020" t="s">
        <v>2133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2134</v>
      </c>
      <c r="G135" s="2035"/>
      <c r="H135" s="2035"/>
      <c r="I135" s="2036" t="s">
        <v>2135</v>
      </c>
    </row>
    <row r="136" spans="1:35" ht="21.75" customHeight="1">
      <c r="A136" s="734"/>
      <c r="B136" s="2037" t="s">
        <v>2136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2137</v>
      </c>
    </row>
    <row r="139" spans="1:35" ht="21.75" customHeight="1">
      <c r="A139" s="734"/>
      <c r="B139" s="2037" t="s">
        <v>2138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2137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B2" sqref="B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2554</v>
      </c>
      <c r="B1" s="355"/>
      <c r="C1" s="356" t="s">
        <v>2555</v>
      </c>
      <c r="D1" s="695"/>
      <c r="E1" s="695"/>
      <c r="F1" s="694" t="s">
        <v>2453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2140</v>
      </c>
      <c r="B2" s="627">
        <f>F66</f>
        <v>109818</v>
      </c>
      <c r="C2" s="1037"/>
      <c r="D2" s="1037"/>
      <c r="E2" s="1038"/>
      <c r="F2" s="1039"/>
      <c r="G2" s="1038"/>
      <c r="H2" s="1038"/>
      <c r="I2" s="1038"/>
      <c r="J2" s="1038"/>
      <c r="K2" s="1040"/>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2142</v>
      </c>
      <c r="B3" s="566">
        <f>ROUND(IF(D3="",B2*10000/'数据-汇总表'!E3,B2*10000/D3),0)</f>
        <v>1537</v>
      </c>
      <c r="C3" s="209" t="s">
        <v>2556</v>
      </c>
      <c r="D3" s="1354"/>
      <c r="E3" s="1038"/>
      <c r="F3" s="1039"/>
      <c r="G3" s="1038"/>
      <c r="H3" s="1038"/>
      <c r="I3" s="1038"/>
      <c r="J3" s="1038"/>
      <c r="K3" s="1040"/>
      <c r="L3" s="2960"/>
      <c r="M3" s="2961"/>
      <c r="N3" s="2961"/>
      <c r="O3" s="2961"/>
      <c r="P3" s="708"/>
      <c r="Q3" s="708"/>
      <c r="R3" s="708"/>
      <c r="S3" s="708"/>
      <c r="T3" s="708"/>
      <c r="U3" s="708"/>
      <c r="V3" s="708"/>
      <c r="W3" s="708"/>
      <c r="X3" s="708"/>
      <c r="Y3" s="708"/>
      <c r="Z3" s="708"/>
      <c r="AA3" s="708"/>
      <c r="AB3" s="725"/>
      <c r="AC3" s="722"/>
    </row>
    <row r="4" spans="1:30" ht="15">
      <c r="A4" s="361" t="s">
        <v>2455</v>
      </c>
      <c r="B4" s="362"/>
      <c r="C4" s="3979" t="s">
        <v>2456</v>
      </c>
      <c r="D4" s="3980"/>
      <c r="E4" s="3981" t="s">
        <v>2457</v>
      </c>
      <c r="F4" s="3982"/>
      <c r="G4" s="3979" t="s">
        <v>2458</v>
      </c>
      <c r="H4" s="3980"/>
      <c r="I4" s="3979" t="s">
        <v>2459</v>
      </c>
      <c r="J4" s="3980"/>
      <c r="K4" s="567" t="s">
        <v>2460</v>
      </c>
      <c r="L4" s="2941"/>
      <c r="M4" s="2942"/>
      <c r="N4" s="2942"/>
      <c r="O4" s="2942"/>
      <c r="P4" s="3983" t="s">
        <v>2461</v>
      </c>
      <c r="Q4" s="3984"/>
      <c r="R4" s="3966" t="s">
        <v>2457</v>
      </c>
      <c r="S4" s="3967"/>
      <c r="T4" s="3966" t="s">
        <v>2458</v>
      </c>
      <c r="U4" s="3967"/>
      <c r="V4" s="3991" t="s">
        <v>2459</v>
      </c>
      <c r="W4" s="3991"/>
      <c r="X4" s="1540"/>
      <c r="Y4" s="3966" t="s">
        <v>2461</v>
      </c>
      <c r="Z4" s="3967"/>
      <c r="AA4" s="3961" t="s">
        <v>2457</v>
      </c>
      <c r="AB4" s="3962" t="s">
        <v>2458</v>
      </c>
      <c r="AC4" s="3961" t="s">
        <v>2459</v>
      </c>
    </row>
    <row r="5" spans="1:30" ht="15">
      <c r="A5" s="364"/>
      <c r="B5" s="365"/>
      <c r="C5" s="3972" t="s">
        <v>2352</v>
      </c>
      <c r="D5" s="3973"/>
      <c r="E5" s="3970" t="str">
        <f>土地案例!A2</f>
        <v>主三路南侧、主七路东侧(温泉园区内)</v>
      </c>
      <c r="F5" s="3971"/>
      <c r="G5" s="3972" t="str">
        <f>土地案例!A3</f>
        <v>中纬七路南侧、中经四路东侧(温泉园区内)</v>
      </c>
      <c r="H5" s="3973"/>
      <c r="I5" s="3972" t="str">
        <f>土地案例!A4</f>
        <v>中纬八路南侧、中经五路东侧(温泉园区内)</v>
      </c>
      <c r="J5" s="3973"/>
      <c r="K5" s="567"/>
      <c r="L5" s="2941"/>
      <c r="M5" s="2942"/>
      <c r="N5" s="2942"/>
      <c r="O5" s="2942"/>
      <c r="P5" s="3985"/>
      <c r="Q5" s="3986"/>
      <c r="R5" s="3968"/>
      <c r="S5" s="3969"/>
      <c r="T5" s="3968"/>
      <c r="U5" s="3969"/>
      <c r="V5" s="3991"/>
      <c r="W5" s="3991"/>
      <c r="X5" s="1540"/>
      <c r="Y5" s="3968"/>
      <c r="Z5" s="3969"/>
      <c r="AA5" s="3962"/>
      <c r="AB5" s="3962"/>
      <c r="AC5" s="3962"/>
    </row>
    <row r="6" spans="1:30" ht="15.75" thickBot="1">
      <c r="A6" s="366"/>
      <c r="B6" s="367"/>
      <c r="C6" s="3974" t="s">
        <v>2356</v>
      </c>
      <c r="D6" s="3975"/>
      <c r="E6" s="3976" t="str">
        <f>土地案例!D2</f>
        <v>牛驼</v>
      </c>
      <c r="F6" s="3977"/>
      <c r="G6" s="3974" t="str">
        <f>土地案例!D3</f>
        <v>马庄镇</v>
      </c>
      <c r="H6" s="3975"/>
      <c r="I6" s="3974" t="str">
        <f>土地案例!D4</f>
        <v>马庄镇</v>
      </c>
      <c r="J6" s="3975"/>
      <c r="K6" s="567" t="s">
        <v>2357</v>
      </c>
      <c r="L6" s="2941"/>
      <c r="M6" s="2942"/>
      <c r="N6" s="2942"/>
      <c r="O6" s="2942"/>
      <c r="P6" s="3987"/>
      <c r="Q6" s="3988"/>
      <c r="R6" s="3968"/>
      <c r="S6" s="3969"/>
      <c r="T6" s="3989"/>
      <c r="U6" s="3990"/>
      <c r="V6" s="3991"/>
      <c r="W6" s="3991"/>
      <c r="X6" s="1540"/>
      <c r="Y6" s="3989"/>
      <c r="Z6" s="3990"/>
      <c r="AA6" s="3963"/>
      <c r="AB6" s="3963"/>
      <c r="AC6" s="3963"/>
    </row>
    <row r="7" spans="1:30" s="113" customFormat="1" ht="15.75" thickBot="1">
      <c r="A7" s="368" t="s">
        <v>2358</v>
      </c>
      <c r="B7" s="369"/>
      <c r="C7" s="370">
        <f>'数据-取费表'!B2</f>
        <v>44186</v>
      </c>
      <c r="D7" s="371">
        <v>100</v>
      </c>
      <c r="E7" s="372" t="str">
        <f>土地案例!K2</f>
        <v>2020-06-18</v>
      </c>
      <c r="F7" s="373">
        <f>SUMIF(70:70,YEAR(E7)&amp;"-"&amp;INT((MONTH(E7)+2)/3),71:71)</f>
        <v>99</v>
      </c>
      <c r="G7" s="2161" t="str">
        <f>土地案例!K3</f>
        <v>2020-05-20</v>
      </c>
      <c r="H7" s="371">
        <f>SUMIF(70:70,YEAR(G7)&amp;"-"&amp;INT((MONTH(G7)+2)/3),71:71)</f>
        <v>99</v>
      </c>
      <c r="I7" s="2161" t="str">
        <f>土地案例!K4</f>
        <v>2020-05-20</v>
      </c>
      <c r="J7" s="371">
        <f>SUMIF(70:70,YEAR(I7)&amp;"-"&amp;INT((MONTH(I7)+2)/3),71:71)</f>
        <v>99</v>
      </c>
      <c r="K7" s="568"/>
      <c r="L7" s="2943"/>
      <c r="M7" s="2944"/>
      <c r="N7" s="2944"/>
      <c r="O7" s="2944"/>
      <c r="P7" s="3964" t="s">
        <v>2359</v>
      </c>
      <c r="Q7" s="3992"/>
      <c r="R7" s="710" t="s">
        <v>17</v>
      </c>
      <c r="S7" s="711">
        <f t="shared" ref="S7:S15" si="0">F7</f>
        <v>99</v>
      </c>
      <c r="T7" s="710" t="s">
        <v>17</v>
      </c>
      <c r="U7" s="711">
        <f t="shared" ref="U7:U15" si="1">H7</f>
        <v>99</v>
      </c>
      <c r="V7" s="710" t="s">
        <v>17</v>
      </c>
      <c r="W7" s="711">
        <f t="shared" ref="W7:W15" si="2">J7</f>
        <v>99</v>
      </c>
      <c r="X7" s="712"/>
      <c r="Y7" s="3964" t="s">
        <v>2359</v>
      </c>
      <c r="Z7" s="3965"/>
      <c r="AA7" s="713">
        <f>D7/F7</f>
        <v>1.0101010101010102</v>
      </c>
      <c r="AB7" s="713">
        <f>D7/H7</f>
        <v>1.0101010101010102</v>
      </c>
      <c r="AC7" s="713">
        <f>D7/J7</f>
        <v>1.0101010101010102</v>
      </c>
    </row>
    <row r="8" spans="1:30" s="113" customFormat="1" ht="15.75" thickBot="1">
      <c r="A8" s="368" t="s">
        <v>2360</v>
      </c>
      <c r="B8" s="369"/>
      <c r="C8" s="374" t="s">
        <v>2361</v>
      </c>
      <c r="D8" s="371">
        <v>100</v>
      </c>
      <c r="E8" s="374" t="s">
        <v>2361</v>
      </c>
      <c r="F8" s="373">
        <f>SUMIF(73:73,E8,74:74)-SUMIF(73:73,C8,74:74)+100</f>
        <v>100</v>
      </c>
      <c r="G8" s="374" t="s">
        <v>2361</v>
      </c>
      <c r="H8" s="371">
        <f>SUMIF(73:73,G8,74:74)-SUMIF(73:73,C8,74:74)+100</f>
        <v>100</v>
      </c>
      <c r="I8" s="374" t="s">
        <v>2361</v>
      </c>
      <c r="J8" s="371">
        <f>SUMIF(73:73,I8,74:74)-SUMIF(73:73,C8,74:74)+100</f>
        <v>100</v>
      </c>
      <c r="K8" s="568"/>
      <c r="L8" s="2943"/>
      <c r="M8" s="2944"/>
      <c r="N8" s="2944"/>
      <c r="O8" s="2944"/>
      <c r="P8" s="3964" t="s">
        <v>2362</v>
      </c>
      <c r="Q8" s="3965"/>
      <c r="R8" s="710" t="s">
        <v>17</v>
      </c>
      <c r="S8" s="711">
        <f t="shared" si="0"/>
        <v>100</v>
      </c>
      <c r="T8" s="710" t="s">
        <v>17</v>
      </c>
      <c r="U8" s="711">
        <f t="shared" si="1"/>
        <v>100</v>
      </c>
      <c r="V8" s="710" t="s">
        <v>17</v>
      </c>
      <c r="W8" s="711">
        <f t="shared" si="2"/>
        <v>100</v>
      </c>
      <c r="X8" s="712"/>
      <c r="Y8" s="3964" t="s">
        <v>2362</v>
      </c>
      <c r="Z8" s="3965"/>
      <c r="AA8" s="713">
        <f t="shared" ref="AA8:AA45" si="3">D8/F8</f>
        <v>1</v>
      </c>
      <c r="AB8" s="713">
        <f t="shared" ref="AB8:AB45" si="4">D8/H8</f>
        <v>1</v>
      </c>
      <c r="AC8" s="713">
        <f t="shared" ref="AC8:AC45" si="5">D8/J8</f>
        <v>1</v>
      </c>
    </row>
    <row r="9" spans="1:30" s="113" customFormat="1">
      <c r="A9" s="375" t="s">
        <v>2363</v>
      </c>
      <c r="B9" s="67" t="s">
        <v>2364</v>
      </c>
      <c r="C9" s="2164" t="s">
        <v>3163</v>
      </c>
      <c r="D9" s="131">
        <v>100</v>
      </c>
      <c r="E9" s="2164" t="s">
        <v>3163</v>
      </c>
      <c r="F9" s="131">
        <f>SUMIF(75:75,E9,76:76)-SUMIF(75:75,C9,76:76)+100</f>
        <v>100</v>
      </c>
      <c r="G9" s="2164" t="s">
        <v>3163</v>
      </c>
      <c r="H9" s="131">
        <f>SUMIF(75:75,G9,76:76)-SUMIF(75:75,C9,76:76)+100</f>
        <v>100</v>
      </c>
      <c r="I9" s="2164" t="s">
        <v>3163</v>
      </c>
      <c r="J9" s="131">
        <f>SUMIF(75:75,I9,76:76)-SUMIF(75:75,C9,76:76)+100</f>
        <v>100</v>
      </c>
      <c r="K9" s="568"/>
      <c r="L9" s="2943"/>
      <c r="M9" s="2944"/>
      <c r="N9" s="2944"/>
      <c r="O9" s="2998"/>
      <c r="P9" s="3978"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713">
        <f t="shared" si="5"/>
        <v>1</v>
      </c>
    </row>
    <row r="10" spans="1:30" s="386" customFormat="1" ht="27">
      <c r="A10" s="380"/>
      <c r="B10" s="381" t="s">
        <v>2367</v>
      </c>
      <c r="C10" s="391">
        <f>'数据-取费表'!F6</f>
        <v>62.28</v>
      </c>
      <c r="D10" s="132">
        <v>100</v>
      </c>
      <c r="E10" s="424" t="s">
        <v>3976</v>
      </c>
      <c r="F10" s="132">
        <f>ROUND(100/'数据-取费表'!G16,0)</f>
        <v>103</v>
      </c>
      <c r="G10" s="424" t="s">
        <v>3976</v>
      </c>
      <c r="H10" s="132">
        <f>ROUND(100/'数据-取费表'!G16,0)</f>
        <v>103</v>
      </c>
      <c r="I10" s="424" t="s">
        <v>3976</v>
      </c>
      <c r="J10" s="132">
        <f>ROUND(100/'数据-取费表'!G16,0)</f>
        <v>103</v>
      </c>
      <c r="K10" s="628"/>
      <c r="L10" s="2945"/>
      <c r="M10" s="2946"/>
      <c r="N10" s="2946"/>
      <c r="O10" s="2999"/>
      <c r="P10" s="3978"/>
      <c r="Q10" s="1528" t="str">
        <f t="shared" si="6"/>
        <v>土地使用年限（年）</v>
      </c>
      <c r="R10" s="710" t="s">
        <v>17</v>
      </c>
      <c r="S10" s="711">
        <f t="shared" si="0"/>
        <v>103</v>
      </c>
      <c r="T10" s="710" t="s">
        <v>17</v>
      </c>
      <c r="U10" s="711">
        <f t="shared" si="1"/>
        <v>103</v>
      </c>
      <c r="V10" s="710" t="s">
        <v>17</v>
      </c>
      <c r="W10" s="711">
        <f t="shared" si="2"/>
        <v>103</v>
      </c>
      <c r="X10" s="712"/>
      <c r="Y10" s="3937"/>
      <c r="Z10" s="55" t="str">
        <f t="shared" si="7"/>
        <v>土地使用年限（年）</v>
      </c>
      <c r="AA10" s="713">
        <f t="shared" si="3"/>
        <v>0.970873786407767</v>
      </c>
      <c r="AB10" s="713">
        <f t="shared" si="4"/>
        <v>0.970873786407767</v>
      </c>
      <c r="AC10" s="713">
        <f t="shared" si="5"/>
        <v>0.970873786407767</v>
      </c>
    </row>
    <row r="11" spans="1:30" ht="15">
      <c r="A11" s="387"/>
      <c r="B11" s="381" t="s">
        <v>2368</v>
      </c>
      <c r="C11" s="388">
        <f>'数据-汇总表'!I4</f>
        <v>2.09</v>
      </c>
      <c r="D11" s="132">
        <v>100</v>
      </c>
      <c r="E11" s="388">
        <f>土地案例!I2</f>
        <v>1.5</v>
      </c>
      <c r="F11" s="132">
        <f>LOOKUP(E11,80:80,81:81)-LOOKUP(C11,80:80,81:81)+100</f>
        <v>102</v>
      </c>
      <c r="G11" s="389">
        <f>土地案例!I3</f>
        <v>1.5</v>
      </c>
      <c r="H11" s="132">
        <f>LOOKUP(G11,80:80,81:81)-LOOKUP(C11,80:80,81:81)+100</f>
        <v>102</v>
      </c>
      <c r="I11" s="388">
        <f>土地案例!I4</f>
        <v>1.5</v>
      </c>
      <c r="J11" s="132">
        <f>LOOKUP(I11,80:80,81:81)-LOOKUP(C11,80:80,81:81)+100</f>
        <v>102</v>
      </c>
      <c r="K11" s="629">
        <v>2</v>
      </c>
      <c r="L11" s="2947"/>
      <c r="M11" s="2942"/>
      <c r="N11" s="2942"/>
      <c r="O11" s="3000"/>
      <c r="P11" s="3978"/>
      <c r="Q11" s="1528" t="str">
        <f t="shared" si="6"/>
        <v>容积率</v>
      </c>
      <c r="R11" s="710" t="s">
        <v>17</v>
      </c>
      <c r="S11" s="711">
        <f t="shared" si="0"/>
        <v>102</v>
      </c>
      <c r="T11" s="710" t="s">
        <v>17</v>
      </c>
      <c r="U11" s="711">
        <f t="shared" si="1"/>
        <v>102</v>
      </c>
      <c r="V11" s="710" t="s">
        <v>17</v>
      </c>
      <c r="W11" s="711">
        <f t="shared" si="2"/>
        <v>102</v>
      </c>
      <c r="X11" s="712"/>
      <c r="Y11" s="3937"/>
      <c r="Z11" s="55" t="str">
        <f t="shared" si="7"/>
        <v>容积率</v>
      </c>
      <c r="AA11" s="713">
        <f t="shared" si="3"/>
        <v>0.98039215686274506</v>
      </c>
      <c r="AB11" s="713">
        <f t="shared" si="4"/>
        <v>0.98039215686274506</v>
      </c>
      <c r="AC11" s="713">
        <f t="shared" si="5"/>
        <v>0.98039215686274506</v>
      </c>
    </row>
    <row r="12" spans="1:30" s="113" customFormat="1" ht="15.75" thickBot="1">
      <c r="A12" s="390"/>
      <c r="B12" s="2080" t="s">
        <v>2557</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978"/>
      <c r="Q12" s="1528" t="str">
        <f t="shared" si="6"/>
        <v>配建</v>
      </c>
      <c r="R12" s="710" t="s">
        <v>17</v>
      </c>
      <c r="S12" s="711">
        <f t="shared" si="0"/>
        <v>100</v>
      </c>
      <c r="T12" s="710" t="s">
        <v>17</v>
      </c>
      <c r="U12" s="711">
        <f t="shared" si="1"/>
        <v>100</v>
      </c>
      <c r="V12" s="710" t="s">
        <v>17</v>
      </c>
      <c r="W12" s="711">
        <f t="shared" si="2"/>
        <v>100</v>
      </c>
      <c r="X12" s="712"/>
      <c r="Y12" s="3937"/>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978"/>
      <c r="Q13" s="1528">
        <f t="shared" si="6"/>
        <v>111</v>
      </c>
      <c r="R13" s="710" t="s">
        <v>17</v>
      </c>
      <c r="S13" s="711">
        <f t="shared" si="0"/>
        <v>100</v>
      </c>
      <c r="T13" s="710" t="s">
        <v>17</v>
      </c>
      <c r="U13" s="711">
        <f t="shared" si="1"/>
        <v>100</v>
      </c>
      <c r="V13" s="710" t="s">
        <v>17</v>
      </c>
      <c r="W13" s="711">
        <f t="shared" si="2"/>
        <v>100</v>
      </c>
      <c r="X13" s="712"/>
      <c r="Y13" s="3937"/>
      <c r="Z13" s="55">
        <f t="shared" si="7"/>
        <v>111</v>
      </c>
      <c r="AA13" s="713">
        <f>D13/F13</f>
        <v>1</v>
      </c>
      <c r="AB13" s="713">
        <f>D13/H13</f>
        <v>1</v>
      </c>
      <c r="AC13" s="713">
        <f>D13/J13</f>
        <v>1</v>
      </c>
    </row>
    <row r="14" spans="1:30" ht="15.7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978"/>
      <c r="Q14" s="1528">
        <f t="shared" si="6"/>
        <v>111</v>
      </c>
      <c r="R14" s="710" t="s">
        <v>17</v>
      </c>
      <c r="S14" s="711">
        <f t="shared" si="0"/>
        <v>100</v>
      </c>
      <c r="T14" s="710" t="s">
        <v>17</v>
      </c>
      <c r="U14" s="711">
        <f t="shared" si="1"/>
        <v>100</v>
      </c>
      <c r="V14" s="710" t="s">
        <v>17</v>
      </c>
      <c r="W14" s="711">
        <f t="shared" si="2"/>
        <v>100</v>
      </c>
      <c r="X14" s="712"/>
      <c r="Y14" s="3937"/>
      <c r="Z14" s="55">
        <f t="shared" si="7"/>
        <v>111</v>
      </c>
      <c r="AA14" s="713">
        <f>D14/F14</f>
        <v>1</v>
      </c>
      <c r="AB14" s="713">
        <f>D14/H14</f>
        <v>1</v>
      </c>
      <c r="AC14" s="713">
        <f>D14/J14</f>
        <v>1</v>
      </c>
    </row>
    <row r="15" spans="1:30" ht="15">
      <c r="A15" s="399" t="s">
        <v>2369</v>
      </c>
      <c r="B15" s="65" t="s">
        <v>1935</v>
      </c>
      <c r="C15" s="2083" t="str">
        <f>估价对象房地状况!C15</f>
        <v>较差</v>
      </c>
      <c r="D15" s="400">
        <v>100</v>
      </c>
      <c r="E15" s="401" t="s">
        <v>3905</v>
      </c>
      <c r="F15" s="400">
        <f>SUMIF(88:88,E16,89:89)-SUMIF(88:88,C16,89:89)+100</f>
        <v>100</v>
      </c>
      <c r="G15" s="401" t="s">
        <v>3905</v>
      </c>
      <c r="H15" s="400">
        <f>SUMIF(88:88,G16,89:89)-SUMIF(88:88,C16,89:89)+100</f>
        <v>100</v>
      </c>
      <c r="I15" s="401" t="s">
        <v>3905</v>
      </c>
      <c r="J15" s="400">
        <f>SUMIF(88:88,I16,89:89)-SUMIF(88:88,C16,89:89)+100</f>
        <v>100</v>
      </c>
      <c r="K15" s="629">
        <v>2</v>
      </c>
      <c r="L15" s="2948"/>
      <c r="M15" s="2942"/>
      <c r="N15" s="2942"/>
      <c r="O15" s="3000"/>
      <c r="P15" s="3993" t="s">
        <v>2370</v>
      </c>
      <c r="Q15" s="1537" t="str">
        <f t="shared" si="6"/>
        <v>居住社区成熟度</v>
      </c>
      <c r="R15" s="714" t="s">
        <v>17</v>
      </c>
      <c r="S15" s="715">
        <f t="shared" si="0"/>
        <v>100</v>
      </c>
      <c r="T15" s="714" t="s">
        <v>17</v>
      </c>
      <c r="U15" s="715">
        <f t="shared" si="1"/>
        <v>100</v>
      </c>
      <c r="V15" s="714" t="s">
        <v>17</v>
      </c>
      <c r="W15" s="715">
        <f t="shared" si="2"/>
        <v>100</v>
      </c>
      <c r="X15" s="1540"/>
      <c r="Y15" s="3993" t="s">
        <v>2370</v>
      </c>
      <c r="Z15" s="1541" t="str">
        <f t="shared" si="7"/>
        <v>居住社区成熟度</v>
      </c>
      <c r="AA15" s="1538">
        <f t="shared" si="3"/>
        <v>1</v>
      </c>
      <c r="AB15" s="1538">
        <f t="shared" si="4"/>
        <v>1</v>
      </c>
      <c r="AC15" s="1538">
        <f t="shared" si="5"/>
        <v>1</v>
      </c>
    </row>
    <row r="16" spans="1:30" ht="15">
      <c r="A16" s="387"/>
      <c r="B16" s="405"/>
      <c r="C16" s="406" t="s">
        <v>3905</v>
      </c>
      <c r="D16" s="407"/>
      <c r="E16" s="2085" t="s">
        <v>3905</v>
      </c>
      <c r="F16" s="407"/>
      <c r="G16" s="2085" t="s">
        <v>3905</v>
      </c>
      <c r="H16" s="409"/>
      <c r="I16" s="2085" t="s">
        <v>3905</v>
      </c>
      <c r="J16" s="407"/>
      <c r="K16" s="628"/>
      <c r="L16" s="2948"/>
      <c r="M16" s="2942"/>
      <c r="N16" s="2942"/>
      <c r="O16" s="3000"/>
      <c r="P16" s="3994"/>
      <c r="Q16" s="1537"/>
      <c r="R16" s="714"/>
      <c r="S16" s="715"/>
      <c r="T16" s="714"/>
      <c r="U16" s="715"/>
      <c r="V16" s="714"/>
      <c r="W16" s="715"/>
      <c r="X16" s="1540"/>
      <c r="Y16" s="3994"/>
      <c r="Z16" s="1541"/>
      <c r="AA16" s="1538">
        <v>1</v>
      </c>
      <c r="AB16" s="1538">
        <v>1</v>
      </c>
      <c r="AC16" s="1538">
        <v>1</v>
      </c>
    </row>
    <row r="17" spans="1:29" ht="15" hidden="1">
      <c r="A17" s="387"/>
      <c r="B17" s="410" t="s">
        <v>2463</v>
      </c>
      <c r="C17" s="2142" t="str">
        <f>估价对象房地状况!C16</f>
        <v>较差</v>
      </c>
      <c r="D17" s="409">
        <v>100</v>
      </c>
      <c r="E17" s="411" t="s">
        <v>3905</v>
      </c>
      <c r="F17" s="409">
        <f>SUMIF(90:90,E18,91:91)-SUMIF(90:90,C18,91:91)+100</f>
        <v>100</v>
      </c>
      <c r="G17" s="411" t="s">
        <v>3905</v>
      </c>
      <c r="H17" s="414">
        <f>SUMIF(90:90,G18,91:91)-SUMIF(90:90,C18,91:91)+100</f>
        <v>100</v>
      </c>
      <c r="I17" s="411" t="s">
        <v>3905</v>
      </c>
      <c r="J17" s="414">
        <f>SUMIF(90:90,I18,91:91)-SUMIF(90:90,C18,91:91)+100</f>
        <v>100</v>
      </c>
      <c r="K17" s="629"/>
      <c r="L17" s="2948"/>
      <c r="M17" s="2942"/>
      <c r="N17" s="2942"/>
      <c r="O17" s="3000"/>
      <c r="P17" s="3994"/>
      <c r="Q17" s="1537" t="str">
        <f>B17</f>
        <v>商业繁华度</v>
      </c>
      <c r="R17" s="714" t="s">
        <v>17</v>
      </c>
      <c r="S17" s="715">
        <f>F17</f>
        <v>100</v>
      </c>
      <c r="T17" s="714" t="s">
        <v>17</v>
      </c>
      <c r="U17" s="715">
        <f>H17</f>
        <v>100</v>
      </c>
      <c r="V17" s="714" t="s">
        <v>17</v>
      </c>
      <c r="W17" s="715">
        <f>J17</f>
        <v>100</v>
      </c>
      <c r="X17" s="1540"/>
      <c r="Y17" s="3994"/>
      <c r="Z17" s="1541" t="str">
        <f>Q17</f>
        <v>商业繁华度</v>
      </c>
      <c r="AA17" s="1538">
        <f t="shared" si="3"/>
        <v>1</v>
      </c>
      <c r="AB17" s="1538">
        <f t="shared" si="4"/>
        <v>1</v>
      </c>
      <c r="AC17" s="1538">
        <f t="shared" si="5"/>
        <v>1</v>
      </c>
    </row>
    <row r="18" spans="1:29" ht="15" hidden="1">
      <c r="A18" s="387"/>
      <c r="B18" s="415"/>
      <c r="C18" s="2088"/>
      <c r="D18" s="409"/>
      <c r="E18" s="2090"/>
      <c r="F18" s="409"/>
      <c r="G18" s="2090"/>
      <c r="H18" s="407"/>
      <c r="I18" s="2090"/>
      <c r="J18" s="407"/>
      <c r="K18" s="628"/>
      <c r="L18" s="2948"/>
      <c r="M18" s="2942"/>
      <c r="N18" s="2942"/>
      <c r="O18" s="3000"/>
      <c r="P18" s="3994"/>
      <c r="Q18" s="1537"/>
      <c r="R18" s="714"/>
      <c r="S18" s="715"/>
      <c r="T18" s="714"/>
      <c r="U18" s="715"/>
      <c r="V18" s="714"/>
      <c r="W18" s="715"/>
      <c r="X18" s="1540"/>
      <c r="Y18" s="3994"/>
      <c r="Z18" s="1541"/>
      <c r="AA18" s="1538">
        <v>1</v>
      </c>
      <c r="AB18" s="1538">
        <v>1</v>
      </c>
      <c r="AC18" s="1538">
        <v>1</v>
      </c>
    </row>
    <row r="19" spans="1:29" ht="15" hidden="1">
      <c r="A19" s="387"/>
      <c r="B19" s="410" t="s">
        <v>2497</v>
      </c>
      <c r="C19" s="2142" t="str">
        <f>估价对象房地状况!C17</f>
        <v>较差</v>
      </c>
      <c r="D19" s="414">
        <v>100</v>
      </c>
      <c r="E19" s="416" t="s">
        <v>3905</v>
      </c>
      <c r="F19" s="414">
        <f>SUMIF(92:92,E20,93:93)-SUMIF(92:92,C20,93:93)+100</f>
        <v>100</v>
      </c>
      <c r="G19" s="416" t="s">
        <v>3905</v>
      </c>
      <c r="H19" s="409">
        <f>SUMIF(92:92,G20,93:93)-SUMIF(92:92,C20,93:93)+100</f>
        <v>100</v>
      </c>
      <c r="I19" s="416" t="s">
        <v>3905</v>
      </c>
      <c r="J19" s="409">
        <f>SUMIF(92:92,I20,93:93)-SUMIF(92:92,C20,93:93)+100</f>
        <v>100</v>
      </c>
      <c r="K19" s="629"/>
      <c r="L19" s="2948"/>
      <c r="M19" s="2942"/>
      <c r="N19" s="2942"/>
      <c r="O19" s="3000"/>
      <c r="P19" s="3994"/>
      <c r="Q19" s="1537" t="str">
        <f>B19</f>
        <v>办公集聚程度</v>
      </c>
      <c r="R19" s="714" t="s">
        <v>17</v>
      </c>
      <c r="S19" s="715">
        <f>F19</f>
        <v>100</v>
      </c>
      <c r="T19" s="714" t="s">
        <v>17</v>
      </c>
      <c r="U19" s="715">
        <f>H19</f>
        <v>100</v>
      </c>
      <c r="V19" s="714" t="s">
        <v>17</v>
      </c>
      <c r="W19" s="715">
        <f>J19</f>
        <v>100</v>
      </c>
      <c r="X19" s="1540"/>
      <c r="Y19" s="3994"/>
      <c r="Z19" s="1541" t="str">
        <f>Q19</f>
        <v>办公集聚程度</v>
      </c>
      <c r="AA19" s="1538">
        <f t="shared" si="3"/>
        <v>1</v>
      </c>
      <c r="AB19" s="1538">
        <f t="shared" si="4"/>
        <v>1</v>
      </c>
      <c r="AC19" s="1538">
        <f t="shared" si="5"/>
        <v>1</v>
      </c>
    </row>
    <row r="20" spans="1:29" ht="15" hidden="1">
      <c r="A20" s="387"/>
      <c r="B20" s="415"/>
      <c r="C20" s="406"/>
      <c r="D20" s="407"/>
      <c r="E20" s="2085"/>
      <c r="F20" s="407"/>
      <c r="G20" s="2085"/>
      <c r="H20" s="407"/>
      <c r="I20" s="2085"/>
      <c r="J20" s="407"/>
      <c r="K20" s="628"/>
      <c r="L20" s="2948"/>
      <c r="M20" s="2942"/>
      <c r="N20" s="2942"/>
      <c r="O20" s="3000"/>
      <c r="P20" s="3994"/>
      <c r="Q20" s="1537"/>
      <c r="R20" s="714"/>
      <c r="S20" s="715"/>
      <c r="T20" s="714"/>
      <c r="U20" s="715"/>
      <c r="V20" s="714"/>
      <c r="W20" s="715"/>
      <c r="X20" s="1540"/>
      <c r="Y20" s="3994"/>
      <c r="Z20" s="1541"/>
      <c r="AA20" s="1538">
        <v>1</v>
      </c>
      <c r="AB20" s="1538">
        <v>1</v>
      </c>
      <c r="AC20" s="1538">
        <v>1</v>
      </c>
    </row>
    <row r="21" spans="1:29" ht="15">
      <c r="A21" s="387"/>
      <c r="B21" s="410" t="s">
        <v>2519</v>
      </c>
      <c r="C21" s="2087" t="str">
        <f>估价对象房地状况!C18</f>
        <v>较差</v>
      </c>
      <c r="D21" s="409">
        <v>100</v>
      </c>
      <c r="E21" s="411" t="s">
        <v>3905</v>
      </c>
      <c r="F21" s="414">
        <f>SUMIF(94:94,E22,95:95)-SUMIF(94:94,C22,95:95)+100</f>
        <v>100</v>
      </c>
      <c r="G21" s="411" t="s">
        <v>3905</v>
      </c>
      <c r="H21" s="409">
        <f>SUMIF(94:94,G22,95:95)-SUMIF(94:94,C22,95:95)+100</f>
        <v>100</v>
      </c>
      <c r="I21" s="411" t="s">
        <v>3905</v>
      </c>
      <c r="J21" s="409">
        <f>SUMIF(94:94,I22,95:95)-SUMIF(94:94,C22,95:95)+100</f>
        <v>100</v>
      </c>
      <c r="K21" s="629">
        <v>2</v>
      </c>
      <c r="L21" s="2948"/>
      <c r="M21" s="2942"/>
      <c r="N21" s="2942"/>
      <c r="O21" s="3000"/>
      <c r="P21" s="3994"/>
      <c r="Q21" s="1537" t="str">
        <f>B21</f>
        <v>交通便捷度</v>
      </c>
      <c r="R21" s="714" t="s">
        <v>17</v>
      </c>
      <c r="S21" s="715">
        <f>F21</f>
        <v>100</v>
      </c>
      <c r="T21" s="714" t="s">
        <v>17</v>
      </c>
      <c r="U21" s="715">
        <f>H21</f>
        <v>100</v>
      </c>
      <c r="V21" s="714" t="s">
        <v>17</v>
      </c>
      <c r="W21" s="715">
        <f>J21</f>
        <v>100</v>
      </c>
      <c r="X21" s="1540"/>
      <c r="Y21" s="3994"/>
      <c r="Z21" s="1541" t="str">
        <f>Q21</f>
        <v>交通便捷度</v>
      </c>
      <c r="AA21" s="1538">
        <f t="shared" si="3"/>
        <v>1</v>
      </c>
      <c r="AB21" s="1538">
        <f t="shared" si="4"/>
        <v>1</v>
      </c>
      <c r="AC21" s="1538">
        <f t="shared" si="5"/>
        <v>1</v>
      </c>
    </row>
    <row r="22" spans="1:29" ht="15">
      <c r="A22" s="387"/>
      <c r="B22" s="1292"/>
      <c r="C22" s="406" t="s">
        <v>3905</v>
      </c>
      <c r="D22" s="409"/>
      <c r="E22" s="2085" t="s">
        <v>3905</v>
      </c>
      <c r="F22" s="407"/>
      <c r="G22" s="2085" t="s">
        <v>3905</v>
      </c>
      <c r="H22" s="407"/>
      <c r="I22" s="2085" t="s">
        <v>3905</v>
      </c>
      <c r="J22" s="407"/>
      <c r="K22" s="628"/>
      <c r="L22" s="2948"/>
      <c r="M22" s="2942"/>
      <c r="N22" s="2942"/>
      <c r="O22" s="3000"/>
      <c r="P22" s="3994"/>
      <c r="Q22" s="1537"/>
      <c r="R22" s="714"/>
      <c r="S22" s="715"/>
      <c r="T22" s="714"/>
      <c r="U22" s="715"/>
      <c r="V22" s="714"/>
      <c r="W22" s="715"/>
      <c r="X22" s="1540"/>
      <c r="Y22" s="3994"/>
      <c r="Z22" s="1541"/>
      <c r="AA22" s="1538">
        <v>1</v>
      </c>
      <c r="AB22" s="1538">
        <v>1</v>
      </c>
      <c r="AC22" s="1538">
        <v>1</v>
      </c>
    </row>
    <row r="23" spans="1:29" ht="15">
      <c r="A23" s="364"/>
      <c r="B23" s="410" t="s">
        <v>2558</v>
      </c>
      <c r="C23" s="1297" t="str">
        <f>估价对象房地状况!C19</f>
        <v>一般</v>
      </c>
      <c r="D23" s="414">
        <v>100</v>
      </c>
      <c r="E23" s="411" t="s">
        <v>3909</v>
      </c>
      <c r="F23" s="414">
        <f>SUMIF(96:96,E24,97:97)-SUMIF(96:96,C24,97:97)+100</f>
        <v>100</v>
      </c>
      <c r="G23" s="411" t="s">
        <v>3909</v>
      </c>
      <c r="H23" s="414">
        <f>SUMIF(96:96,G24,97:97)-SUMIF(96:96,C24,97:97)+100</f>
        <v>100</v>
      </c>
      <c r="I23" s="411" t="s">
        <v>3909</v>
      </c>
      <c r="J23" s="414">
        <f>SUMIF(96:96,I24,97:97)-SUMIF(96:96,C24,97:97)+100</f>
        <v>100</v>
      </c>
      <c r="K23" s="629">
        <v>2</v>
      </c>
      <c r="L23" s="2948"/>
      <c r="M23" s="2942"/>
      <c r="N23" s="2942"/>
      <c r="O23" s="3000"/>
      <c r="P23" s="3994"/>
      <c r="Q23" s="1537" t="str">
        <f t="shared" ref="Q23:Q37" si="8">B23</f>
        <v>区域土地利用方向</v>
      </c>
      <c r="R23" s="714" t="s">
        <v>17</v>
      </c>
      <c r="S23" s="715">
        <f>F23</f>
        <v>100</v>
      </c>
      <c r="T23" s="714" t="s">
        <v>17</v>
      </c>
      <c r="U23" s="715">
        <f>H23</f>
        <v>100</v>
      </c>
      <c r="V23" s="714" t="s">
        <v>17</v>
      </c>
      <c r="W23" s="715">
        <f>J23</f>
        <v>100</v>
      </c>
      <c r="X23" s="1540"/>
      <c r="Y23" s="3994"/>
      <c r="Z23" s="1541" t="str">
        <f>Q23</f>
        <v>区域土地利用方向</v>
      </c>
      <c r="AA23" s="1538">
        <f t="shared" si="3"/>
        <v>1</v>
      </c>
      <c r="AB23" s="1538">
        <f t="shared" si="4"/>
        <v>1</v>
      </c>
      <c r="AC23" s="1538">
        <f t="shared" si="5"/>
        <v>1</v>
      </c>
    </row>
    <row r="24" spans="1:29" ht="15">
      <c r="A24" s="364"/>
      <c r="B24" s="415"/>
      <c r="C24" s="573" t="s">
        <v>3909</v>
      </c>
      <c r="D24" s="407"/>
      <c r="E24" s="2085" t="s">
        <v>3909</v>
      </c>
      <c r="F24" s="407"/>
      <c r="G24" s="2085" t="s">
        <v>3909</v>
      </c>
      <c r="H24" s="407"/>
      <c r="I24" s="2085" t="s">
        <v>3909</v>
      </c>
      <c r="J24" s="407"/>
      <c r="K24" s="751"/>
      <c r="L24" s="2948"/>
      <c r="M24" s="2942"/>
      <c r="N24" s="2942"/>
      <c r="O24" s="3000"/>
      <c r="P24" s="3994"/>
      <c r="Q24" s="1537"/>
      <c r="R24" s="714"/>
      <c r="S24" s="715"/>
      <c r="T24" s="714"/>
      <c r="U24" s="715"/>
      <c r="V24" s="714"/>
      <c r="W24" s="715"/>
      <c r="X24" s="1540"/>
      <c r="Y24" s="3994"/>
      <c r="Z24" s="1541"/>
      <c r="AA24" s="1538"/>
      <c r="AB24" s="1538"/>
      <c r="AC24" s="1538"/>
    </row>
    <row r="25" spans="1:29" ht="27">
      <c r="A25" s="364"/>
      <c r="B25" s="1292" t="s">
        <v>2559</v>
      </c>
      <c r="C25" s="2142" t="str">
        <f>估价对象房地状况!C20</f>
        <v>一般</v>
      </c>
      <c r="D25" s="409">
        <v>100</v>
      </c>
      <c r="E25" s="411" t="s">
        <v>3909</v>
      </c>
      <c r="F25" s="409">
        <f>SUMIF(98:98,E26,99:99)-SUMIF(98:98,C26,99:99)+100</f>
        <v>100</v>
      </c>
      <c r="G25" s="411" t="s">
        <v>3909</v>
      </c>
      <c r="H25" s="409">
        <f>SUMIF(98:98,G26,99:99)-SUMIF(98:98,C26,99:99)+100</f>
        <v>100</v>
      </c>
      <c r="I25" s="411" t="s">
        <v>3909</v>
      </c>
      <c r="J25" s="409">
        <f>SUMIF(98:98,I26,99:99)-SUMIF(98:98,C26,99:99)+100</f>
        <v>100</v>
      </c>
      <c r="K25" s="629">
        <v>2</v>
      </c>
      <c r="L25" s="2948"/>
      <c r="M25" s="2942"/>
      <c r="N25" s="2942"/>
      <c r="O25" s="3000"/>
      <c r="P25" s="3994"/>
      <c r="Q25" s="1537" t="str">
        <f t="shared" si="8"/>
        <v>自然及人文环境状况</v>
      </c>
      <c r="R25" s="714" t="s">
        <v>17</v>
      </c>
      <c r="S25" s="715">
        <f>F25</f>
        <v>100</v>
      </c>
      <c r="T25" s="714" t="s">
        <v>17</v>
      </c>
      <c r="U25" s="715">
        <f>H25</f>
        <v>100</v>
      </c>
      <c r="V25" s="714" t="s">
        <v>17</v>
      </c>
      <c r="W25" s="715">
        <f>J25</f>
        <v>100</v>
      </c>
      <c r="X25" s="1540"/>
      <c r="Y25" s="3994"/>
      <c r="Z25" s="1541" t="str">
        <f>Q25</f>
        <v>自然及人文环境状况</v>
      </c>
      <c r="AA25" s="1538">
        <f t="shared" si="3"/>
        <v>1</v>
      </c>
      <c r="AB25" s="1538">
        <f t="shared" si="4"/>
        <v>1</v>
      </c>
      <c r="AC25" s="1538">
        <f t="shared" si="5"/>
        <v>1</v>
      </c>
    </row>
    <row r="26" spans="1:29" ht="15">
      <c r="A26" s="364"/>
      <c r="B26" s="415"/>
      <c r="C26" s="406" t="s">
        <v>3909</v>
      </c>
      <c r="D26" s="407"/>
      <c r="E26" s="2091" t="s">
        <v>3909</v>
      </c>
      <c r="F26" s="407"/>
      <c r="G26" s="2091" t="s">
        <v>3909</v>
      </c>
      <c r="H26" s="407"/>
      <c r="I26" s="2091" t="s">
        <v>3909</v>
      </c>
      <c r="J26" s="407"/>
      <c r="K26" s="628"/>
      <c r="L26" s="2948"/>
      <c r="M26" s="2942"/>
      <c r="N26" s="2942"/>
      <c r="O26" s="3000"/>
      <c r="P26" s="3994"/>
      <c r="Q26" s="1537"/>
      <c r="R26" s="714"/>
      <c r="S26" s="715"/>
      <c r="T26" s="714"/>
      <c r="U26" s="715"/>
      <c r="V26" s="714"/>
      <c r="W26" s="715"/>
      <c r="X26" s="1540"/>
      <c r="Y26" s="3994"/>
      <c r="Z26" s="1541"/>
      <c r="AA26" s="1538">
        <v>1</v>
      </c>
      <c r="AB26" s="1538">
        <v>1</v>
      </c>
      <c r="AC26" s="1538">
        <v>1</v>
      </c>
    </row>
    <row r="27" spans="1:29" s="113" customFormat="1" ht="15">
      <c r="A27" s="605"/>
      <c r="B27" s="1292" t="s">
        <v>2464</v>
      </c>
      <c r="C27" s="2087" t="str">
        <f>估价对象房地状况!C21</f>
        <v>较差</v>
      </c>
      <c r="D27" s="409">
        <v>100</v>
      </c>
      <c r="E27" s="411" t="s">
        <v>3905</v>
      </c>
      <c r="F27" s="409">
        <f>SUMIF(100:100,E28,101:101)-SUMIF(100:100,C28,101:101)+100</f>
        <v>100</v>
      </c>
      <c r="G27" s="411" t="s">
        <v>3905</v>
      </c>
      <c r="H27" s="409">
        <f>SUMIF(100:100,G28,101:101)-SUMIF(100:100,C28,101:101)+100</f>
        <v>100</v>
      </c>
      <c r="I27" s="411" t="s">
        <v>3905</v>
      </c>
      <c r="J27" s="409">
        <f>SUMIF(100:100,I28,101:101)-SUMIF(100:100,C28,101:101)+100</f>
        <v>100</v>
      </c>
      <c r="K27" s="629">
        <v>2</v>
      </c>
      <c r="L27" s="2943"/>
      <c r="M27" s="2944"/>
      <c r="N27" s="2944"/>
      <c r="O27" s="2998"/>
      <c r="P27" s="3994"/>
      <c r="Q27" s="1528" t="str">
        <f t="shared" si="8"/>
        <v>公共配套设施</v>
      </c>
      <c r="R27" s="710" t="s">
        <v>17</v>
      </c>
      <c r="S27" s="711">
        <f>F27</f>
        <v>100</v>
      </c>
      <c r="T27" s="710" t="s">
        <v>17</v>
      </c>
      <c r="U27" s="711">
        <f>H27</f>
        <v>100</v>
      </c>
      <c r="V27" s="710" t="s">
        <v>17</v>
      </c>
      <c r="W27" s="711">
        <f>J27</f>
        <v>100</v>
      </c>
      <c r="X27" s="712"/>
      <c r="Y27" s="3994"/>
      <c r="Z27" s="55" t="str">
        <f>Q27</f>
        <v>公共配套设施</v>
      </c>
      <c r="AA27" s="1538">
        <f>D27/F27</f>
        <v>1</v>
      </c>
      <c r="AB27" s="1538">
        <f>D27/H27</f>
        <v>1</v>
      </c>
      <c r="AC27" s="1538">
        <f>D27/J27</f>
        <v>1</v>
      </c>
    </row>
    <row r="28" spans="1:29" s="113" customFormat="1" ht="15">
      <c r="A28" s="605"/>
      <c r="B28" s="415"/>
      <c r="C28" s="2165" t="s">
        <v>3905</v>
      </c>
      <c r="D28" s="407"/>
      <c r="E28" s="2091" t="s">
        <v>3905</v>
      </c>
      <c r="F28" s="407"/>
      <c r="G28" s="2091" t="s">
        <v>3905</v>
      </c>
      <c r="H28" s="407"/>
      <c r="I28" s="2091" t="s">
        <v>3905</v>
      </c>
      <c r="J28" s="407"/>
      <c r="K28" s="628"/>
      <c r="L28" s="2943"/>
      <c r="M28" s="2944"/>
      <c r="N28" s="2944"/>
      <c r="O28" s="2998"/>
      <c r="P28" s="3994"/>
      <c r="Q28" s="1528"/>
      <c r="R28" s="710"/>
      <c r="S28" s="711"/>
      <c r="T28" s="710"/>
      <c r="U28" s="711"/>
      <c r="V28" s="710"/>
      <c r="W28" s="711"/>
      <c r="X28" s="712"/>
      <c r="Y28" s="3994"/>
      <c r="Z28" s="55"/>
      <c r="AA28" s="1538">
        <v>1</v>
      </c>
      <c r="AB28" s="1538">
        <v>1</v>
      </c>
      <c r="AC28" s="1538">
        <v>1</v>
      </c>
    </row>
    <row r="29" spans="1:29" s="113" customFormat="1" ht="15">
      <c r="A29" s="605"/>
      <c r="B29" s="1292" t="s">
        <v>2465</v>
      </c>
      <c r="C29" s="2087" t="str">
        <f>估价对象房地状况!C22</f>
        <v>七通</v>
      </c>
      <c r="D29" s="409">
        <v>100</v>
      </c>
      <c r="E29" s="411" t="s">
        <v>3907</v>
      </c>
      <c r="F29" s="409">
        <f>SUMIF(102:102,E30,103:103)-SUMIF(102:102,C30,103:103)+100</f>
        <v>100</v>
      </c>
      <c r="G29" s="411" t="s">
        <v>3907</v>
      </c>
      <c r="H29" s="409">
        <f>SUMIF(102:102,G30,103:103)-SUMIF(102:102,C30,103:103)+100</f>
        <v>100</v>
      </c>
      <c r="I29" s="411" t="s">
        <v>3907</v>
      </c>
      <c r="J29" s="409">
        <f>SUMIF(102:102,I30,103:103)-SUMIF(102:102,C30,103:103)+100</f>
        <v>100</v>
      </c>
      <c r="K29" s="629">
        <v>1</v>
      </c>
      <c r="L29" s="2943"/>
      <c r="M29" s="2944"/>
      <c r="N29" s="2944"/>
      <c r="O29" s="2998"/>
      <c r="P29" s="3994"/>
      <c r="Q29" s="1528" t="str">
        <f t="shared" ref="Q29" si="9">B29</f>
        <v>基础设施水平</v>
      </c>
      <c r="R29" s="710" t="s">
        <v>17</v>
      </c>
      <c r="S29" s="711">
        <f>F29</f>
        <v>100</v>
      </c>
      <c r="T29" s="710" t="s">
        <v>17</v>
      </c>
      <c r="U29" s="711">
        <f>H29</f>
        <v>100</v>
      </c>
      <c r="V29" s="710" t="s">
        <v>17</v>
      </c>
      <c r="W29" s="711">
        <f>J29</f>
        <v>100</v>
      </c>
      <c r="X29" s="712"/>
      <c r="Y29" s="3994"/>
      <c r="Z29" s="55" t="str">
        <f>Q29</f>
        <v>基础设施水平</v>
      </c>
      <c r="AA29" s="1538">
        <f>D29/F29</f>
        <v>1</v>
      </c>
      <c r="AB29" s="1538">
        <f>D29/H29</f>
        <v>1</v>
      </c>
      <c r="AC29" s="1538">
        <f>D29/J29</f>
        <v>1</v>
      </c>
    </row>
    <row r="30" spans="1:29" s="113" customFormat="1" ht="15">
      <c r="A30" s="605"/>
      <c r="B30" s="415"/>
      <c r="C30" s="2165" t="s">
        <v>3907</v>
      </c>
      <c r="D30" s="407"/>
      <c r="E30" s="2166" t="s">
        <v>3907</v>
      </c>
      <c r="F30" s="407"/>
      <c r="G30" s="2166" t="s">
        <v>3907</v>
      </c>
      <c r="H30" s="407"/>
      <c r="I30" s="2166" t="s">
        <v>3907</v>
      </c>
      <c r="J30" s="407"/>
      <c r="K30" s="628"/>
      <c r="L30" s="2943"/>
      <c r="M30" s="2944"/>
      <c r="N30" s="2944"/>
      <c r="O30" s="2998"/>
      <c r="P30" s="3994"/>
      <c r="Q30" s="1528"/>
      <c r="R30" s="710"/>
      <c r="S30" s="711"/>
      <c r="T30" s="710"/>
      <c r="U30" s="711"/>
      <c r="V30" s="710"/>
      <c r="W30" s="711"/>
      <c r="X30" s="712"/>
      <c r="Y30" s="3994"/>
      <c r="Z30" s="55"/>
      <c r="AA30" s="1538">
        <v>1</v>
      </c>
      <c r="AB30" s="1538">
        <v>1</v>
      </c>
      <c r="AC30" s="1538">
        <v>1</v>
      </c>
    </row>
    <row r="31" spans="1:29" ht="15">
      <c r="A31" s="387"/>
      <c r="B31" s="415" t="s">
        <v>2466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994"/>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994"/>
      <c r="Z31" s="1541" t="str">
        <f t="shared" ref="Z31:Z45" si="13">Q31</f>
        <v>临街状况</v>
      </c>
      <c r="AA31" s="1538">
        <f t="shared" si="3"/>
        <v>1</v>
      </c>
      <c r="AB31" s="1538">
        <f t="shared" si="4"/>
        <v>1</v>
      </c>
      <c r="AC31" s="1538">
        <f t="shared" si="5"/>
        <v>1</v>
      </c>
    </row>
    <row r="32" spans="1:29" ht="27">
      <c r="A32" s="387"/>
      <c r="B32" s="1292" t="s">
        <v>2501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994"/>
      <c r="Q32" s="1537" t="str">
        <f t="shared" si="8"/>
        <v>毗邻道路的类型与等级</v>
      </c>
      <c r="R32" s="714" t="s">
        <v>17</v>
      </c>
      <c r="S32" s="715">
        <f t="shared" si="10"/>
        <v>100</v>
      </c>
      <c r="T32" s="714" t="s">
        <v>17</v>
      </c>
      <c r="U32" s="715">
        <f t="shared" si="11"/>
        <v>100</v>
      </c>
      <c r="V32" s="714" t="s">
        <v>17</v>
      </c>
      <c r="W32" s="715">
        <f t="shared" si="12"/>
        <v>100</v>
      </c>
      <c r="X32" s="1540"/>
      <c r="Y32" s="3994"/>
      <c r="Z32" s="1541" t="str">
        <f t="shared" si="13"/>
        <v>毗邻道路的类型与等级</v>
      </c>
      <c r="AA32" s="1538">
        <f t="shared" si="3"/>
        <v>1</v>
      </c>
      <c r="AB32" s="1538">
        <f t="shared" si="4"/>
        <v>1</v>
      </c>
      <c r="AC32" s="1538">
        <f t="shared" si="5"/>
        <v>1</v>
      </c>
    </row>
    <row r="33" spans="1:29" ht="15.75" thickBot="1">
      <c r="A33" s="387"/>
      <c r="B33" s="415"/>
      <c r="C33" s="406"/>
      <c r="D33" s="407"/>
      <c r="E33" s="2091"/>
      <c r="F33" s="407"/>
      <c r="G33" s="2091"/>
      <c r="H33" s="407"/>
      <c r="I33" s="406"/>
      <c r="J33" s="407"/>
      <c r="K33" s="570"/>
      <c r="L33" s="2948"/>
      <c r="M33" s="2942"/>
      <c r="N33" s="2942"/>
      <c r="O33" s="3000"/>
      <c r="P33" s="3994"/>
      <c r="Q33" s="1537"/>
      <c r="R33" s="714"/>
      <c r="S33" s="715"/>
      <c r="T33" s="714"/>
      <c r="U33" s="715"/>
      <c r="V33" s="714"/>
      <c r="W33" s="715"/>
      <c r="X33" s="1540"/>
      <c r="Y33" s="3994"/>
      <c r="Z33" s="1541"/>
      <c r="AA33" s="1538">
        <v>1</v>
      </c>
      <c r="AB33" s="1538">
        <v>1</v>
      </c>
      <c r="AC33" s="1538">
        <v>1</v>
      </c>
    </row>
    <row r="34" spans="1:29" ht="15" hidden="1">
      <c r="A34" s="387"/>
      <c r="B34" s="381" t="s">
        <v>2560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994"/>
      <c r="Q34" s="1537" t="str">
        <f t="shared" si="8"/>
        <v>土地级别</v>
      </c>
      <c r="R34" s="714" t="s">
        <v>17</v>
      </c>
      <c r="S34" s="715">
        <f t="shared" si="10"/>
        <v>100</v>
      </c>
      <c r="T34" s="714" t="s">
        <v>17</v>
      </c>
      <c r="U34" s="715">
        <f t="shared" si="11"/>
        <v>100</v>
      </c>
      <c r="V34" s="714" t="s">
        <v>17</v>
      </c>
      <c r="W34" s="715">
        <f t="shared" si="12"/>
        <v>100</v>
      </c>
      <c r="X34" s="1540"/>
      <c r="Y34" s="3994"/>
      <c r="Z34" s="1541" t="str">
        <f t="shared" si="13"/>
        <v>土地级别</v>
      </c>
      <c r="AA34" s="1538">
        <f t="shared" si="3"/>
        <v>1</v>
      </c>
      <c r="AB34" s="1538">
        <f t="shared" si="4"/>
        <v>1</v>
      </c>
      <c r="AC34" s="1538">
        <f t="shared" si="5"/>
        <v>1</v>
      </c>
    </row>
    <row r="35" spans="1:29" ht="15" hidden="1">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994"/>
      <c r="Q35" s="1537">
        <f t="shared" si="8"/>
        <v>111</v>
      </c>
      <c r="R35" s="714" t="s">
        <v>17</v>
      </c>
      <c r="S35" s="715">
        <f t="shared" si="10"/>
        <v>100</v>
      </c>
      <c r="T35" s="714" t="s">
        <v>17</v>
      </c>
      <c r="U35" s="715">
        <f t="shared" si="11"/>
        <v>100</v>
      </c>
      <c r="V35" s="714" t="s">
        <v>17</v>
      </c>
      <c r="W35" s="715">
        <f t="shared" si="12"/>
        <v>100</v>
      </c>
      <c r="X35" s="1540"/>
      <c r="Y35" s="3994"/>
      <c r="Z35" s="1541">
        <f t="shared" si="13"/>
        <v>111</v>
      </c>
      <c r="AA35" s="1538">
        <f t="shared" si="3"/>
        <v>1</v>
      </c>
      <c r="AB35" s="1538">
        <f t="shared" si="4"/>
        <v>1</v>
      </c>
      <c r="AC35" s="1538">
        <f t="shared" si="5"/>
        <v>1</v>
      </c>
    </row>
    <row r="36" spans="1:29" ht="15" hidden="1">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995" t="s">
        <v>2375</v>
      </c>
      <c r="Q36" s="1537">
        <f t="shared" si="8"/>
        <v>111</v>
      </c>
      <c r="R36" s="714" t="s">
        <v>17</v>
      </c>
      <c r="S36" s="715">
        <f t="shared" si="10"/>
        <v>100</v>
      </c>
      <c r="T36" s="714" t="s">
        <v>17</v>
      </c>
      <c r="U36" s="715">
        <f t="shared" si="11"/>
        <v>100</v>
      </c>
      <c r="V36" s="714" t="s">
        <v>17</v>
      </c>
      <c r="W36" s="715">
        <f t="shared" si="12"/>
        <v>100</v>
      </c>
      <c r="X36" s="1540"/>
      <c r="Y36" s="3996" t="s">
        <v>2375</v>
      </c>
      <c r="Z36" s="1541">
        <f t="shared" si="13"/>
        <v>111</v>
      </c>
      <c r="AA36" s="1538">
        <f t="shared" si="3"/>
        <v>1</v>
      </c>
      <c r="AB36" s="1538">
        <f t="shared" si="4"/>
        <v>1</v>
      </c>
      <c r="AC36" s="1538">
        <f t="shared" si="5"/>
        <v>1</v>
      </c>
    </row>
    <row r="37" spans="1:29" s="430" customFormat="1" ht="15.75" hidden="1"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996"/>
      <c r="Q37" s="1537">
        <f t="shared" si="8"/>
        <v>111</v>
      </c>
      <c r="R37" s="717" t="s">
        <v>17</v>
      </c>
      <c r="S37" s="718">
        <f t="shared" si="10"/>
        <v>100</v>
      </c>
      <c r="T37" s="717" t="s">
        <v>17</v>
      </c>
      <c r="U37" s="718">
        <f t="shared" si="11"/>
        <v>100</v>
      </c>
      <c r="V37" s="717" t="s">
        <v>17</v>
      </c>
      <c r="W37" s="718">
        <f t="shared" si="12"/>
        <v>100</v>
      </c>
      <c r="X37" s="719"/>
      <c r="Y37" s="3996"/>
      <c r="Z37" s="720">
        <f t="shared" si="13"/>
        <v>111</v>
      </c>
      <c r="AA37" s="1538">
        <f t="shared" si="3"/>
        <v>1</v>
      </c>
      <c r="AB37" s="1538">
        <f t="shared" si="4"/>
        <v>1</v>
      </c>
      <c r="AC37" s="1538">
        <f t="shared" si="5"/>
        <v>1</v>
      </c>
    </row>
    <row r="38" spans="1:29" ht="15">
      <c r="A38" s="431" t="s">
        <v>2373</v>
      </c>
      <c r="B38" s="415" t="s">
        <v>2561</v>
      </c>
      <c r="C38" s="635">
        <f>指标!S14</f>
        <v>254442.35</v>
      </c>
      <c r="D38" s="426">
        <v>100</v>
      </c>
      <c r="E38" s="635">
        <f>土地案例!G2</f>
        <v>33448.92</v>
      </c>
      <c r="F38" s="426">
        <f>LOOKUP(E38,117:117,118:118)-LOOKUP(C38,117:117,118:118)+100</f>
        <v>97</v>
      </c>
      <c r="G38" s="635">
        <f>土地案例!G3</f>
        <v>40380.01</v>
      </c>
      <c r="H38" s="426">
        <f>LOOKUP(G38,117:117,118:118)-LOOKUP(C38,117:117,118:118)+100</f>
        <v>97</v>
      </c>
      <c r="I38" s="487">
        <f>土地案例!G4</f>
        <v>29121.71</v>
      </c>
      <c r="J38" s="426">
        <f>LOOKUP(I38,117:117,118:118)-LOOKUP(C38,117:117,118:118)+100</f>
        <v>97</v>
      </c>
      <c r="K38" s="570"/>
      <c r="L38" s="2948"/>
      <c r="M38" s="2942"/>
      <c r="N38" s="2942"/>
      <c r="O38" s="3000"/>
      <c r="P38" s="3996"/>
      <c r="Q38" s="1537" t="str">
        <f>B38</f>
        <v>宗地面积</v>
      </c>
      <c r="R38" s="714" t="s">
        <v>17</v>
      </c>
      <c r="S38" s="715">
        <f t="shared" si="10"/>
        <v>97</v>
      </c>
      <c r="T38" s="714" t="s">
        <v>17</v>
      </c>
      <c r="U38" s="715">
        <f t="shared" si="11"/>
        <v>97</v>
      </c>
      <c r="V38" s="714" t="s">
        <v>17</v>
      </c>
      <c r="W38" s="715">
        <f t="shared" si="12"/>
        <v>97</v>
      </c>
      <c r="X38" s="1540"/>
      <c r="Y38" s="3996"/>
      <c r="Z38" s="1541" t="str">
        <f t="shared" si="13"/>
        <v>宗地面积</v>
      </c>
      <c r="AA38" s="1538">
        <f t="shared" si="3"/>
        <v>1.0309278350515463</v>
      </c>
      <c r="AB38" s="1538">
        <f t="shared" si="4"/>
        <v>1.0309278350515463</v>
      </c>
      <c r="AC38" s="1538">
        <f t="shared" si="5"/>
        <v>1.0309278350515463</v>
      </c>
    </row>
    <row r="39" spans="1:29" ht="15">
      <c r="A39" s="431"/>
      <c r="B39" s="381" t="s">
        <v>2562</v>
      </c>
      <c r="C39" s="2093" t="s">
        <v>3916</v>
      </c>
      <c r="D39" s="394">
        <v>100</v>
      </c>
      <c r="E39" s="2093" t="s">
        <v>3916</v>
      </c>
      <c r="F39" s="394">
        <f>SUMIF(119:119,E39,120:120)-SUMIF(119:119,C39,120:120)+100</f>
        <v>100</v>
      </c>
      <c r="G39" s="2093" t="s">
        <v>3916</v>
      </c>
      <c r="H39" s="394">
        <f>SUMIF(119:119,G39,120:120)-SUMIF(119:119,C39,120:120)+100</f>
        <v>100</v>
      </c>
      <c r="I39" s="2093" t="s">
        <v>3916</v>
      </c>
      <c r="J39" s="394">
        <f>SUMIF(119:119,I39,120:120)-SUMIF(119:119,C39,120:120)+100</f>
        <v>100</v>
      </c>
      <c r="K39" s="569">
        <v>2</v>
      </c>
      <c r="L39" s="2948"/>
      <c r="M39" s="2942"/>
      <c r="N39" s="2942"/>
      <c r="O39" s="3000"/>
      <c r="P39" s="3996"/>
      <c r="Q39" s="1537" t="str">
        <f t="shared" ref="Q39:Q45" si="14">B39</f>
        <v>宗地形状</v>
      </c>
      <c r="R39" s="714" t="s">
        <v>17</v>
      </c>
      <c r="S39" s="715">
        <f t="shared" si="10"/>
        <v>100</v>
      </c>
      <c r="T39" s="714" t="s">
        <v>17</v>
      </c>
      <c r="U39" s="715">
        <f t="shared" si="11"/>
        <v>100</v>
      </c>
      <c r="V39" s="714" t="s">
        <v>17</v>
      </c>
      <c r="W39" s="715">
        <f t="shared" si="12"/>
        <v>100</v>
      </c>
      <c r="X39" s="1540"/>
      <c r="Y39" s="3996"/>
      <c r="Z39" s="1541" t="str">
        <f t="shared" si="13"/>
        <v>宗地形状</v>
      </c>
      <c r="AA39" s="1538">
        <f t="shared" si="3"/>
        <v>1</v>
      </c>
      <c r="AB39" s="1538">
        <f t="shared" si="4"/>
        <v>1</v>
      </c>
      <c r="AC39" s="1538">
        <f t="shared" si="5"/>
        <v>1</v>
      </c>
    </row>
    <row r="40" spans="1:29" ht="15">
      <c r="A40" s="431"/>
      <c r="B40" s="381" t="s">
        <v>2563</v>
      </c>
      <c r="C40" s="2093" t="s">
        <v>3922</v>
      </c>
      <c r="D40" s="394">
        <v>100</v>
      </c>
      <c r="E40" s="2093" t="s">
        <v>3922</v>
      </c>
      <c r="F40" s="394">
        <f>SUMIF(121:121,E40,122:122)-SUMIF(121:121,C40,122:122)+100</f>
        <v>100</v>
      </c>
      <c r="G40" s="2093" t="s">
        <v>3922</v>
      </c>
      <c r="H40" s="394">
        <f>SUMIF(121:121,G40,122:122)-SUMIF(121:121,C40,122:122)+100</f>
        <v>100</v>
      </c>
      <c r="I40" s="2093" t="s">
        <v>3922</v>
      </c>
      <c r="J40" s="394">
        <f>SUMIF(121:121,I40,122:122)-SUMIF(121:121,C40,122:122)+100</f>
        <v>100</v>
      </c>
      <c r="K40" s="569">
        <v>2</v>
      </c>
      <c r="L40" s="2948"/>
      <c r="M40" s="2942"/>
      <c r="N40" s="2942"/>
      <c r="O40" s="3000"/>
      <c r="P40" s="3996"/>
      <c r="Q40" s="1537" t="str">
        <f t="shared" si="14"/>
        <v>临街宽度及深度</v>
      </c>
      <c r="R40" s="714" t="s">
        <v>17</v>
      </c>
      <c r="S40" s="715">
        <f t="shared" si="10"/>
        <v>100</v>
      </c>
      <c r="T40" s="714" t="s">
        <v>17</v>
      </c>
      <c r="U40" s="715">
        <f t="shared" si="11"/>
        <v>100</v>
      </c>
      <c r="V40" s="714" t="s">
        <v>17</v>
      </c>
      <c r="W40" s="715">
        <f t="shared" si="12"/>
        <v>100</v>
      </c>
      <c r="X40" s="1540"/>
      <c r="Y40" s="3996"/>
      <c r="Z40" s="1541" t="str">
        <f t="shared" si="13"/>
        <v>临街宽度及深度</v>
      </c>
      <c r="AA40" s="1538">
        <f t="shared" si="3"/>
        <v>1</v>
      </c>
      <c r="AB40" s="1538">
        <f t="shared" si="4"/>
        <v>1</v>
      </c>
      <c r="AC40" s="1538">
        <f t="shared" si="5"/>
        <v>1</v>
      </c>
    </row>
    <row r="41" spans="1:29" s="113" customFormat="1" ht="15">
      <c r="A41" s="432"/>
      <c r="B41" s="381" t="s">
        <v>2564</v>
      </c>
      <c r="C41" s="2167" t="s">
        <v>3977</v>
      </c>
      <c r="D41" s="132">
        <v>100</v>
      </c>
      <c r="E41" s="2167" t="s">
        <v>3977</v>
      </c>
      <c r="F41" s="394">
        <f>SUMIF(123:123,E41,124:124)-SUMIF(123:123,C41,124:124)+100</f>
        <v>100</v>
      </c>
      <c r="G41" s="2167" t="s">
        <v>3977</v>
      </c>
      <c r="H41" s="394">
        <f>SUMIF(123:123,G41,124:124)-SUMIF(123:123,C41,124:124)+100</f>
        <v>100</v>
      </c>
      <c r="I41" s="2167" t="s">
        <v>3977</v>
      </c>
      <c r="J41" s="394">
        <f>SUMIF(123:123,I41,124:124)-SUMIF(123:123,C41,124:124)+100</f>
        <v>100</v>
      </c>
      <c r="K41" s="569">
        <v>1</v>
      </c>
      <c r="L41" s="2943"/>
      <c r="M41" s="2944"/>
      <c r="N41" s="2944"/>
      <c r="O41" s="2998"/>
      <c r="P41" s="3996"/>
      <c r="Q41" s="1537" t="str">
        <f t="shared" si="14"/>
        <v>宗地开发程度</v>
      </c>
      <c r="R41" s="710" t="s">
        <v>17</v>
      </c>
      <c r="S41" s="711">
        <f t="shared" si="10"/>
        <v>100</v>
      </c>
      <c r="T41" s="710" t="s">
        <v>17</v>
      </c>
      <c r="U41" s="711">
        <f t="shared" si="11"/>
        <v>100</v>
      </c>
      <c r="V41" s="710" t="s">
        <v>17</v>
      </c>
      <c r="W41" s="711">
        <f t="shared" si="12"/>
        <v>100</v>
      </c>
      <c r="X41" s="712"/>
      <c r="Y41" s="3996"/>
      <c r="Z41" s="55" t="str">
        <f t="shared" si="13"/>
        <v>宗地开发程度</v>
      </c>
      <c r="AA41" s="713">
        <f t="shared" si="3"/>
        <v>1</v>
      </c>
      <c r="AB41" s="713">
        <f t="shared" si="4"/>
        <v>1</v>
      </c>
      <c r="AC41" s="713">
        <f t="shared" si="5"/>
        <v>1</v>
      </c>
    </row>
    <row r="42" spans="1:29" ht="15.75" thickBot="1">
      <c r="A42" s="431"/>
      <c r="B42" s="381" t="s">
        <v>2565</v>
      </c>
      <c r="C42" s="2093" t="s">
        <v>3978</v>
      </c>
      <c r="D42" s="394">
        <v>100</v>
      </c>
      <c r="E42" s="2093" t="s">
        <v>3978</v>
      </c>
      <c r="F42" s="394">
        <f>SUMIF(125:125,E42,126:126)-SUMIF(125:125,C42,126:126)+100</f>
        <v>100</v>
      </c>
      <c r="G42" s="2093" t="s">
        <v>3978</v>
      </c>
      <c r="H42" s="394">
        <f>SUMIF(125:125,G42,126:126)-SUMIF(125:125,C42,126:126)+100</f>
        <v>100</v>
      </c>
      <c r="I42" s="2093" t="s">
        <v>3978</v>
      </c>
      <c r="J42" s="394">
        <f>SUMIF(125:125,I42,126:126)-SUMIF(125:125,C42,126:126)+100</f>
        <v>100</v>
      </c>
      <c r="K42" s="569">
        <v>2</v>
      </c>
      <c r="L42" s="2948"/>
      <c r="M42" s="2942"/>
      <c r="N42" s="2942"/>
      <c r="O42" s="3000"/>
      <c r="P42" s="3996" t="s">
        <v>2375</v>
      </c>
      <c r="Q42" s="1537" t="str">
        <f t="shared" si="14"/>
        <v>工程地质条件</v>
      </c>
      <c r="R42" s="714" t="s">
        <v>17</v>
      </c>
      <c r="S42" s="715">
        <f t="shared" si="10"/>
        <v>100</v>
      </c>
      <c r="T42" s="714" t="s">
        <v>17</v>
      </c>
      <c r="U42" s="715">
        <f t="shared" si="11"/>
        <v>100</v>
      </c>
      <c r="V42" s="714" t="s">
        <v>17</v>
      </c>
      <c r="W42" s="715">
        <f t="shared" si="12"/>
        <v>100</v>
      </c>
      <c r="X42" s="1540"/>
      <c r="Y42" s="3996" t="s">
        <v>2375</v>
      </c>
      <c r="Z42" s="1541" t="str">
        <f t="shared" si="13"/>
        <v>工程地质条件</v>
      </c>
      <c r="AA42" s="1538">
        <f t="shared" si="3"/>
        <v>1</v>
      </c>
      <c r="AB42" s="1538">
        <f t="shared" si="4"/>
        <v>1</v>
      </c>
      <c r="AC42" s="1538">
        <f t="shared" si="5"/>
        <v>1</v>
      </c>
    </row>
    <row r="43" spans="1:29" ht="15" hidden="1">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996"/>
      <c r="Q43" s="1537">
        <f t="shared" si="14"/>
        <v>111</v>
      </c>
      <c r="R43" s="714" t="s">
        <v>17</v>
      </c>
      <c r="S43" s="715">
        <f t="shared" si="10"/>
        <v>100</v>
      </c>
      <c r="T43" s="714" t="s">
        <v>17</v>
      </c>
      <c r="U43" s="715">
        <f t="shared" si="11"/>
        <v>100</v>
      </c>
      <c r="V43" s="714" t="s">
        <v>17</v>
      </c>
      <c r="W43" s="715">
        <f t="shared" si="12"/>
        <v>100</v>
      </c>
      <c r="X43" s="1540"/>
      <c r="Y43" s="3996"/>
      <c r="Z43" s="1541">
        <f t="shared" si="13"/>
        <v>111</v>
      </c>
      <c r="AA43" s="1538">
        <f t="shared" si="3"/>
        <v>1</v>
      </c>
      <c r="AB43" s="1538">
        <f t="shared" si="4"/>
        <v>1</v>
      </c>
      <c r="AC43" s="1538">
        <f t="shared" si="5"/>
        <v>1</v>
      </c>
    </row>
    <row r="44" spans="1:29" ht="15" hidden="1">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996"/>
      <c r="Q44" s="1537">
        <f t="shared" si="14"/>
        <v>111</v>
      </c>
      <c r="R44" s="714" t="s">
        <v>17</v>
      </c>
      <c r="S44" s="715">
        <f t="shared" si="10"/>
        <v>100</v>
      </c>
      <c r="T44" s="714" t="s">
        <v>17</v>
      </c>
      <c r="U44" s="715">
        <f t="shared" si="11"/>
        <v>100</v>
      </c>
      <c r="V44" s="714" t="s">
        <v>17</v>
      </c>
      <c r="W44" s="715">
        <f t="shared" si="12"/>
        <v>100</v>
      </c>
      <c r="X44" s="1540"/>
      <c r="Y44" s="3996"/>
      <c r="Z44" s="1541">
        <f t="shared" si="13"/>
        <v>111</v>
      </c>
      <c r="AA44" s="1538">
        <f t="shared" si="3"/>
        <v>1</v>
      </c>
      <c r="AB44" s="1538">
        <f t="shared" si="4"/>
        <v>1</v>
      </c>
      <c r="AC44" s="1538">
        <f t="shared" si="5"/>
        <v>1</v>
      </c>
    </row>
    <row r="45" spans="1:29" s="430" customFormat="1" ht="15.75" hidden="1"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996"/>
      <c r="Q45" s="1537">
        <f t="shared" si="14"/>
        <v>111</v>
      </c>
      <c r="R45" s="717" t="s">
        <v>17</v>
      </c>
      <c r="S45" s="718">
        <f t="shared" si="10"/>
        <v>100</v>
      </c>
      <c r="T45" s="717" t="s">
        <v>17</v>
      </c>
      <c r="U45" s="718">
        <f t="shared" si="11"/>
        <v>100</v>
      </c>
      <c r="V45" s="717" t="s">
        <v>17</v>
      </c>
      <c r="W45" s="718">
        <f t="shared" si="12"/>
        <v>100</v>
      </c>
      <c r="X45" s="719"/>
      <c r="Y45" s="3996"/>
      <c r="Z45" s="720">
        <f t="shared" si="13"/>
        <v>111</v>
      </c>
      <c r="AA45" s="1538">
        <f t="shared" si="3"/>
        <v>1</v>
      </c>
      <c r="AB45" s="1538">
        <f t="shared" si="4"/>
        <v>1</v>
      </c>
      <c r="AC45" s="1538">
        <f t="shared" si="5"/>
        <v>1</v>
      </c>
    </row>
    <row r="46" spans="1:29" ht="15">
      <c r="A46" s="438" t="s">
        <v>2530</v>
      </c>
      <c r="B46" s="2169" t="s">
        <v>2566</v>
      </c>
      <c r="C46" s="638" t="s">
        <v>1</v>
      </c>
      <c r="D46" s="440"/>
      <c r="E46" s="441">
        <f>ROUND(土地案例!O2,0)</f>
        <v>1973</v>
      </c>
      <c r="F46" s="442"/>
      <c r="G46" s="443">
        <f>ROUND(土地案例!O3,0)</f>
        <v>2176</v>
      </c>
      <c r="H46" s="444"/>
      <c r="I46" s="441">
        <f>ROUND(土地案例!O4,0)</f>
        <v>2160</v>
      </c>
      <c r="J46" s="444"/>
      <c r="K46" s="723"/>
      <c r="L46" s="2950"/>
      <c r="M46" s="2951"/>
      <c r="N46" s="2942"/>
      <c r="O46" s="2951"/>
      <c r="P46" s="3978" t="str">
        <f>A46</f>
        <v>成交单价</v>
      </c>
      <c r="Q46" s="3978"/>
      <c r="R46" s="3991">
        <f>E46</f>
        <v>1973</v>
      </c>
      <c r="S46" s="3991"/>
      <c r="T46" s="3991">
        <f>G46</f>
        <v>2176</v>
      </c>
      <c r="U46" s="3991"/>
      <c r="V46" s="3991">
        <f>I46</f>
        <v>2160</v>
      </c>
      <c r="W46" s="3991"/>
      <c r="X46" s="699"/>
      <c r="Y46" s="721"/>
      <c r="Z46" s="699"/>
      <c r="AA46" s="699"/>
      <c r="AB46" s="699"/>
      <c r="AC46" s="699"/>
    </row>
    <row r="47" spans="1:29" ht="15.75" thickBot="1">
      <c r="A47" s="445" t="s">
        <v>2479</v>
      </c>
      <c r="B47" s="639"/>
      <c r="C47" s="448">
        <f>R48</f>
        <v>2085</v>
      </c>
      <c r="D47" s="2539" t="s">
        <v>2870</v>
      </c>
      <c r="E47" s="448">
        <f>R47</f>
        <v>1956</v>
      </c>
      <c r="F47" s="2540"/>
      <c r="G47" s="447">
        <f>T47</f>
        <v>2157</v>
      </c>
      <c r="H47" s="2540"/>
      <c r="I47" s="448">
        <f>V47</f>
        <v>2141</v>
      </c>
      <c r="J47" s="2540"/>
      <c r="K47" s="2542">
        <f>F47+H47+J47</f>
        <v>0</v>
      </c>
      <c r="L47" s="2950"/>
      <c r="M47" s="2951"/>
      <c r="N47" s="2951"/>
      <c r="O47" s="2951"/>
      <c r="P47" s="3978" t="str">
        <f>A47</f>
        <v>比较价值（元/平方米）</v>
      </c>
      <c r="Q47" s="3978"/>
      <c r="R47" s="3997">
        <f>ROUND(PRODUCT(R46,AA7:AA45),0)</f>
        <v>1956</v>
      </c>
      <c r="S47" s="3997"/>
      <c r="T47" s="3997">
        <f>ROUND(PRODUCT(T46,AB7:AB45),0)</f>
        <v>2157</v>
      </c>
      <c r="U47" s="3997"/>
      <c r="V47" s="3997">
        <f>ROUND(PRODUCT(V46,AC7:AC45),0)</f>
        <v>2141</v>
      </c>
      <c r="W47" s="3997"/>
      <c r="X47" s="699"/>
      <c r="Y47" s="699"/>
      <c r="Z47" s="699"/>
      <c r="AA47" s="699"/>
      <c r="AB47" s="699"/>
      <c r="AC47" s="699"/>
    </row>
    <row r="48" spans="1:29" ht="15.75" thickBot="1">
      <c r="A48" s="449" t="s">
        <v>2567</v>
      </c>
      <c r="B48" s="450"/>
      <c r="C48" s="451">
        <f>R48</f>
        <v>2085</v>
      </c>
      <c r="D48" s="451"/>
      <c r="E48" s="451"/>
      <c r="F48" s="451"/>
      <c r="G48" s="451"/>
      <c r="H48" s="451"/>
      <c r="I48" s="451"/>
      <c r="J48" s="451"/>
      <c r="K48" s="724"/>
      <c r="L48" s="2950"/>
      <c r="M48" s="2951"/>
      <c r="N48" s="2951"/>
      <c r="O48" s="2951"/>
      <c r="P48" s="3998" t="str">
        <f>A48</f>
        <v>估价对象XX用房的比较价值（楼面单价，元/平方米）</v>
      </c>
      <c r="Q48" s="3999"/>
      <c r="R48" s="4000">
        <f>ROUND(IF(D47="简单平均",AVERAGE(R47:W47),R47*F47+T47*H47+V47*J47),0)</f>
        <v>2085</v>
      </c>
      <c r="S48" s="4000"/>
      <c r="T48" s="4000"/>
      <c r="U48" s="4000"/>
      <c r="V48" s="4000"/>
      <c r="W48" s="4000"/>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2481</v>
      </c>
      <c r="D51" s="455"/>
      <c r="E51" s="456">
        <f>IF(E46&lt;E47,E47/E46-1,E46/E47-1)</f>
        <v>8.691206543967267E-3</v>
      </c>
      <c r="F51" s="457" t="str">
        <f>IF(OR(E51&gt;=0.3,E51&lt;=-0.3),"超过30%","")</f>
        <v/>
      </c>
      <c r="G51" s="456">
        <f>IF(G46&lt;G47,G47/G46-1,G46/G47-1)</f>
        <v>8.8085303662495118E-3</v>
      </c>
      <c r="H51" s="457" t="str">
        <f>IF(OR(G51&gt;=0.3,G51&lt;=-0.3),"超过30%","")</f>
        <v/>
      </c>
      <c r="I51" s="456">
        <f>IF(I46&lt;I47,I47/I46-1,I46/I47-1)</f>
        <v>8.8743577767398385E-3</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2482</v>
      </c>
      <c r="D52" s="458"/>
      <c r="E52" s="456">
        <f>IF(E47&lt;G47,G47/E47-1,E47/G47-1)</f>
        <v>0.10276073619631898</v>
      </c>
      <c r="F52" s="457" t="str">
        <f>IF(OR(E52&gt;=0.2,E52&lt;=-0.2),"超过20%","")</f>
        <v/>
      </c>
      <c r="G52" s="456">
        <f>IF(G47&lt;I47,I47/G47-1,G47/I47-1)</f>
        <v>7.4731433909387412E-3</v>
      </c>
      <c r="H52" s="457" t="str">
        <f>IF(OR(G52&gt;=0.2,G52&lt;=-0.2),"超过20%","")</f>
        <v/>
      </c>
      <c r="I52" s="456">
        <f>IF(I47&lt;E47,E47/I47-1,I47/E47-1)</f>
        <v>9.4580777096114454E-2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2483</v>
      </c>
      <c r="D53" s="458"/>
      <c r="E53" s="456">
        <f>IF(E46&lt;G46,G46/E46-1,E46/G46-1)</f>
        <v>0.10288900152052705</v>
      </c>
      <c r="F53" s="457" t="str">
        <f>IF(OR(E53&gt;=0.3,E53&lt;=-0.3),"超过30%","")</f>
        <v/>
      </c>
      <c r="G53" s="456">
        <f>IF(G46&lt;I46,I46/G46-1,G46/I46-1)</f>
        <v>7.4074074074073071E-3</v>
      </c>
      <c r="H53" s="457" t="str">
        <f>IF(OR(G53&gt;=0.3,G53&lt;=-0.3),"超过30%","")</f>
        <v/>
      </c>
      <c r="I53" s="456">
        <f>IF(I46&lt;E46,E46/I46-1,I46/E46-1)</f>
        <v>9.4779523568170321E-2</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2568</v>
      </c>
      <c r="B55" s="641" t="s">
        <v>2569</v>
      </c>
      <c r="C55" s="2170" t="s">
        <v>2570</v>
      </c>
      <c r="D55" s="2171" t="s">
        <v>2571</v>
      </c>
      <c r="E55" s="642" t="s">
        <v>2572</v>
      </c>
      <c r="F55" s="1020" t="s">
        <v>2573</v>
      </c>
      <c r="G55" s="3979" t="s">
        <v>2574</v>
      </c>
      <c r="H55" s="4001"/>
      <c r="I55" s="140" t="s">
        <v>2575</v>
      </c>
      <c r="J55" s="2172" t="str">
        <f>项目基本情况!F35</f>
        <v>河北省</v>
      </c>
      <c r="K55" s="2173" t="s">
        <v>2576</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2577</v>
      </c>
      <c r="B56" s="645">
        <f>C48</f>
        <v>2085</v>
      </c>
      <c r="C56" s="646">
        <v>1</v>
      </c>
      <c r="D56" s="1074">
        <v>1</v>
      </c>
      <c r="E56" s="646">
        <f>'数据-汇总表'!E8+'数据-汇总表'!E9</f>
        <v>526703.53999999992</v>
      </c>
      <c r="F56" s="1016">
        <f t="shared" ref="F56:F65" si="15">ROUND(B56*E56/10000,0)</f>
        <v>109818</v>
      </c>
      <c r="G56" s="4002"/>
      <c r="H56" s="3978"/>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2578</v>
      </c>
      <c r="B57" s="224">
        <f>ROUND($C$48*C57*D57,0)</f>
        <v>0</v>
      </c>
      <c r="C57" s="176">
        <f t="shared" ref="C57:C65" si="16">IF($C$55="北京市系数",I57,J57)</f>
        <v>0</v>
      </c>
      <c r="D57" s="1075">
        <v>0.25</v>
      </c>
      <c r="E57" s="650"/>
      <c r="F57" s="1016">
        <f t="shared" si="15"/>
        <v>0</v>
      </c>
      <c r="G57" s="4003" t="s">
        <v>2579</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2580</v>
      </c>
      <c r="B58" s="224">
        <f t="shared" ref="B58:B65" si="17">ROUND($C$48*C58*D58,0)</f>
        <v>0</v>
      </c>
      <c r="C58" s="176">
        <f t="shared" si="16"/>
        <v>0</v>
      </c>
      <c r="D58" s="1075">
        <v>0.25</v>
      </c>
      <c r="E58" s="650"/>
      <c r="F58" s="1016">
        <f t="shared" si="15"/>
        <v>0</v>
      </c>
      <c r="G58" s="4003"/>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2581</v>
      </c>
      <c r="B59" s="224">
        <f t="shared" si="17"/>
        <v>0</v>
      </c>
      <c r="C59" s="176">
        <f t="shared" si="16"/>
        <v>0</v>
      </c>
      <c r="D59" s="1075">
        <v>0.25</v>
      </c>
      <c r="E59" s="650"/>
      <c r="F59" s="1016">
        <f t="shared" si="15"/>
        <v>0</v>
      </c>
      <c r="G59" s="4003"/>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2582</v>
      </c>
      <c r="B60" s="224">
        <f t="shared" si="17"/>
        <v>0</v>
      </c>
      <c r="C60" s="176">
        <f t="shared" si="16"/>
        <v>0</v>
      </c>
      <c r="D60" s="1075">
        <v>0.25</v>
      </c>
      <c r="E60" s="650"/>
      <c r="F60" s="1016">
        <f t="shared" si="15"/>
        <v>0</v>
      </c>
      <c r="G60" s="4003"/>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2583</v>
      </c>
      <c r="B61" s="224">
        <f t="shared" si="17"/>
        <v>0</v>
      </c>
      <c r="C61" s="176">
        <f t="shared" si="16"/>
        <v>0</v>
      </c>
      <c r="D61" s="1075">
        <v>0.25</v>
      </c>
      <c r="E61" s="223">
        <f>'数据-汇总表'!E11</f>
        <v>0</v>
      </c>
      <c r="F61" s="1016">
        <f t="shared" si="15"/>
        <v>0</v>
      </c>
      <c r="G61" s="2174" t="s">
        <v>2584</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2585</v>
      </c>
      <c r="B62" s="224">
        <f t="shared" si="17"/>
        <v>0</v>
      </c>
      <c r="C62" s="176">
        <f t="shared" si="16"/>
        <v>0</v>
      </c>
      <c r="D62" s="1075">
        <v>0.25</v>
      </c>
      <c r="E62" s="223">
        <f>'数据-汇总表'!E12</f>
        <v>31222.400000000001</v>
      </c>
      <c r="F62" s="1016">
        <f t="shared" si="15"/>
        <v>0</v>
      </c>
      <c r="G62" s="1022" t="s">
        <v>2586</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2587</v>
      </c>
      <c r="B63" s="224">
        <f t="shared" si="17"/>
        <v>0</v>
      </c>
      <c r="C63" s="176">
        <f t="shared" si="16"/>
        <v>0</v>
      </c>
      <c r="D63" s="1075">
        <v>0.25</v>
      </c>
      <c r="E63" s="223">
        <f>'数据-汇总表'!E13</f>
        <v>151491.65</v>
      </c>
      <c r="F63" s="1016">
        <f t="shared" si="15"/>
        <v>0</v>
      </c>
      <c r="G63" s="1022" t="s">
        <v>2588</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2589</v>
      </c>
      <c r="B64" s="224">
        <f t="shared" si="17"/>
        <v>0</v>
      </c>
      <c r="C64" s="176">
        <f t="shared" si="16"/>
        <v>0</v>
      </c>
      <c r="D64" s="1075">
        <v>0.25</v>
      </c>
      <c r="E64" s="223">
        <f>'数据-汇总表'!E14</f>
        <v>0</v>
      </c>
      <c r="F64" s="1016">
        <f t="shared" si="15"/>
        <v>0</v>
      </c>
      <c r="G64" s="2174" t="s">
        <v>2579</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2590</v>
      </c>
      <c r="B65" s="224">
        <f t="shared" si="17"/>
        <v>0</v>
      </c>
      <c r="C65" s="176">
        <f t="shared" si="16"/>
        <v>0</v>
      </c>
      <c r="D65" s="1075">
        <v>0.25</v>
      </c>
      <c r="E65" s="223">
        <f>'数据-汇总表'!E15</f>
        <v>0</v>
      </c>
      <c r="F65" s="1016">
        <f t="shared" si="15"/>
        <v>0</v>
      </c>
      <c r="G65" s="2175" t="s">
        <v>2584</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2591</v>
      </c>
      <c r="B66" s="652" t="s">
        <v>28</v>
      </c>
      <c r="C66" s="652" t="s">
        <v>29</v>
      </c>
      <c r="D66" s="652" t="s">
        <v>997</v>
      </c>
      <c r="E66" s="652">
        <f>IF(B46="楼面地价",SUM(E56:E65),'数据-汇总表'!D3)</f>
        <v>709417.59</v>
      </c>
      <c r="F66" s="653">
        <f>IF(B46="楼面地价",SUM(F56:F65),ROUND(C48*E66/10000,0))</f>
        <v>109818</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1"/>
      <c r="Q68" s="2951"/>
      <c r="R68" s="2951"/>
      <c r="S68" s="2951"/>
      <c r="T68" s="2951"/>
      <c r="U68" s="2951"/>
      <c r="V68" s="2951"/>
      <c r="W68" s="2951"/>
      <c r="X68" s="2951"/>
      <c r="Y68" s="2951"/>
      <c r="Z68" s="2951"/>
      <c r="AA68" s="2951"/>
      <c r="AB68" s="2951"/>
      <c r="AC68" s="2951"/>
    </row>
    <row r="69" spans="1:29" ht="21.75" thickBot="1">
      <c r="A69" s="703" t="s">
        <v>2484</v>
      </c>
      <c r="B69" s="699"/>
      <c r="C69" s="704"/>
      <c r="D69" s="704"/>
      <c r="E69" s="704"/>
      <c r="F69" s="705"/>
      <c r="G69" s="705"/>
      <c r="H69" s="704"/>
      <c r="I69" s="704"/>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5" customFormat="1" ht="15">
      <c r="A70" s="2176" t="s">
        <v>2592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2"/>
      <c r="Q70" s="2967"/>
      <c r="R70" s="2967"/>
      <c r="S70" s="2967"/>
      <c r="T70" s="2967"/>
      <c r="U70" s="2967"/>
      <c r="V70" s="2967"/>
      <c r="W70" s="2967"/>
      <c r="X70" s="2967"/>
      <c r="Y70" s="2967"/>
      <c r="Z70" s="2967"/>
      <c r="AA70" s="2967"/>
      <c r="AB70" s="2967"/>
      <c r="AC70" s="2967"/>
    </row>
    <row r="71" spans="1:29" s="113" customFormat="1" ht="30" customHeight="1">
      <c r="A71" s="2177" t="s">
        <v>2593</v>
      </c>
      <c r="B71" s="294" t="str">
        <f>"北京市平均增长率"&amp;TEXT(SUMIF(基准地价修正!N21:N25,A71,基准地价修正!P21:P25),"0.00%")</f>
        <v>北京市平均增长率1.92%</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0"/>
      <c r="P71" s="2965"/>
      <c r="Q71" s="2886"/>
      <c r="R71" s="2886"/>
      <c r="S71" s="2886"/>
      <c r="T71" s="2886"/>
      <c r="U71" s="2886"/>
      <c r="V71" s="2886"/>
      <c r="W71" s="2886"/>
      <c r="X71" s="2886"/>
      <c r="Y71" s="2886"/>
      <c r="Z71" s="2886"/>
      <c r="AA71" s="2886"/>
      <c r="AB71" s="2886"/>
      <c r="AC71" s="2886"/>
    </row>
    <row r="72" spans="1:29" s="113" customFormat="1" ht="15.75" thickBot="1">
      <c r="A72" s="472" t="s">
        <v>2395</v>
      </c>
      <c r="B72" s="473"/>
      <c r="C72" s="474"/>
      <c r="D72" s="475"/>
      <c r="E72" s="475"/>
      <c r="F72" s="475"/>
      <c r="G72" s="475"/>
      <c r="H72" s="475"/>
      <c r="I72" s="475"/>
      <c r="J72" s="475"/>
      <c r="K72" s="475"/>
      <c r="L72" s="475"/>
      <c r="M72" s="476"/>
      <c r="N72" s="475"/>
      <c r="O72" s="1073"/>
      <c r="P72" s="2965"/>
      <c r="Q72" s="2965"/>
      <c r="R72" s="2886"/>
      <c r="S72" s="2886"/>
      <c r="T72" s="2886"/>
      <c r="U72" s="2886"/>
      <c r="V72" s="2886"/>
      <c r="W72" s="2886"/>
      <c r="X72" s="2886"/>
      <c r="Y72" s="2886"/>
      <c r="Z72" s="2886"/>
      <c r="AA72" s="2886"/>
      <c r="AB72" s="2886"/>
      <c r="AC72" s="2886"/>
    </row>
    <row r="73" spans="1:29" s="113" customFormat="1" ht="15">
      <c r="A73" s="478" t="s">
        <v>2360</v>
      </c>
      <c r="B73" s="467"/>
      <c r="C73" s="479" t="s">
        <v>2462</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2398</v>
      </c>
      <c r="B75" s="485" t="s">
        <v>2364</v>
      </c>
      <c r="C75" s="3488" t="s">
        <v>3912</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2367</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2368</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v>4</v>
      </c>
      <c r="H80" s="506">
        <v>5</v>
      </c>
      <c r="I80" s="506">
        <v>6</v>
      </c>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3489" t="s">
        <v>3913</v>
      </c>
      <c r="D82" s="3489" t="s">
        <v>3914</v>
      </c>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v>100</v>
      </c>
      <c r="D83" s="493">
        <v>110</v>
      </c>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hidden="1"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hidden="1"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hidden="1"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hidden="1"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ht="15" thickTop="1">
      <c r="A88" s="484" t="s">
        <v>2369</v>
      </c>
      <c r="B88" s="485" t="s">
        <v>2406</v>
      </c>
      <c r="C88" s="530" t="s">
        <v>2407</v>
      </c>
      <c r="D88" s="530" t="s">
        <v>2408</v>
      </c>
      <c r="E88" s="530" t="s">
        <v>2409</v>
      </c>
      <c r="F88" s="530" t="s">
        <v>2410</v>
      </c>
      <c r="G88" s="530" t="s">
        <v>2411</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98</v>
      </c>
      <c r="E89" s="501">
        <f>D89-$K15</f>
        <v>96</v>
      </c>
      <c r="F89" s="501">
        <f>E89-$K15</f>
        <v>94</v>
      </c>
      <c r="G89" s="501">
        <f>F89-$K15</f>
        <v>92</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2594</v>
      </c>
      <c r="C90" s="535" t="s">
        <v>2407</v>
      </c>
      <c r="D90" s="535" t="s">
        <v>2408</v>
      </c>
      <c r="E90" s="535" t="s">
        <v>2409</v>
      </c>
      <c r="F90" s="535" t="s">
        <v>2410</v>
      </c>
      <c r="G90" s="535" t="s">
        <v>2411</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2507</v>
      </c>
      <c r="C92" s="535" t="s">
        <v>2407</v>
      </c>
      <c r="D92" s="535" t="s">
        <v>2408</v>
      </c>
      <c r="E92" s="535" t="s">
        <v>2409</v>
      </c>
      <c r="F92" s="535" t="s">
        <v>2410</v>
      </c>
      <c r="G92" s="535" t="s">
        <v>2411</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2412</v>
      </c>
      <c r="C94" s="535" t="s">
        <v>2407</v>
      </c>
      <c r="D94" s="535" t="s">
        <v>2408</v>
      </c>
      <c r="E94" s="535" t="s">
        <v>2409</v>
      </c>
      <c r="F94" s="535" t="s">
        <v>2410</v>
      </c>
      <c r="G94" s="535" t="s">
        <v>2411</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98</v>
      </c>
      <c r="E95" s="501">
        <f>D95-$K21</f>
        <v>96</v>
      </c>
      <c r="F95" s="501">
        <f>E95-$K21</f>
        <v>94</v>
      </c>
      <c r="G95" s="501">
        <f>F95-$K21</f>
        <v>92</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2595</v>
      </c>
      <c r="C96" s="535" t="s">
        <v>2407</v>
      </c>
      <c r="D96" s="535" t="s">
        <v>2408</v>
      </c>
      <c r="E96" s="535" t="s">
        <v>2409</v>
      </c>
      <c r="F96" s="535" t="s">
        <v>2410</v>
      </c>
      <c r="G96" s="535" t="s">
        <v>2411</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2596</v>
      </c>
      <c r="C98" s="530" t="s">
        <v>2407</v>
      </c>
      <c r="D98" s="530" t="s">
        <v>2408</v>
      </c>
      <c r="E98" s="530" t="s">
        <v>2409</v>
      </c>
      <c r="F98" s="530" t="s">
        <v>2410</v>
      </c>
      <c r="G98" s="530" t="s">
        <v>2411</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2464</v>
      </c>
      <c r="C100" s="530" t="s">
        <v>2407</v>
      </c>
      <c r="D100" s="530" t="s">
        <v>2408</v>
      </c>
      <c r="E100" s="530" t="s">
        <v>2409</v>
      </c>
      <c r="F100" s="530" t="s">
        <v>2410</v>
      </c>
      <c r="G100" s="530" t="s">
        <v>2411</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2465</v>
      </c>
      <c r="C102" s="616" t="s">
        <v>2485</v>
      </c>
      <c r="D102" s="616" t="s">
        <v>2486</v>
      </c>
      <c r="E102" s="616" t="s">
        <v>2487</v>
      </c>
      <c r="F102" s="616" t="s">
        <v>2488</v>
      </c>
      <c r="G102" s="616" t="s">
        <v>2489</v>
      </c>
      <c r="H102" s="557"/>
      <c r="I102" s="557"/>
      <c r="J102" s="557"/>
      <c r="K102" s="557"/>
      <c r="L102" s="557"/>
      <c r="M102" s="1293"/>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2597</v>
      </c>
      <c r="D104" s="496" t="s">
        <v>2598</v>
      </c>
      <c r="E104" s="496" t="s">
        <v>2599</v>
      </c>
      <c r="F104" s="496" t="s">
        <v>2600</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2501</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2560</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5">
      <c r="A116" s="484" t="s">
        <v>2373</v>
      </c>
      <c r="B116" s="485" t="s">
        <v>2601</v>
      </c>
      <c r="C116" s="486" t="str">
        <f>C117&amp;"(含)"&amp;"-"&amp;D117</f>
        <v>0(含)-10000</v>
      </c>
      <c r="D116" s="486" t="str">
        <f t="shared" ref="D116:M116" si="26">D117&amp;"(含)"&amp;"-"&amp;E117</f>
        <v>10000(含)-50000</v>
      </c>
      <c r="E116" s="486" t="str">
        <f t="shared" si="26"/>
        <v>50000(含)-100000</v>
      </c>
      <c r="F116" s="486" t="str">
        <f t="shared" si="26"/>
        <v>100000(含)-200000</v>
      </c>
      <c r="G116" s="486" t="str">
        <f t="shared" si="26"/>
        <v>200000(含)-300000</v>
      </c>
      <c r="H116" s="486" t="str">
        <f t="shared" si="26"/>
        <v>300000(含)-400000</v>
      </c>
      <c r="I116" s="486" t="str">
        <f t="shared" si="26"/>
        <v>400000(含)-500000</v>
      </c>
      <c r="J116" s="486" t="str">
        <f t="shared" si="26"/>
        <v>500000(含)-1000000</v>
      </c>
      <c r="K116" s="486" t="str">
        <f t="shared" si="26"/>
        <v>1000000(含)-2000000</v>
      </c>
      <c r="L116" s="486" t="str">
        <f t="shared" si="26"/>
        <v>2000000(含)-5000000</v>
      </c>
      <c r="M116" s="486" t="str">
        <f t="shared" si="26"/>
        <v>5000000(含)-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v>10000</v>
      </c>
      <c r="E117" s="552">
        <v>50000</v>
      </c>
      <c r="F117" s="552">
        <v>100000</v>
      </c>
      <c r="G117" s="552">
        <v>200000</v>
      </c>
      <c r="H117" s="552">
        <v>300000</v>
      </c>
      <c r="I117" s="552">
        <v>400000</v>
      </c>
      <c r="J117" s="553">
        <v>500000</v>
      </c>
      <c r="K117" s="553">
        <v>1000000</v>
      </c>
      <c r="L117" s="554">
        <v>2000000</v>
      </c>
      <c r="M117" s="555">
        <v>5000000</v>
      </c>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v>100</v>
      </c>
      <c r="D118" s="548">
        <f>C118+1</f>
        <v>101</v>
      </c>
      <c r="E118" s="548">
        <f t="shared" ref="E118:L118" si="27">D118+1</f>
        <v>102</v>
      </c>
      <c r="F118" s="548">
        <f t="shared" si="27"/>
        <v>103</v>
      </c>
      <c r="G118" s="548">
        <f t="shared" si="27"/>
        <v>104</v>
      </c>
      <c r="H118" s="548">
        <f t="shared" si="27"/>
        <v>105</v>
      </c>
      <c r="I118" s="548">
        <f t="shared" si="27"/>
        <v>106</v>
      </c>
      <c r="J118" s="548">
        <f t="shared" si="27"/>
        <v>107</v>
      </c>
      <c r="K118" s="548">
        <f t="shared" si="27"/>
        <v>108</v>
      </c>
      <c r="L118" s="548">
        <f t="shared" si="27"/>
        <v>109</v>
      </c>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2602</v>
      </c>
      <c r="C119" s="3490" t="s">
        <v>3915</v>
      </c>
      <c r="D119" s="3490" t="s">
        <v>3917</v>
      </c>
      <c r="E119" s="3490" t="s">
        <v>3918</v>
      </c>
      <c r="F119" s="3490" t="s">
        <v>3919</v>
      </c>
      <c r="G119" s="3490" t="s">
        <v>3920</v>
      </c>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2603</v>
      </c>
      <c r="C121" s="3489" t="s">
        <v>3921</v>
      </c>
      <c r="D121" s="3489" t="s">
        <v>3923</v>
      </c>
      <c r="E121" s="3489" t="s">
        <v>3918</v>
      </c>
      <c r="F121" s="3490" t="s">
        <v>3924</v>
      </c>
      <c r="G121" s="3490" t="s">
        <v>3925</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2604</v>
      </c>
      <c r="C123" s="511" t="str">
        <f>C102</f>
        <v>七通</v>
      </c>
      <c r="D123" s="511" t="str">
        <f>D102</f>
        <v>六通</v>
      </c>
      <c r="E123" s="511" t="str">
        <f>E102</f>
        <v>五通</v>
      </c>
      <c r="F123" s="511" t="str">
        <f>F102</f>
        <v>四通</v>
      </c>
      <c r="G123" s="511" t="str">
        <f>G102</f>
        <v>三通</v>
      </c>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2605</v>
      </c>
      <c r="C125" s="511" t="str">
        <f>C100</f>
        <v>好</v>
      </c>
      <c r="D125" s="511" t="str">
        <f>D100</f>
        <v>较好</v>
      </c>
      <c r="E125" s="511" t="str">
        <f>E100</f>
        <v>一般</v>
      </c>
      <c r="F125" s="511" t="str">
        <f>F100</f>
        <v>较差</v>
      </c>
      <c r="G125" s="511" t="str">
        <f>G100</f>
        <v>差</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16"/>
  <sheetViews>
    <sheetView topLeftCell="A13" workbookViewId="0">
      <selection activeCell="L26" sqref="L26"/>
    </sheetView>
  </sheetViews>
  <sheetFormatPr defaultRowHeight="12.75"/>
  <cols>
    <col min="1" max="1" width="32" style="3491" customWidth="1"/>
    <col min="2" max="2" width="7.875" style="3491" customWidth="1"/>
    <col min="3" max="4" width="6.25" style="3491" customWidth="1"/>
    <col min="5" max="5" width="7.875" style="3491" customWidth="1"/>
    <col min="6" max="6" width="10.375" style="3491" customWidth="1"/>
    <col min="7" max="7" width="8.25" style="3491" customWidth="1"/>
    <col min="8" max="8" width="8.125" style="3491" customWidth="1"/>
    <col min="9" max="9" width="20.875" style="3491" customWidth="1"/>
    <col min="10" max="10" width="7.875" style="3491" customWidth="1"/>
    <col min="11" max="11" width="9" style="3491" customWidth="1"/>
    <col min="12" max="12" width="24.5" style="3491" customWidth="1"/>
    <col min="13" max="13" width="6.25" style="3491" customWidth="1"/>
    <col min="14" max="14" width="6.375" style="3491" customWidth="1"/>
    <col min="15" max="15" width="7.625" style="3491" customWidth="1"/>
    <col min="16" max="16" width="6.25" style="3491" customWidth="1"/>
    <col min="17" max="18" width="7.875" style="3491" customWidth="1"/>
    <col min="19" max="228" width="9" style="3491"/>
    <col min="229" max="229" width="32" style="3491" customWidth="1"/>
    <col min="230" max="230" width="6.25" style="3491" customWidth="1"/>
    <col min="231" max="231" width="7.875" style="3491" customWidth="1"/>
    <col min="232" max="233" width="6.25" style="3491" customWidth="1"/>
    <col min="234" max="234" width="32" style="3491" customWidth="1"/>
    <col min="235" max="235" width="7.875" style="3491" customWidth="1"/>
    <col min="236" max="236" width="8.75" style="3491" customWidth="1"/>
    <col min="237" max="237" width="29.375" style="3491" customWidth="1"/>
    <col min="238" max="239" width="13.875" style="3491" customWidth="1"/>
    <col min="240" max="240" width="25.375" style="3491" customWidth="1"/>
    <col min="241" max="241" width="7.875" style="3491" customWidth="1"/>
    <col min="242" max="243" width="11.25" style="3491" customWidth="1"/>
    <col min="244" max="244" width="9.625" style="3491" customWidth="1"/>
    <col min="245" max="246" width="15.5" style="3491" customWidth="1"/>
    <col min="247" max="247" width="12.875" style="3491" customWidth="1"/>
    <col min="248" max="249" width="11.25" style="3491" customWidth="1"/>
    <col min="250" max="250" width="17.875" style="3491" customWidth="1"/>
    <col min="251" max="251" width="7.875" style="3491" customWidth="1"/>
    <col min="252" max="255" width="9" style="3491" customWidth="1"/>
    <col min="256" max="256" width="18.375" style="3491" customWidth="1"/>
    <col min="257" max="257" width="7.875" style="3491" customWidth="1"/>
    <col min="258" max="258" width="24.5" style="3491" customWidth="1"/>
    <col min="259" max="259" width="21.125" style="3491" customWidth="1"/>
    <col min="260" max="262" width="10.625" style="3491" customWidth="1"/>
    <col min="263" max="264" width="16" style="3491" customWidth="1"/>
    <col min="265" max="266" width="14.375" style="3491" customWidth="1"/>
    <col min="267" max="268" width="21.875" style="3491" customWidth="1"/>
    <col min="269" max="269" width="6.25" style="3491" customWidth="1"/>
    <col min="270" max="270" width="7.875" style="3491" customWidth="1"/>
    <col min="271" max="271" width="16.875" style="3491" customWidth="1"/>
    <col min="272" max="273" width="20.125" style="3491" customWidth="1"/>
    <col min="274" max="274" width="7.875" style="3491" customWidth="1"/>
    <col min="275" max="484" width="9" style="3491"/>
    <col min="485" max="485" width="32" style="3491" customWidth="1"/>
    <col min="486" max="486" width="6.25" style="3491" customWidth="1"/>
    <col min="487" max="487" width="7.875" style="3491" customWidth="1"/>
    <col min="488" max="489" width="6.25" style="3491" customWidth="1"/>
    <col min="490" max="490" width="32" style="3491" customWidth="1"/>
    <col min="491" max="491" width="7.875" style="3491" customWidth="1"/>
    <col min="492" max="492" width="8.75" style="3491" customWidth="1"/>
    <col min="493" max="493" width="29.375" style="3491" customWidth="1"/>
    <col min="494" max="495" width="13.875" style="3491" customWidth="1"/>
    <col min="496" max="496" width="25.375" style="3491" customWidth="1"/>
    <col min="497" max="497" width="7.875" style="3491" customWidth="1"/>
    <col min="498" max="499" width="11.25" style="3491" customWidth="1"/>
    <col min="500" max="500" width="9.625" style="3491" customWidth="1"/>
    <col min="501" max="502" width="15.5" style="3491" customWidth="1"/>
    <col min="503" max="503" width="12.875" style="3491" customWidth="1"/>
    <col min="504" max="505" width="11.25" style="3491" customWidth="1"/>
    <col min="506" max="506" width="17.875" style="3491" customWidth="1"/>
    <col min="507" max="507" width="7.875" style="3491" customWidth="1"/>
    <col min="508" max="511" width="9" style="3491" customWidth="1"/>
    <col min="512" max="512" width="18.375" style="3491" customWidth="1"/>
    <col min="513" max="513" width="7.875" style="3491" customWidth="1"/>
    <col min="514" max="514" width="24.5" style="3491" customWidth="1"/>
    <col min="515" max="515" width="21.125" style="3491" customWidth="1"/>
    <col min="516" max="518" width="10.625" style="3491" customWidth="1"/>
    <col min="519" max="520" width="16" style="3491" customWidth="1"/>
    <col min="521" max="522" width="14.375" style="3491" customWidth="1"/>
    <col min="523" max="524" width="21.875" style="3491" customWidth="1"/>
    <col min="525" max="525" width="6.25" style="3491" customWidth="1"/>
    <col min="526" max="526" width="7.875" style="3491" customWidth="1"/>
    <col min="527" max="527" width="16.875" style="3491" customWidth="1"/>
    <col min="528" max="529" width="20.125" style="3491" customWidth="1"/>
    <col min="530" max="530" width="7.875" style="3491" customWidth="1"/>
    <col min="531" max="740" width="9" style="3491"/>
    <col min="741" max="741" width="32" style="3491" customWidth="1"/>
    <col min="742" max="742" width="6.25" style="3491" customWidth="1"/>
    <col min="743" max="743" width="7.875" style="3491" customWidth="1"/>
    <col min="744" max="745" width="6.25" style="3491" customWidth="1"/>
    <col min="746" max="746" width="32" style="3491" customWidth="1"/>
    <col min="747" max="747" width="7.875" style="3491" customWidth="1"/>
    <col min="748" max="748" width="8.75" style="3491" customWidth="1"/>
    <col min="749" max="749" width="29.375" style="3491" customWidth="1"/>
    <col min="750" max="751" width="13.875" style="3491" customWidth="1"/>
    <col min="752" max="752" width="25.375" style="3491" customWidth="1"/>
    <col min="753" max="753" width="7.875" style="3491" customWidth="1"/>
    <col min="754" max="755" width="11.25" style="3491" customWidth="1"/>
    <col min="756" max="756" width="9.625" style="3491" customWidth="1"/>
    <col min="757" max="758" width="15.5" style="3491" customWidth="1"/>
    <col min="759" max="759" width="12.875" style="3491" customWidth="1"/>
    <col min="760" max="761" width="11.25" style="3491" customWidth="1"/>
    <col min="762" max="762" width="17.875" style="3491" customWidth="1"/>
    <col min="763" max="763" width="7.875" style="3491" customWidth="1"/>
    <col min="764" max="767" width="9" style="3491" customWidth="1"/>
    <col min="768" max="768" width="18.375" style="3491" customWidth="1"/>
    <col min="769" max="769" width="7.875" style="3491" customWidth="1"/>
    <col min="770" max="770" width="24.5" style="3491" customWidth="1"/>
    <col min="771" max="771" width="21.125" style="3491" customWidth="1"/>
    <col min="772" max="774" width="10.625" style="3491" customWidth="1"/>
    <col min="775" max="776" width="16" style="3491" customWidth="1"/>
    <col min="777" max="778" width="14.375" style="3491" customWidth="1"/>
    <col min="779" max="780" width="21.875" style="3491" customWidth="1"/>
    <col min="781" max="781" width="6.25" style="3491" customWidth="1"/>
    <col min="782" max="782" width="7.875" style="3491" customWidth="1"/>
    <col min="783" max="783" width="16.875" style="3491" customWidth="1"/>
    <col min="784" max="785" width="20.125" style="3491" customWidth="1"/>
    <col min="786" max="786" width="7.875" style="3491" customWidth="1"/>
    <col min="787" max="996" width="9" style="3491"/>
    <col min="997" max="997" width="32" style="3491" customWidth="1"/>
    <col min="998" max="998" width="6.25" style="3491" customWidth="1"/>
    <col min="999" max="999" width="7.875" style="3491" customWidth="1"/>
    <col min="1000" max="1001" width="6.25" style="3491" customWidth="1"/>
    <col min="1002" max="1002" width="32" style="3491" customWidth="1"/>
    <col min="1003" max="1003" width="7.875" style="3491" customWidth="1"/>
    <col min="1004" max="1004" width="8.75" style="3491" customWidth="1"/>
    <col min="1005" max="1005" width="29.375" style="3491" customWidth="1"/>
    <col min="1006" max="1007" width="13.875" style="3491" customWidth="1"/>
    <col min="1008" max="1008" width="25.375" style="3491" customWidth="1"/>
    <col min="1009" max="1009" width="7.875" style="3491" customWidth="1"/>
    <col min="1010" max="1011" width="11.25" style="3491" customWidth="1"/>
    <col min="1012" max="1012" width="9.625" style="3491" customWidth="1"/>
    <col min="1013" max="1014" width="15.5" style="3491" customWidth="1"/>
    <col min="1015" max="1015" width="12.875" style="3491" customWidth="1"/>
    <col min="1016" max="1017" width="11.25" style="3491" customWidth="1"/>
    <col min="1018" max="1018" width="17.875" style="3491" customWidth="1"/>
    <col min="1019" max="1019" width="7.875" style="3491" customWidth="1"/>
    <col min="1020" max="1023" width="9" style="3491" customWidth="1"/>
    <col min="1024" max="1024" width="18.375" style="3491" customWidth="1"/>
    <col min="1025" max="1025" width="7.875" style="3491" customWidth="1"/>
    <col min="1026" max="1026" width="24.5" style="3491" customWidth="1"/>
    <col min="1027" max="1027" width="21.125" style="3491" customWidth="1"/>
    <col min="1028" max="1030" width="10.625" style="3491" customWidth="1"/>
    <col min="1031" max="1032" width="16" style="3491" customWidth="1"/>
    <col min="1033" max="1034" width="14.375" style="3491" customWidth="1"/>
    <col min="1035" max="1036" width="21.875" style="3491" customWidth="1"/>
    <col min="1037" max="1037" width="6.25" style="3491" customWidth="1"/>
    <col min="1038" max="1038" width="7.875" style="3491" customWidth="1"/>
    <col min="1039" max="1039" width="16.875" style="3491" customWidth="1"/>
    <col min="1040" max="1041" width="20.125" style="3491" customWidth="1"/>
    <col min="1042" max="1042" width="7.875" style="3491" customWidth="1"/>
    <col min="1043" max="1252" width="9" style="3491"/>
    <col min="1253" max="1253" width="32" style="3491" customWidth="1"/>
    <col min="1254" max="1254" width="6.25" style="3491" customWidth="1"/>
    <col min="1255" max="1255" width="7.875" style="3491" customWidth="1"/>
    <col min="1256" max="1257" width="6.25" style="3491" customWidth="1"/>
    <col min="1258" max="1258" width="32" style="3491" customWidth="1"/>
    <col min="1259" max="1259" width="7.875" style="3491" customWidth="1"/>
    <col min="1260" max="1260" width="8.75" style="3491" customWidth="1"/>
    <col min="1261" max="1261" width="29.375" style="3491" customWidth="1"/>
    <col min="1262" max="1263" width="13.875" style="3491" customWidth="1"/>
    <col min="1264" max="1264" width="25.375" style="3491" customWidth="1"/>
    <col min="1265" max="1265" width="7.875" style="3491" customWidth="1"/>
    <col min="1266" max="1267" width="11.25" style="3491" customWidth="1"/>
    <col min="1268" max="1268" width="9.625" style="3491" customWidth="1"/>
    <col min="1269" max="1270" width="15.5" style="3491" customWidth="1"/>
    <col min="1271" max="1271" width="12.875" style="3491" customWidth="1"/>
    <col min="1272" max="1273" width="11.25" style="3491" customWidth="1"/>
    <col min="1274" max="1274" width="17.875" style="3491" customWidth="1"/>
    <col min="1275" max="1275" width="7.875" style="3491" customWidth="1"/>
    <col min="1276" max="1279" width="9" style="3491" customWidth="1"/>
    <col min="1280" max="1280" width="18.375" style="3491" customWidth="1"/>
    <col min="1281" max="1281" width="7.875" style="3491" customWidth="1"/>
    <col min="1282" max="1282" width="24.5" style="3491" customWidth="1"/>
    <col min="1283" max="1283" width="21.125" style="3491" customWidth="1"/>
    <col min="1284" max="1286" width="10.625" style="3491" customWidth="1"/>
    <col min="1287" max="1288" width="16" style="3491" customWidth="1"/>
    <col min="1289" max="1290" width="14.375" style="3491" customWidth="1"/>
    <col min="1291" max="1292" width="21.875" style="3491" customWidth="1"/>
    <col min="1293" max="1293" width="6.25" style="3491" customWidth="1"/>
    <col min="1294" max="1294" width="7.875" style="3491" customWidth="1"/>
    <col min="1295" max="1295" width="16.875" style="3491" customWidth="1"/>
    <col min="1296" max="1297" width="20.125" style="3491" customWidth="1"/>
    <col min="1298" max="1298" width="7.875" style="3491" customWidth="1"/>
    <col min="1299" max="1508" width="9" style="3491"/>
    <col min="1509" max="1509" width="32" style="3491" customWidth="1"/>
    <col min="1510" max="1510" width="6.25" style="3491" customWidth="1"/>
    <col min="1511" max="1511" width="7.875" style="3491" customWidth="1"/>
    <col min="1512" max="1513" width="6.25" style="3491" customWidth="1"/>
    <col min="1514" max="1514" width="32" style="3491" customWidth="1"/>
    <col min="1515" max="1515" width="7.875" style="3491" customWidth="1"/>
    <col min="1516" max="1516" width="8.75" style="3491" customWidth="1"/>
    <col min="1517" max="1517" width="29.375" style="3491" customWidth="1"/>
    <col min="1518" max="1519" width="13.875" style="3491" customWidth="1"/>
    <col min="1520" max="1520" width="25.375" style="3491" customWidth="1"/>
    <col min="1521" max="1521" width="7.875" style="3491" customWidth="1"/>
    <col min="1522" max="1523" width="11.25" style="3491" customWidth="1"/>
    <col min="1524" max="1524" width="9.625" style="3491" customWidth="1"/>
    <col min="1525" max="1526" width="15.5" style="3491" customWidth="1"/>
    <col min="1527" max="1527" width="12.875" style="3491" customWidth="1"/>
    <col min="1528" max="1529" width="11.25" style="3491" customWidth="1"/>
    <col min="1530" max="1530" width="17.875" style="3491" customWidth="1"/>
    <col min="1531" max="1531" width="7.875" style="3491" customWidth="1"/>
    <col min="1532" max="1535" width="9" style="3491" customWidth="1"/>
    <col min="1536" max="1536" width="18.375" style="3491" customWidth="1"/>
    <col min="1537" max="1537" width="7.875" style="3491" customWidth="1"/>
    <col min="1538" max="1538" width="24.5" style="3491" customWidth="1"/>
    <col min="1539" max="1539" width="21.125" style="3491" customWidth="1"/>
    <col min="1540" max="1542" width="10.625" style="3491" customWidth="1"/>
    <col min="1543" max="1544" width="16" style="3491" customWidth="1"/>
    <col min="1545" max="1546" width="14.375" style="3491" customWidth="1"/>
    <col min="1547" max="1548" width="21.875" style="3491" customWidth="1"/>
    <col min="1549" max="1549" width="6.25" style="3491" customWidth="1"/>
    <col min="1550" max="1550" width="7.875" style="3491" customWidth="1"/>
    <col min="1551" max="1551" width="16.875" style="3491" customWidth="1"/>
    <col min="1552" max="1553" width="20.125" style="3491" customWidth="1"/>
    <col min="1554" max="1554" width="7.875" style="3491" customWidth="1"/>
    <col min="1555" max="1764" width="9" style="3491"/>
    <col min="1765" max="1765" width="32" style="3491" customWidth="1"/>
    <col min="1766" max="1766" width="6.25" style="3491" customWidth="1"/>
    <col min="1767" max="1767" width="7.875" style="3491" customWidth="1"/>
    <col min="1768" max="1769" width="6.25" style="3491" customWidth="1"/>
    <col min="1770" max="1770" width="32" style="3491" customWidth="1"/>
    <col min="1771" max="1771" width="7.875" style="3491" customWidth="1"/>
    <col min="1772" max="1772" width="8.75" style="3491" customWidth="1"/>
    <col min="1773" max="1773" width="29.375" style="3491" customWidth="1"/>
    <col min="1774" max="1775" width="13.875" style="3491" customWidth="1"/>
    <col min="1776" max="1776" width="25.375" style="3491" customWidth="1"/>
    <col min="1777" max="1777" width="7.875" style="3491" customWidth="1"/>
    <col min="1778" max="1779" width="11.25" style="3491" customWidth="1"/>
    <col min="1780" max="1780" width="9.625" style="3491" customWidth="1"/>
    <col min="1781" max="1782" width="15.5" style="3491" customWidth="1"/>
    <col min="1783" max="1783" width="12.875" style="3491" customWidth="1"/>
    <col min="1784" max="1785" width="11.25" style="3491" customWidth="1"/>
    <col min="1786" max="1786" width="17.875" style="3491" customWidth="1"/>
    <col min="1787" max="1787" width="7.875" style="3491" customWidth="1"/>
    <col min="1788" max="1791" width="9" style="3491" customWidth="1"/>
    <col min="1792" max="1792" width="18.375" style="3491" customWidth="1"/>
    <col min="1793" max="1793" width="7.875" style="3491" customWidth="1"/>
    <col min="1794" max="1794" width="24.5" style="3491" customWidth="1"/>
    <col min="1795" max="1795" width="21.125" style="3491" customWidth="1"/>
    <col min="1796" max="1798" width="10.625" style="3491" customWidth="1"/>
    <col min="1799" max="1800" width="16" style="3491" customWidth="1"/>
    <col min="1801" max="1802" width="14.375" style="3491" customWidth="1"/>
    <col min="1803" max="1804" width="21.875" style="3491" customWidth="1"/>
    <col min="1805" max="1805" width="6.25" style="3491" customWidth="1"/>
    <col min="1806" max="1806" width="7.875" style="3491" customWidth="1"/>
    <col min="1807" max="1807" width="16.875" style="3491" customWidth="1"/>
    <col min="1808" max="1809" width="20.125" style="3491" customWidth="1"/>
    <col min="1810" max="1810" width="7.875" style="3491" customWidth="1"/>
    <col min="1811" max="2020" width="9" style="3491"/>
    <col min="2021" max="2021" width="32" style="3491" customWidth="1"/>
    <col min="2022" max="2022" width="6.25" style="3491" customWidth="1"/>
    <col min="2023" max="2023" width="7.875" style="3491" customWidth="1"/>
    <col min="2024" max="2025" width="6.25" style="3491" customWidth="1"/>
    <col min="2026" max="2026" width="32" style="3491" customWidth="1"/>
    <col min="2027" max="2027" width="7.875" style="3491" customWidth="1"/>
    <col min="2028" max="2028" width="8.75" style="3491" customWidth="1"/>
    <col min="2029" max="2029" width="29.375" style="3491" customWidth="1"/>
    <col min="2030" max="2031" width="13.875" style="3491" customWidth="1"/>
    <col min="2032" max="2032" width="25.375" style="3491" customWidth="1"/>
    <col min="2033" max="2033" width="7.875" style="3491" customWidth="1"/>
    <col min="2034" max="2035" width="11.25" style="3491" customWidth="1"/>
    <col min="2036" max="2036" width="9.625" style="3491" customWidth="1"/>
    <col min="2037" max="2038" width="15.5" style="3491" customWidth="1"/>
    <col min="2039" max="2039" width="12.875" style="3491" customWidth="1"/>
    <col min="2040" max="2041" width="11.25" style="3491" customWidth="1"/>
    <col min="2042" max="2042" width="17.875" style="3491" customWidth="1"/>
    <col min="2043" max="2043" width="7.875" style="3491" customWidth="1"/>
    <col min="2044" max="2047" width="9" style="3491" customWidth="1"/>
    <col min="2048" max="2048" width="18.375" style="3491" customWidth="1"/>
    <col min="2049" max="2049" width="7.875" style="3491" customWidth="1"/>
    <col min="2050" max="2050" width="24.5" style="3491" customWidth="1"/>
    <col min="2051" max="2051" width="21.125" style="3491" customWidth="1"/>
    <col min="2052" max="2054" width="10.625" style="3491" customWidth="1"/>
    <col min="2055" max="2056" width="16" style="3491" customWidth="1"/>
    <col min="2057" max="2058" width="14.375" style="3491" customWidth="1"/>
    <col min="2059" max="2060" width="21.875" style="3491" customWidth="1"/>
    <col min="2061" max="2061" width="6.25" style="3491" customWidth="1"/>
    <col min="2062" max="2062" width="7.875" style="3491" customWidth="1"/>
    <col min="2063" max="2063" width="16.875" style="3491" customWidth="1"/>
    <col min="2064" max="2065" width="20.125" style="3491" customWidth="1"/>
    <col min="2066" max="2066" width="7.875" style="3491" customWidth="1"/>
    <col min="2067" max="2276" width="9" style="3491"/>
    <col min="2277" max="2277" width="32" style="3491" customWidth="1"/>
    <col min="2278" max="2278" width="6.25" style="3491" customWidth="1"/>
    <col min="2279" max="2279" width="7.875" style="3491" customWidth="1"/>
    <col min="2280" max="2281" width="6.25" style="3491" customWidth="1"/>
    <col min="2282" max="2282" width="32" style="3491" customWidth="1"/>
    <col min="2283" max="2283" width="7.875" style="3491" customWidth="1"/>
    <col min="2284" max="2284" width="8.75" style="3491" customWidth="1"/>
    <col min="2285" max="2285" width="29.375" style="3491" customWidth="1"/>
    <col min="2286" max="2287" width="13.875" style="3491" customWidth="1"/>
    <col min="2288" max="2288" width="25.375" style="3491" customWidth="1"/>
    <col min="2289" max="2289" width="7.875" style="3491" customWidth="1"/>
    <col min="2290" max="2291" width="11.25" style="3491" customWidth="1"/>
    <col min="2292" max="2292" width="9.625" style="3491" customWidth="1"/>
    <col min="2293" max="2294" width="15.5" style="3491" customWidth="1"/>
    <col min="2295" max="2295" width="12.875" style="3491" customWidth="1"/>
    <col min="2296" max="2297" width="11.25" style="3491" customWidth="1"/>
    <col min="2298" max="2298" width="17.875" style="3491" customWidth="1"/>
    <col min="2299" max="2299" width="7.875" style="3491" customWidth="1"/>
    <col min="2300" max="2303" width="9" style="3491" customWidth="1"/>
    <col min="2304" max="2304" width="18.375" style="3491" customWidth="1"/>
    <col min="2305" max="2305" width="7.875" style="3491" customWidth="1"/>
    <col min="2306" max="2306" width="24.5" style="3491" customWidth="1"/>
    <col min="2307" max="2307" width="21.125" style="3491" customWidth="1"/>
    <col min="2308" max="2310" width="10.625" style="3491" customWidth="1"/>
    <col min="2311" max="2312" width="16" style="3491" customWidth="1"/>
    <col min="2313" max="2314" width="14.375" style="3491" customWidth="1"/>
    <col min="2315" max="2316" width="21.875" style="3491" customWidth="1"/>
    <col min="2317" max="2317" width="6.25" style="3491" customWidth="1"/>
    <col min="2318" max="2318" width="7.875" style="3491" customWidth="1"/>
    <col min="2319" max="2319" width="16.875" style="3491" customWidth="1"/>
    <col min="2320" max="2321" width="20.125" style="3491" customWidth="1"/>
    <col min="2322" max="2322" width="7.875" style="3491" customWidth="1"/>
    <col min="2323" max="2532" width="9" style="3491"/>
    <col min="2533" max="2533" width="32" style="3491" customWidth="1"/>
    <col min="2534" max="2534" width="6.25" style="3491" customWidth="1"/>
    <col min="2535" max="2535" width="7.875" style="3491" customWidth="1"/>
    <col min="2536" max="2537" width="6.25" style="3491" customWidth="1"/>
    <col min="2538" max="2538" width="32" style="3491" customWidth="1"/>
    <col min="2539" max="2539" width="7.875" style="3491" customWidth="1"/>
    <col min="2540" max="2540" width="8.75" style="3491" customWidth="1"/>
    <col min="2541" max="2541" width="29.375" style="3491" customWidth="1"/>
    <col min="2542" max="2543" width="13.875" style="3491" customWidth="1"/>
    <col min="2544" max="2544" width="25.375" style="3491" customWidth="1"/>
    <col min="2545" max="2545" width="7.875" style="3491" customWidth="1"/>
    <col min="2546" max="2547" width="11.25" style="3491" customWidth="1"/>
    <col min="2548" max="2548" width="9.625" style="3491" customWidth="1"/>
    <col min="2549" max="2550" width="15.5" style="3491" customWidth="1"/>
    <col min="2551" max="2551" width="12.875" style="3491" customWidth="1"/>
    <col min="2552" max="2553" width="11.25" style="3491" customWidth="1"/>
    <col min="2554" max="2554" width="17.875" style="3491" customWidth="1"/>
    <col min="2555" max="2555" width="7.875" style="3491" customWidth="1"/>
    <col min="2556" max="2559" width="9" style="3491" customWidth="1"/>
    <col min="2560" max="2560" width="18.375" style="3491" customWidth="1"/>
    <col min="2561" max="2561" width="7.875" style="3491" customWidth="1"/>
    <col min="2562" max="2562" width="24.5" style="3491" customWidth="1"/>
    <col min="2563" max="2563" width="21.125" style="3491" customWidth="1"/>
    <col min="2564" max="2566" width="10.625" style="3491" customWidth="1"/>
    <col min="2567" max="2568" width="16" style="3491" customWidth="1"/>
    <col min="2569" max="2570" width="14.375" style="3491" customWidth="1"/>
    <col min="2571" max="2572" width="21.875" style="3491" customWidth="1"/>
    <col min="2573" max="2573" width="6.25" style="3491" customWidth="1"/>
    <col min="2574" max="2574" width="7.875" style="3491" customWidth="1"/>
    <col min="2575" max="2575" width="16.875" style="3491" customWidth="1"/>
    <col min="2576" max="2577" width="20.125" style="3491" customWidth="1"/>
    <col min="2578" max="2578" width="7.875" style="3491" customWidth="1"/>
    <col min="2579" max="2788" width="9" style="3491"/>
    <col min="2789" max="2789" width="32" style="3491" customWidth="1"/>
    <col min="2790" max="2790" width="6.25" style="3491" customWidth="1"/>
    <col min="2791" max="2791" width="7.875" style="3491" customWidth="1"/>
    <col min="2792" max="2793" width="6.25" style="3491" customWidth="1"/>
    <col min="2794" max="2794" width="32" style="3491" customWidth="1"/>
    <col min="2795" max="2795" width="7.875" style="3491" customWidth="1"/>
    <col min="2796" max="2796" width="8.75" style="3491" customWidth="1"/>
    <col min="2797" max="2797" width="29.375" style="3491" customWidth="1"/>
    <col min="2798" max="2799" width="13.875" style="3491" customWidth="1"/>
    <col min="2800" max="2800" width="25.375" style="3491" customWidth="1"/>
    <col min="2801" max="2801" width="7.875" style="3491" customWidth="1"/>
    <col min="2802" max="2803" width="11.25" style="3491" customWidth="1"/>
    <col min="2804" max="2804" width="9.625" style="3491" customWidth="1"/>
    <col min="2805" max="2806" width="15.5" style="3491" customWidth="1"/>
    <col min="2807" max="2807" width="12.875" style="3491" customWidth="1"/>
    <col min="2808" max="2809" width="11.25" style="3491" customWidth="1"/>
    <col min="2810" max="2810" width="17.875" style="3491" customWidth="1"/>
    <col min="2811" max="2811" width="7.875" style="3491" customWidth="1"/>
    <col min="2812" max="2815" width="9" style="3491" customWidth="1"/>
    <col min="2816" max="2816" width="18.375" style="3491" customWidth="1"/>
    <col min="2817" max="2817" width="7.875" style="3491" customWidth="1"/>
    <col min="2818" max="2818" width="24.5" style="3491" customWidth="1"/>
    <col min="2819" max="2819" width="21.125" style="3491" customWidth="1"/>
    <col min="2820" max="2822" width="10.625" style="3491" customWidth="1"/>
    <col min="2823" max="2824" width="16" style="3491" customWidth="1"/>
    <col min="2825" max="2826" width="14.375" style="3491" customWidth="1"/>
    <col min="2827" max="2828" width="21.875" style="3491" customWidth="1"/>
    <col min="2829" max="2829" width="6.25" style="3491" customWidth="1"/>
    <col min="2830" max="2830" width="7.875" style="3491" customWidth="1"/>
    <col min="2831" max="2831" width="16.875" style="3491" customWidth="1"/>
    <col min="2832" max="2833" width="20.125" style="3491" customWidth="1"/>
    <col min="2834" max="2834" width="7.875" style="3491" customWidth="1"/>
    <col min="2835" max="3044" width="9" style="3491"/>
    <col min="3045" max="3045" width="32" style="3491" customWidth="1"/>
    <col min="3046" max="3046" width="6.25" style="3491" customWidth="1"/>
    <col min="3047" max="3047" width="7.875" style="3491" customWidth="1"/>
    <col min="3048" max="3049" width="6.25" style="3491" customWidth="1"/>
    <col min="3050" max="3050" width="32" style="3491" customWidth="1"/>
    <col min="3051" max="3051" width="7.875" style="3491" customWidth="1"/>
    <col min="3052" max="3052" width="8.75" style="3491" customWidth="1"/>
    <col min="3053" max="3053" width="29.375" style="3491" customWidth="1"/>
    <col min="3054" max="3055" width="13.875" style="3491" customWidth="1"/>
    <col min="3056" max="3056" width="25.375" style="3491" customWidth="1"/>
    <col min="3057" max="3057" width="7.875" style="3491" customWidth="1"/>
    <col min="3058" max="3059" width="11.25" style="3491" customWidth="1"/>
    <col min="3060" max="3060" width="9.625" style="3491" customWidth="1"/>
    <col min="3061" max="3062" width="15.5" style="3491" customWidth="1"/>
    <col min="3063" max="3063" width="12.875" style="3491" customWidth="1"/>
    <col min="3064" max="3065" width="11.25" style="3491" customWidth="1"/>
    <col min="3066" max="3066" width="17.875" style="3491" customWidth="1"/>
    <col min="3067" max="3067" width="7.875" style="3491" customWidth="1"/>
    <col min="3068" max="3071" width="9" style="3491" customWidth="1"/>
    <col min="3072" max="3072" width="18.375" style="3491" customWidth="1"/>
    <col min="3073" max="3073" width="7.875" style="3491" customWidth="1"/>
    <col min="3074" max="3074" width="24.5" style="3491" customWidth="1"/>
    <col min="3075" max="3075" width="21.125" style="3491" customWidth="1"/>
    <col min="3076" max="3078" width="10.625" style="3491" customWidth="1"/>
    <col min="3079" max="3080" width="16" style="3491" customWidth="1"/>
    <col min="3081" max="3082" width="14.375" style="3491" customWidth="1"/>
    <col min="3083" max="3084" width="21.875" style="3491" customWidth="1"/>
    <col min="3085" max="3085" width="6.25" style="3491" customWidth="1"/>
    <col min="3086" max="3086" width="7.875" style="3491" customWidth="1"/>
    <col min="3087" max="3087" width="16.875" style="3491" customWidth="1"/>
    <col min="3088" max="3089" width="20.125" style="3491" customWidth="1"/>
    <col min="3090" max="3090" width="7.875" style="3491" customWidth="1"/>
    <col min="3091" max="3300" width="9" style="3491"/>
    <col min="3301" max="3301" width="32" style="3491" customWidth="1"/>
    <col min="3302" max="3302" width="6.25" style="3491" customWidth="1"/>
    <col min="3303" max="3303" width="7.875" style="3491" customWidth="1"/>
    <col min="3304" max="3305" width="6.25" style="3491" customWidth="1"/>
    <col min="3306" max="3306" width="32" style="3491" customWidth="1"/>
    <col min="3307" max="3307" width="7.875" style="3491" customWidth="1"/>
    <col min="3308" max="3308" width="8.75" style="3491" customWidth="1"/>
    <col min="3309" max="3309" width="29.375" style="3491" customWidth="1"/>
    <col min="3310" max="3311" width="13.875" style="3491" customWidth="1"/>
    <col min="3312" max="3312" width="25.375" style="3491" customWidth="1"/>
    <col min="3313" max="3313" width="7.875" style="3491" customWidth="1"/>
    <col min="3314" max="3315" width="11.25" style="3491" customWidth="1"/>
    <col min="3316" max="3316" width="9.625" style="3491" customWidth="1"/>
    <col min="3317" max="3318" width="15.5" style="3491" customWidth="1"/>
    <col min="3319" max="3319" width="12.875" style="3491" customWidth="1"/>
    <col min="3320" max="3321" width="11.25" style="3491" customWidth="1"/>
    <col min="3322" max="3322" width="17.875" style="3491" customWidth="1"/>
    <col min="3323" max="3323" width="7.875" style="3491" customWidth="1"/>
    <col min="3324" max="3327" width="9" style="3491" customWidth="1"/>
    <col min="3328" max="3328" width="18.375" style="3491" customWidth="1"/>
    <col min="3329" max="3329" width="7.875" style="3491" customWidth="1"/>
    <col min="3330" max="3330" width="24.5" style="3491" customWidth="1"/>
    <col min="3331" max="3331" width="21.125" style="3491" customWidth="1"/>
    <col min="3332" max="3334" width="10.625" style="3491" customWidth="1"/>
    <col min="3335" max="3336" width="16" style="3491" customWidth="1"/>
    <col min="3337" max="3338" width="14.375" style="3491" customWidth="1"/>
    <col min="3339" max="3340" width="21.875" style="3491" customWidth="1"/>
    <col min="3341" max="3341" width="6.25" style="3491" customWidth="1"/>
    <col min="3342" max="3342" width="7.875" style="3491" customWidth="1"/>
    <col min="3343" max="3343" width="16.875" style="3491" customWidth="1"/>
    <col min="3344" max="3345" width="20.125" style="3491" customWidth="1"/>
    <col min="3346" max="3346" width="7.875" style="3491" customWidth="1"/>
    <col min="3347" max="3556" width="9" style="3491"/>
    <col min="3557" max="3557" width="32" style="3491" customWidth="1"/>
    <col min="3558" max="3558" width="6.25" style="3491" customWidth="1"/>
    <col min="3559" max="3559" width="7.875" style="3491" customWidth="1"/>
    <col min="3560" max="3561" width="6.25" style="3491" customWidth="1"/>
    <col min="3562" max="3562" width="32" style="3491" customWidth="1"/>
    <col min="3563" max="3563" width="7.875" style="3491" customWidth="1"/>
    <col min="3564" max="3564" width="8.75" style="3491" customWidth="1"/>
    <col min="3565" max="3565" width="29.375" style="3491" customWidth="1"/>
    <col min="3566" max="3567" width="13.875" style="3491" customWidth="1"/>
    <col min="3568" max="3568" width="25.375" style="3491" customWidth="1"/>
    <col min="3569" max="3569" width="7.875" style="3491" customWidth="1"/>
    <col min="3570" max="3571" width="11.25" style="3491" customWidth="1"/>
    <col min="3572" max="3572" width="9.625" style="3491" customWidth="1"/>
    <col min="3573" max="3574" width="15.5" style="3491" customWidth="1"/>
    <col min="3575" max="3575" width="12.875" style="3491" customWidth="1"/>
    <col min="3576" max="3577" width="11.25" style="3491" customWidth="1"/>
    <col min="3578" max="3578" width="17.875" style="3491" customWidth="1"/>
    <col min="3579" max="3579" width="7.875" style="3491" customWidth="1"/>
    <col min="3580" max="3583" width="9" style="3491" customWidth="1"/>
    <col min="3584" max="3584" width="18.375" style="3491" customWidth="1"/>
    <col min="3585" max="3585" width="7.875" style="3491" customWidth="1"/>
    <col min="3586" max="3586" width="24.5" style="3491" customWidth="1"/>
    <col min="3587" max="3587" width="21.125" style="3491" customWidth="1"/>
    <col min="3588" max="3590" width="10.625" style="3491" customWidth="1"/>
    <col min="3591" max="3592" width="16" style="3491" customWidth="1"/>
    <col min="3593" max="3594" width="14.375" style="3491" customWidth="1"/>
    <col min="3595" max="3596" width="21.875" style="3491" customWidth="1"/>
    <col min="3597" max="3597" width="6.25" style="3491" customWidth="1"/>
    <col min="3598" max="3598" width="7.875" style="3491" customWidth="1"/>
    <col min="3599" max="3599" width="16.875" style="3491" customWidth="1"/>
    <col min="3600" max="3601" width="20.125" style="3491" customWidth="1"/>
    <col min="3602" max="3602" width="7.875" style="3491" customWidth="1"/>
    <col min="3603" max="3812" width="9" style="3491"/>
    <col min="3813" max="3813" width="32" style="3491" customWidth="1"/>
    <col min="3814" max="3814" width="6.25" style="3491" customWidth="1"/>
    <col min="3815" max="3815" width="7.875" style="3491" customWidth="1"/>
    <col min="3816" max="3817" width="6.25" style="3491" customWidth="1"/>
    <col min="3818" max="3818" width="32" style="3491" customWidth="1"/>
    <col min="3819" max="3819" width="7.875" style="3491" customWidth="1"/>
    <col min="3820" max="3820" width="8.75" style="3491" customWidth="1"/>
    <col min="3821" max="3821" width="29.375" style="3491" customWidth="1"/>
    <col min="3822" max="3823" width="13.875" style="3491" customWidth="1"/>
    <col min="3824" max="3824" width="25.375" style="3491" customWidth="1"/>
    <col min="3825" max="3825" width="7.875" style="3491" customWidth="1"/>
    <col min="3826" max="3827" width="11.25" style="3491" customWidth="1"/>
    <col min="3828" max="3828" width="9.625" style="3491" customWidth="1"/>
    <col min="3829" max="3830" width="15.5" style="3491" customWidth="1"/>
    <col min="3831" max="3831" width="12.875" style="3491" customWidth="1"/>
    <col min="3832" max="3833" width="11.25" style="3491" customWidth="1"/>
    <col min="3834" max="3834" width="17.875" style="3491" customWidth="1"/>
    <col min="3835" max="3835" width="7.875" style="3491" customWidth="1"/>
    <col min="3836" max="3839" width="9" style="3491" customWidth="1"/>
    <col min="3840" max="3840" width="18.375" style="3491" customWidth="1"/>
    <col min="3841" max="3841" width="7.875" style="3491" customWidth="1"/>
    <col min="3842" max="3842" width="24.5" style="3491" customWidth="1"/>
    <col min="3843" max="3843" width="21.125" style="3491" customWidth="1"/>
    <col min="3844" max="3846" width="10.625" style="3491" customWidth="1"/>
    <col min="3847" max="3848" width="16" style="3491" customWidth="1"/>
    <col min="3849" max="3850" width="14.375" style="3491" customWidth="1"/>
    <col min="3851" max="3852" width="21.875" style="3491" customWidth="1"/>
    <col min="3853" max="3853" width="6.25" style="3491" customWidth="1"/>
    <col min="3854" max="3854" width="7.875" style="3491" customWidth="1"/>
    <col min="3855" max="3855" width="16.875" style="3491" customWidth="1"/>
    <col min="3856" max="3857" width="20.125" style="3491" customWidth="1"/>
    <col min="3858" max="3858" width="7.875" style="3491" customWidth="1"/>
    <col min="3859" max="4068" width="9" style="3491"/>
    <col min="4069" max="4069" width="32" style="3491" customWidth="1"/>
    <col min="4070" max="4070" width="6.25" style="3491" customWidth="1"/>
    <col min="4071" max="4071" width="7.875" style="3491" customWidth="1"/>
    <col min="4072" max="4073" width="6.25" style="3491" customWidth="1"/>
    <col min="4074" max="4074" width="32" style="3491" customWidth="1"/>
    <col min="4075" max="4075" width="7.875" style="3491" customWidth="1"/>
    <col min="4076" max="4076" width="8.75" style="3491" customWidth="1"/>
    <col min="4077" max="4077" width="29.375" style="3491" customWidth="1"/>
    <col min="4078" max="4079" width="13.875" style="3491" customWidth="1"/>
    <col min="4080" max="4080" width="25.375" style="3491" customWidth="1"/>
    <col min="4081" max="4081" width="7.875" style="3491" customWidth="1"/>
    <col min="4082" max="4083" width="11.25" style="3491" customWidth="1"/>
    <col min="4084" max="4084" width="9.625" style="3491" customWidth="1"/>
    <col min="4085" max="4086" width="15.5" style="3491" customWidth="1"/>
    <col min="4087" max="4087" width="12.875" style="3491" customWidth="1"/>
    <col min="4088" max="4089" width="11.25" style="3491" customWidth="1"/>
    <col min="4090" max="4090" width="17.875" style="3491" customWidth="1"/>
    <col min="4091" max="4091" width="7.875" style="3491" customWidth="1"/>
    <col min="4092" max="4095" width="9" style="3491" customWidth="1"/>
    <col min="4096" max="4096" width="18.375" style="3491" customWidth="1"/>
    <col min="4097" max="4097" width="7.875" style="3491" customWidth="1"/>
    <col min="4098" max="4098" width="24.5" style="3491" customWidth="1"/>
    <col min="4099" max="4099" width="21.125" style="3491" customWidth="1"/>
    <col min="4100" max="4102" width="10.625" style="3491" customWidth="1"/>
    <col min="4103" max="4104" width="16" style="3491" customWidth="1"/>
    <col min="4105" max="4106" width="14.375" style="3491" customWidth="1"/>
    <col min="4107" max="4108" width="21.875" style="3491" customWidth="1"/>
    <col min="4109" max="4109" width="6.25" style="3491" customWidth="1"/>
    <col min="4110" max="4110" width="7.875" style="3491" customWidth="1"/>
    <col min="4111" max="4111" width="16.875" style="3491" customWidth="1"/>
    <col min="4112" max="4113" width="20.125" style="3491" customWidth="1"/>
    <col min="4114" max="4114" width="7.875" style="3491" customWidth="1"/>
    <col min="4115" max="4324" width="9" style="3491"/>
    <col min="4325" max="4325" width="32" style="3491" customWidth="1"/>
    <col min="4326" max="4326" width="6.25" style="3491" customWidth="1"/>
    <col min="4327" max="4327" width="7.875" style="3491" customWidth="1"/>
    <col min="4328" max="4329" width="6.25" style="3491" customWidth="1"/>
    <col min="4330" max="4330" width="32" style="3491" customWidth="1"/>
    <col min="4331" max="4331" width="7.875" style="3491" customWidth="1"/>
    <col min="4332" max="4332" width="8.75" style="3491" customWidth="1"/>
    <col min="4333" max="4333" width="29.375" style="3491" customWidth="1"/>
    <col min="4334" max="4335" width="13.875" style="3491" customWidth="1"/>
    <col min="4336" max="4336" width="25.375" style="3491" customWidth="1"/>
    <col min="4337" max="4337" width="7.875" style="3491" customWidth="1"/>
    <col min="4338" max="4339" width="11.25" style="3491" customWidth="1"/>
    <col min="4340" max="4340" width="9.625" style="3491" customWidth="1"/>
    <col min="4341" max="4342" width="15.5" style="3491" customWidth="1"/>
    <col min="4343" max="4343" width="12.875" style="3491" customWidth="1"/>
    <col min="4344" max="4345" width="11.25" style="3491" customWidth="1"/>
    <col min="4346" max="4346" width="17.875" style="3491" customWidth="1"/>
    <col min="4347" max="4347" width="7.875" style="3491" customWidth="1"/>
    <col min="4348" max="4351" width="9" style="3491" customWidth="1"/>
    <col min="4352" max="4352" width="18.375" style="3491" customWidth="1"/>
    <col min="4353" max="4353" width="7.875" style="3491" customWidth="1"/>
    <col min="4354" max="4354" width="24.5" style="3491" customWidth="1"/>
    <col min="4355" max="4355" width="21.125" style="3491" customWidth="1"/>
    <col min="4356" max="4358" width="10.625" style="3491" customWidth="1"/>
    <col min="4359" max="4360" width="16" style="3491" customWidth="1"/>
    <col min="4361" max="4362" width="14.375" style="3491" customWidth="1"/>
    <col min="4363" max="4364" width="21.875" style="3491" customWidth="1"/>
    <col min="4365" max="4365" width="6.25" style="3491" customWidth="1"/>
    <col min="4366" max="4366" width="7.875" style="3491" customWidth="1"/>
    <col min="4367" max="4367" width="16.875" style="3491" customWidth="1"/>
    <col min="4368" max="4369" width="20.125" style="3491" customWidth="1"/>
    <col min="4370" max="4370" width="7.875" style="3491" customWidth="1"/>
    <col min="4371" max="4580" width="9" style="3491"/>
    <col min="4581" max="4581" width="32" style="3491" customWidth="1"/>
    <col min="4582" max="4582" width="6.25" style="3491" customWidth="1"/>
    <col min="4583" max="4583" width="7.875" style="3491" customWidth="1"/>
    <col min="4584" max="4585" width="6.25" style="3491" customWidth="1"/>
    <col min="4586" max="4586" width="32" style="3491" customWidth="1"/>
    <col min="4587" max="4587" width="7.875" style="3491" customWidth="1"/>
    <col min="4588" max="4588" width="8.75" style="3491" customWidth="1"/>
    <col min="4589" max="4589" width="29.375" style="3491" customWidth="1"/>
    <col min="4590" max="4591" width="13.875" style="3491" customWidth="1"/>
    <col min="4592" max="4592" width="25.375" style="3491" customWidth="1"/>
    <col min="4593" max="4593" width="7.875" style="3491" customWidth="1"/>
    <col min="4594" max="4595" width="11.25" style="3491" customWidth="1"/>
    <col min="4596" max="4596" width="9.625" style="3491" customWidth="1"/>
    <col min="4597" max="4598" width="15.5" style="3491" customWidth="1"/>
    <col min="4599" max="4599" width="12.875" style="3491" customWidth="1"/>
    <col min="4600" max="4601" width="11.25" style="3491" customWidth="1"/>
    <col min="4602" max="4602" width="17.875" style="3491" customWidth="1"/>
    <col min="4603" max="4603" width="7.875" style="3491" customWidth="1"/>
    <col min="4604" max="4607" width="9" style="3491" customWidth="1"/>
    <col min="4608" max="4608" width="18.375" style="3491" customWidth="1"/>
    <col min="4609" max="4609" width="7.875" style="3491" customWidth="1"/>
    <col min="4610" max="4610" width="24.5" style="3491" customWidth="1"/>
    <col min="4611" max="4611" width="21.125" style="3491" customWidth="1"/>
    <col min="4612" max="4614" width="10.625" style="3491" customWidth="1"/>
    <col min="4615" max="4616" width="16" style="3491" customWidth="1"/>
    <col min="4617" max="4618" width="14.375" style="3491" customWidth="1"/>
    <col min="4619" max="4620" width="21.875" style="3491" customWidth="1"/>
    <col min="4621" max="4621" width="6.25" style="3491" customWidth="1"/>
    <col min="4622" max="4622" width="7.875" style="3491" customWidth="1"/>
    <col min="4623" max="4623" width="16.875" style="3491" customWidth="1"/>
    <col min="4624" max="4625" width="20.125" style="3491" customWidth="1"/>
    <col min="4626" max="4626" width="7.875" style="3491" customWidth="1"/>
    <col min="4627" max="4836" width="9" style="3491"/>
    <col min="4837" max="4837" width="32" style="3491" customWidth="1"/>
    <col min="4838" max="4838" width="6.25" style="3491" customWidth="1"/>
    <col min="4839" max="4839" width="7.875" style="3491" customWidth="1"/>
    <col min="4840" max="4841" width="6.25" style="3491" customWidth="1"/>
    <col min="4842" max="4842" width="32" style="3491" customWidth="1"/>
    <col min="4843" max="4843" width="7.875" style="3491" customWidth="1"/>
    <col min="4844" max="4844" width="8.75" style="3491" customWidth="1"/>
    <col min="4845" max="4845" width="29.375" style="3491" customWidth="1"/>
    <col min="4846" max="4847" width="13.875" style="3491" customWidth="1"/>
    <col min="4848" max="4848" width="25.375" style="3491" customWidth="1"/>
    <col min="4849" max="4849" width="7.875" style="3491" customWidth="1"/>
    <col min="4850" max="4851" width="11.25" style="3491" customWidth="1"/>
    <col min="4852" max="4852" width="9.625" style="3491" customWidth="1"/>
    <col min="4853" max="4854" width="15.5" style="3491" customWidth="1"/>
    <col min="4855" max="4855" width="12.875" style="3491" customWidth="1"/>
    <col min="4856" max="4857" width="11.25" style="3491" customWidth="1"/>
    <col min="4858" max="4858" width="17.875" style="3491" customWidth="1"/>
    <col min="4859" max="4859" width="7.875" style="3491" customWidth="1"/>
    <col min="4860" max="4863" width="9" style="3491" customWidth="1"/>
    <col min="4864" max="4864" width="18.375" style="3491" customWidth="1"/>
    <col min="4865" max="4865" width="7.875" style="3491" customWidth="1"/>
    <col min="4866" max="4866" width="24.5" style="3491" customWidth="1"/>
    <col min="4867" max="4867" width="21.125" style="3491" customWidth="1"/>
    <col min="4868" max="4870" width="10.625" style="3491" customWidth="1"/>
    <col min="4871" max="4872" width="16" style="3491" customWidth="1"/>
    <col min="4873" max="4874" width="14.375" style="3491" customWidth="1"/>
    <col min="4875" max="4876" width="21.875" style="3491" customWidth="1"/>
    <col min="4877" max="4877" width="6.25" style="3491" customWidth="1"/>
    <col min="4878" max="4878" width="7.875" style="3491" customWidth="1"/>
    <col min="4879" max="4879" width="16.875" style="3491" customWidth="1"/>
    <col min="4880" max="4881" width="20.125" style="3491" customWidth="1"/>
    <col min="4882" max="4882" width="7.875" style="3491" customWidth="1"/>
    <col min="4883" max="5092" width="9" style="3491"/>
    <col min="5093" max="5093" width="32" style="3491" customWidth="1"/>
    <col min="5094" max="5094" width="6.25" style="3491" customWidth="1"/>
    <col min="5095" max="5095" width="7.875" style="3491" customWidth="1"/>
    <col min="5096" max="5097" width="6.25" style="3491" customWidth="1"/>
    <col min="5098" max="5098" width="32" style="3491" customWidth="1"/>
    <col min="5099" max="5099" width="7.875" style="3491" customWidth="1"/>
    <col min="5100" max="5100" width="8.75" style="3491" customWidth="1"/>
    <col min="5101" max="5101" width="29.375" style="3491" customWidth="1"/>
    <col min="5102" max="5103" width="13.875" style="3491" customWidth="1"/>
    <col min="5104" max="5104" width="25.375" style="3491" customWidth="1"/>
    <col min="5105" max="5105" width="7.875" style="3491" customWidth="1"/>
    <col min="5106" max="5107" width="11.25" style="3491" customWidth="1"/>
    <col min="5108" max="5108" width="9.625" style="3491" customWidth="1"/>
    <col min="5109" max="5110" width="15.5" style="3491" customWidth="1"/>
    <col min="5111" max="5111" width="12.875" style="3491" customWidth="1"/>
    <col min="5112" max="5113" width="11.25" style="3491" customWidth="1"/>
    <col min="5114" max="5114" width="17.875" style="3491" customWidth="1"/>
    <col min="5115" max="5115" width="7.875" style="3491" customWidth="1"/>
    <col min="5116" max="5119" width="9" style="3491" customWidth="1"/>
    <col min="5120" max="5120" width="18.375" style="3491" customWidth="1"/>
    <col min="5121" max="5121" width="7.875" style="3491" customWidth="1"/>
    <col min="5122" max="5122" width="24.5" style="3491" customWidth="1"/>
    <col min="5123" max="5123" width="21.125" style="3491" customWidth="1"/>
    <col min="5124" max="5126" width="10.625" style="3491" customWidth="1"/>
    <col min="5127" max="5128" width="16" style="3491" customWidth="1"/>
    <col min="5129" max="5130" width="14.375" style="3491" customWidth="1"/>
    <col min="5131" max="5132" width="21.875" style="3491" customWidth="1"/>
    <col min="5133" max="5133" width="6.25" style="3491" customWidth="1"/>
    <col min="5134" max="5134" width="7.875" style="3491" customWidth="1"/>
    <col min="5135" max="5135" width="16.875" style="3491" customWidth="1"/>
    <col min="5136" max="5137" width="20.125" style="3491" customWidth="1"/>
    <col min="5138" max="5138" width="7.875" style="3491" customWidth="1"/>
    <col min="5139" max="5348" width="9" style="3491"/>
    <col min="5349" max="5349" width="32" style="3491" customWidth="1"/>
    <col min="5350" max="5350" width="6.25" style="3491" customWidth="1"/>
    <col min="5351" max="5351" width="7.875" style="3491" customWidth="1"/>
    <col min="5352" max="5353" width="6.25" style="3491" customWidth="1"/>
    <col min="5354" max="5354" width="32" style="3491" customWidth="1"/>
    <col min="5355" max="5355" width="7.875" style="3491" customWidth="1"/>
    <col min="5356" max="5356" width="8.75" style="3491" customWidth="1"/>
    <col min="5357" max="5357" width="29.375" style="3491" customWidth="1"/>
    <col min="5358" max="5359" width="13.875" style="3491" customWidth="1"/>
    <col min="5360" max="5360" width="25.375" style="3491" customWidth="1"/>
    <col min="5361" max="5361" width="7.875" style="3491" customWidth="1"/>
    <col min="5362" max="5363" width="11.25" style="3491" customWidth="1"/>
    <col min="5364" max="5364" width="9.625" style="3491" customWidth="1"/>
    <col min="5365" max="5366" width="15.5" style="3491" customWidth="1"/>
    <col min="5367" max="5367" width="12.875" style="3491" customWidth="1"/>
    <col min="5368" max="5369" width="11.25" style="3491" customWidth="1"/>
    <col min="5370" max="5370" width="17.875" style="3491" customWidth="1"/>
    <col min="5371" max="5371" width="7.875" style="3491" customWidth="1"/>
    <col min="5372" max="5375" width="9" style="3491" customWidth="1"/>
    <col min="5376" max="5376" width="18.375" style="3491" customWidth="1"/>
    <col min="5377" max="5377" width="7.875" style="3491" customWidth="1"/>
    <col min="5378" max="5378" width="24.5" style="3491" customWidth="1"/>
    <col min="5379" max="5379" width="21.125" style="3491" customWidth="1"/>
    <col min="5380" max="5382" width="10.625" style="3491" customWidth="1"/>
    <col min="5383" max="5384" width="16" style="3491" customWidth="1"/>
    <col min="5385" max="5386" width="14.375" style="3491" customWidth="1"/>
    <col min="5387" max="5388" width="21.875" style="3491" customWidth="1"/>
    <col min="5389" max="5389" width="6.25" style="3491" customWidth="1"/>
    <col min="5390" max="5390" width="7.875" style="3491" customWidth="1"/>
    <col min="5391" max="5391" width="16.875" style="3491" customWidth="1"/>
    <col min="5392" max="5393" width="20.125" style="3491" customWidth="1"/>
    <col min="5394" max="5394" width="7.875" style="3491" customWidth="1"/>
    <col min="5395" max="5604" width="9" style="3491"/>
    <col min="5605" max="5605" width="32" style="3491" customWidth="1"/>
    <col min="5606" max="5606" width="6.25" style="3491" customWidth="1"/>
    <col min="5607" max="5607" width="7.875" style="3491" customWidth="1"/>
    <col min="5608" max="5609" width="6.25" style="3491" customWidth="1"/>
    <col min="5610" max="5610" width="32" style="3491" customWidth="1"/>
    <col min="5611" max="5611" width="7.875" style="3491" customWidth="1"/>
    <col min="5612" max="5612" width="8.75" style="3491" customWidth="1"/>
    <col min="5613" max="5613" width="29.375" style="3491" customWidth="1"/>
    <col min="5614" max="5615" width="13.875" style="3491" customWidth="1"/>
    <col min="5616" max="5616" width="25.375" style="3491" customWidth="1"/>
    <col min="5617" max="5617" width="7.875" style="3491" customWidth="1"/>
    <col min="5618" max="5619" width="11.25" style="3491" customWidth="1"/>
    <col min="5620" max="5620" width="9.625" style="3491" customWidth="1"/>
    <col min="5621" max="5622" width="15.5" style="3491" customWidth="1"/>
    <col min="5623" max="5623" width="12.875" style="3491" customWidth="1"/>
    <col min="5624" max="5625" width="11.25" style="3491" customWidth="1"/>
    <col min="5626" max="5626" width="17.875" style="3491" customWidth="1"/>
    <col min="5627" max="5627" width="7.875" style="3491" customWidth="1"/>
    <col min="5628" max="5631" width="9" style="3491" customWidth="1"/>
    <col min="5632" max="5632" width="18.375" style="3491" customWidth="1"/>
    <col min="5633" max="5633" width="7.875" style="3491" customWidth="1"/>
    <col min="5634" max="5634" width="24.5" style="3491" customWidth="1"/>
    <col min="5635" max="5635" width="21.125" style="3491" customWidth="1"/>
    <col min="5636" max="5638" width="10.625" style="3491" customWidth="1"/>
    <col min="5639" max="5640" width="16" style="3491" customWidth="1"/>
    <col min="5641" max="5642" width="14.375" style="3491" customWidth="1"/>
    <col min="5643" max="5644" width="21.875" style="3491" customWidth="1"/>
    <col min="5645" max="5645" width="6.25" style="3491" customWidth="1"/>
    <col min="5646" max="5646" width="7.875" style="3491" customWidth="1"/>
    <col min="5647" max="5647" width="16.875" style="3491" customWidth="1"/>
    <col min="5648" max="5649" width="20.125" style="3491" customWidth="1"/>
    <col min="5650" max="5650" width="7.875" style="3491" customWidth="1"/>
    <col min="5651" max="5860" width="9" style="3491"/>
    <col min="5861" max="5861" width="32" style="3491" customWidth="1"/>
    <col min="5862" max="5862" width="6.25" style="3491" customWidth="1"/>
    <col min="5863" max="5863" width="7.875" style="3491" customWidth="1"/>
    <col min="5864" max="5865" width="6.25" style="3491" customWidth="1"/>
    <col min="5866" max="5866" width="32" style="3491" customWidth="1"/>
    <col min="5867" max="5867" width="7.875" style="3491" customWidth="1"/>
    <col min="5868" max="5868" width="8.75" style="3491" customWidth="1"/>
    <col min="5869" max="5869" width="29.375" style="3491" customWidth="1"/>
    <col min="5870" max="5871" width="13.875" style="3491" customWidth="1"/>
    <col min="5872" max="5872" width="25.375" style="3491" customWidth="1"/>
    <col min="5873" max="5873" width="7.875" style="3491" customWidth="1"/>
    <col min="5874" max="5875" width="11.25" style="3491" customWidth="1"/>
    <col min="5876" max="5876" width="9.625" style="3491" customWidth="1"/>
    <col min="5877" max="5878" width="15.5" style="3491" customWidth="1"/>
    <col min="5879" max="5879" width="12.875" style="3491" customWidth="1"/>
    <col min="5880" max="5881" width="11.25" style="3491" customWidth="1"/>
    <col min="5882" max="5882" width="17.875" style="3491" customWidth="1"/>
    <col min="5883" max="5883" width="7.875" style="3491" customWidth="1"/>
    <col min="5884" max="5887" width="9" style="3491" customWidth="1"/>
    <col min="5888" max="5888" width="18.375" style="3491" customWidth="1"/>
    <col min="5889" max="5889" width="7.875" style="3491" customWidth="1"/>
    <col min="5890" max="5890" width="24.5" style="3491" customWidth="1"/>
    <col min="5891" max="5891" width="21.125" style="3491" customWidth="1"/>
    <col min="5892" max="5894" width="10.625" style="3491" customWidth="1"/>
    <col min="5895" max="5896" width="16" style="3491" customWidth="1"/>
    <col min="5897" max="5898" width="14.375" style="3491" customWidth="1"/>
    <col min="5899" max="5900" width="21.875" style="3491" customWidth="1"/>
    <col min="5901" max="5901" width="6.25" style="3491" customWidth="1"/>
    <col min="5902" max="5902" width="7.875" style="3491" customWidth="1"/>
    <col min="5903" max="5903" width="16.875" style="3491" customWidth="1"/>
    <col min="5904" max="5905" width="20.125" style="3491" customWidth="1"/>
    <col min="5906" max="5906" width="7.875" style="3491" customWidth="1"/>
    <col min="5907" max="6116" width="9" style="3491"/>
    <col min="6117" max="6117" width="32" style="3491" customWidth="1"/>
    <col min="6118" max="6118" width="6.25" style="3491" customWidth="1"/>
    <col min="6119" max="6119" width="7.875" style="3491" customWidth="1"/>
    <col min="6120" max="6121" width="6.25" style="3491" customWidth="1"/>
    <col min="6122" max="6122" width="32" style="3491" customWidth="1"/>
    <col min="6123" max="6123" width="7.875" style="3491" customWidth="1"/>
    <col min="6124" max="6124" width="8.75" style="3491" customWidth="1"/>
    <col min="6125" max="6125" width="29.375" style="3491" customWidth="1"/>
    <col min="6126" max="6127" width="13.875" style="3491" customWidth="1"/>
    <col min="6128" max="6128" width="25.375" style="3491" customWidth="1"/>
    <col min="6129" max="6129" width="7.875" style="3491" customWidth="1"/>
    <col min="6130" max="6131" width="11.25" style="3491" customWidth="1"/>
    <col min="6132" max="6132" width="9.625" style="3491" customWidth="1"/>
    <col min="6133" max="6134" width="15.5" style="3491" customWidth="1"/>
    <col min="6135" max="6135" width="12.875" style="3491" customWidth="1"/>
    <col min="6136" max="6137" width="11.25" style="3491" customWidth="1"/>
    <col min="6138" max="6138" width="17.875" style="3491" customWidth="1"/>
    <col min="6139" max="6139" width="7.875" style="3491" customWidth="1"/>
    <col min="6140" max="6143" width="9" style="3491" customWidth="1"/>
    <col min="6144" max="6144" width="18.375" style="3491" customWidth="1"/>
    <col min="6145" max="6145" width="7.875" style="3491" customWidth="1"/>
    <col min="6146" max="6146" width="24.5" style="3491" customWidth="1"/>
    <col min="6147" max="6147" width="21.125" style="3491" customWidth="1"/>
    <col min="6148" max="6150" width="10.625" style="3491" customWidth="1"/>
    <col min="6151" max="6152" width="16" style="3491" customWidth="1"/>
    <col min="6153" max="6154" width="14.375" style="3491" customWidth="1"/>
    <col min="6155" max="6156" width="21.875" style="3491" customWidth="1"/>
    <col min="6157" max="6157" width="6.25" style="3491" customWidth="1"/>
    <col min="6158" max="6158" width="7.875" style="3491" customWidth="1"/>
    <col min="6159" max="6159" width="16.875" style="3491" customWidth="1"/>
    <col min="6160" max="6161" width="20.125" style="3491" customWidth="1"/>
    <col min="6162" max="6162" width="7.875" style="3491" customWidth="1"/>
    <col min="6163" max="6372" width="9" style="3491"/>
    <col min="6373" max="6373" width="32" style="3491" customWidth="1"/>
    <col min="6374" max="6374" width="6.25" style="3491" customWidth="1"/>
    <col min="6375" max="6375" width="7.875" style="3491" customWidth="1"/>
    <col min="6376" max="6377" width="6.25" style="3491" customWidth="1"/>
    <col min="6378" max="6378" width="32" style="3491" customWidth="1"/>
    <col min="6379" max="6379" width="7.875" style="3491" customWidth="1"/>
    <col min="6380" max="6380" width="8.75" style="3491" customWidth="1"/>
    <col min="6381" max="6381" width="29.375" style="3491" customWidth="1"/>
    <col min="6382" max="6383" width="13.875" style="3491" customWidth="1"/>
    <col min="6384" max="6384" width="25.375" style="3491" customWidth="1"/>
    <col min="6385" max="6385" width="7.875" style="3491" customWidth="1"/>
    <col min="6386" max="6387" width="11.25" style="3491" customWidth="1"/>
    <col min="6388" max="6388" width="9.625" style="3491" customWidth="1"/>
    <col min="6389" max="6390" width="15.5" style="3491" customWidth="1"/>
    <col min="6391" max="6391" width="12.875" style="3491" customWidth="1"/>
    <col min="6392" max="6393" width="11.25" style="3491" customWidth="1"/>
    <col min="6394" max="6394" width="17.875" style="3491" customWidth="1"/>
    <col min="6395" max="6395" width="7.875" style="3491" customWidth="1"/>
    <col min="6396" max="6399" width="9" style="3491" customWidth="1"/>
    <col min="6400" max="6400" width="18.375" style="3491" customWidth="1"/>
    <col min="6401" max="6401" width="7.875" style="3491" customWidth="1"/>
    <col min="6402" max="6402" width="24.5" style="3491" customWidth="1"/>
    <col min="6403" max="6403" width="21.125" style="3491" customWidth="1"/>
    <col min="6404" max="6406" width="10.625" style="3491" customWidth="1"/>
    <col min="6407" max="6408" width="16" style="3491" customWidth="1"/>
    <col min="6409" max="6410" width="14.375" style="3491" customWidth="1"/>
    <col min="6411" max="6412" width="21.875" style="3491" customWidth="1"/>
    <col min="6413" max="6413" width="6.25" style="3491" customWidth="1"/>
    <col min="6414" max="6414" width="7.875" style="3491" customWidth="1"/>
    <col min="6415" max="6415" width="16.875" style="3491" customWidth="1"/>
    <col min="6416" max="6417" width="20.125" style="3491" customWidth="1"/>
    <col min="6418" max="6418" width="7.875" style="3491" customWidth="1"/>
    <col min="6419" max="6628" width="9" style="3491"/>
    <col min="6629" max="6629" width="32" style="3491" customWidth="1"/>
    <col min="6630" max="6630" width="6.25" style="3491" customWidth="1"/>
    <col min="6631" max="6631" width="7.875" style="3491" customWidth="1"/>
    <col min="6632" max="6633" width="6.25" style="3491" customWidth="1"/>
    <col min="6634" max="6634" width="32" style="3491" customWidth="1"/>
    <col min="6635" max="6635" width="7.875" style="3491" customWidth="1"/>
    <col min="6636" max="6636" width="8.75" style="3491" customWidth="1"/>
    <col min="6637" max="6637" width="29.375" style="3491" customWidth="1"/>
    <col min="6638" max="6639" width="13.875" style="3491" customWidth="1"/>
    <col min="6640" max="6640" width="25.375" style="3491" customWidth="1"/>
    <col min="6641" max="6641" width="7.875" style="3491" customWidth="1"/>
    <col min="6642" max="6643" width="11.25" style="3491" customWidth="1"/>
    <col min="6644" max="6644" width="9.625" style="3491" customWidth="1"/>
    <col min="6645" max="6646" width="15.5" style="3491" customWidth="1"/>
    <col min="6647" max="6647" width="12.875" style="3491" customWidth="1"/>
    <col min="6648" max="6649" width="11.25" style="3491" customWidth="1"/>
    <col min="6650" max="6650" width="17.875" style="3491" customWidth="1"/>
    <col min="6651" max="6651" width="7.875" style="3491" customWidth="1"/>
    <col min="6652" max="6655" width="9" style="3491" customWidth="1"/>
    <col min="6656" max="6656" width="18.375" style="3491" customWidth="1"/>
    <col min="6657" max="6657" width="7.875" style="3491" customWidth="1"/>
    <col min="6658" max="6658" width="24.5" style="3491" customWidth="1"/>
    <col min="6659" max="6659" width="21.125" style="3491" customWidth="1"/>
    <col min="6660" max="6662" width="10.625" style="3491" customWidth="1"/>
    <col min="6663" max="6664" width="16" style="3491" customWidth="1"/>
    <col min="6665" max="6666" width="14.375" style="3491" customWidth="1"/>
    <col min="6667" max="6668" width="21.875" style="3491" customWidth="1"/>
    <col min="6669" max="6669" width="6.25" style="3491" customWidth="1"/>
    <col min="6670" max="6670" width="7.875" style="3491" customWidth="1"/>
    <col min="6671" max="6671" width="16.875" style="3491" customWidth="1"/>
    <col min="6672" max="6673" width="20.125" style="3491" customWidth="1"/>
    <col min="6674" max="6674" width="7.875" style="3491" customWidth="1"/>
    <col min="6675" max="6884" width="9" style="3491"/>
    <col min="6885" max="6885" width="32" style="3491" customWidth="1"/>
    <col min="6886" max="6886" width="6.25" style="3491" customWidth="1"/>
    <col min="6887" max="6887" width="7.875" style="3491" customWidth="1"/>
    <col min="6888" max="6889" width="6.25" style="3491" customWidth="1"/>
    <col min="6890" max="6890" width="32" style="3491" customWidth="1"/>
    <col min="6891" max="6891" width="7.875" style="3491" customWidth="1"/>
    <col min="6892" max="6892" width="8.75" style="3491" customWidth="1"/>
    <col min="6893" max="6893" width="29.375" style="3491" customWidth="1"/>
    <col min="6894" max="6895" width="13.875" style="3491" customWidth="1"/>
    <col min="6896" max="6896" width="25.375" style="3491" customWidth="1"/>
    <col min="6897" max="6897" width="7.875" style="3491" customWidth="1"/>
    <col min="6898" max="6899" width="11.25" style="3491" customWidth="1"/>
    <col min="6900" max="6900" width="9.625" style="3491" customWidth="1"/>
    <col min="6901" max="6902" width="15.5" style="3491" customWidth="1"/>
    <col min="6903" max="6903" width="12.875" style="3491" customWidth="1"/>
    <col min="6904" max="6905" width="11.25" style="3491" customWidth="1"/>
    <col min="6906" max="6906" width="17.875" style="3491" customWidth="1"/>
    <col min="6907" max="6907" width="7.875" style="3491" customWidth="1"/>
    <col min="6908" max="6911" width="9" style="3491" customWidth="1"/>
    <col min="6912" max="6912" width="18.375" style="3491" customWidth="1"/>
    <col min="6913" max="6913" width="7.875" style="3491" customWidth="1"/>
    <col min="6914" max="6914" width="24.5" style="3491" customWidth="1"/>
    <col min="6915" max="6915" width="21.125" style="3491" customWidth="1"/>
    <col min="6916" max="6918" width="10.625" style="3491" customWidth="1"/>
    <col min="6919" max="6920" width="16" style="3491" customWidth="1"/>
    <col min="6921" max="6922" width="14.375" style="3491" customWidth="1"/>
    <col min="6923" max="6924" width="21.875" style="3491" customWidth="1"/>
    <col min="6925" max="6925" width="6.25" style="3491" customWidth="1"/>
    <col min="6926" max="6926" width="7.875" style="3491" customWidth="1"/>
    <col min="6927" max="6927" width="16.875" style="3491" customWidth="1"/>
    <col min="6928" max="6929" width="20.125" style="3491" customWidth="1"/>
    <col min="6930" max="6930" width="7.875" style="3491" customWidth="1"/>
    <col min="6931" max="7140" width="9" style="3491"/>
    <col min="7141" max="7141" width="32" style="3491" customWidth="1"/>
    <col min="7142" max="7142" width="6.25" style="3491" customWidth="1"/>
    <col min="7143" max="7143" width="7.875" style="3491" customWidth="1"/>
    <col min="7144" max="7145" width="6.25" style="3491" customWidth="1"/>
    <col min="7146" max="7146" width="32" style="3491" customWidth="1"/>
    <col min="7147" max="7147" width="7.875" style="3491" customWidth="1"/>
    <col min="7148" max="7148" width="8.75" style="3491" customWidth="1"/>
    <col min="7149" max="7149" width="29.375" style="3491" customWidth="1"/>
    <col min="7150" max="7151" width="13.875" style="3491" customWidth="1"/>
    <col min="7152" max="7152" width="25.375" style="3491" customWidth="1"/>
    <col min="7153" max="7153" width="7.875" style="3491" customWidth="1"/>
    <col min="7154" max="7155" width="11.25" style="3491" customWidth="1"/>
    <col min="7156" max="7156" width="9.625" style="3491" customWidth="1"/>
    <col min="7157" max="7158" width="15.5" style="3491" customWidth="1"/>
    <col min="7159" max="7159" width="12.875" style="3491" customWidth="1"/>
    <col min="7160" max="7161" width="11.25" style="3491" customWidth="1"/>
    <col min="7162" max="7162" width="17.875" style="3491" customWidth="1"/>
    <col min="7163" max="7163" width="7.875" style="3491" customWidth="1"/>
    <col min="7164" max="7167" width="9" style="3491" customWidth="1"/>
    <col min="7168" max="7168" width="18.375" style="3491" customWidth="1"/>
    <col min="7169" max="7169" width="7.875" style="3491" customWidth="1"/>
    <col min="7170" max="7170" width="24.5" style="3491" customWidth="1"/>
    <col min="7171" max="7171" width="21.125" style="3491" customWidth="1"/>
    <col min="7172" max="7174" width="10.625" style="3491" customWidth="1"/>
    <col min="7175" max="7176" width="16" style="3491" customWidth="1"/>
    <col min="7177" max="7178" width="14.375" style="3491" customWidth="1"/>
    <col min="7179" max="7180" width="21.875" style="3491" customWidth="1"/>
    <col min="7181" max="7181" width="6.25" style="3491" customWidth="1"/>
    <col min="7182" max="7182" width="7.875" style="3491" customWidth="1"/>
    <col min="7183" max="7183" width="16.875" style="3491" customWidth="1"/>
    <col min="7184" max="7185" width="20.125" style="3491" customWidth="1"/>
    <col min="7186" max="7186" width="7.875" style="3491" customWidth="1"/>
    <col min="7187" max="7396" width="9" style="3491"/>
    <col min="7397" max="7397" width="32" style="3491" customWidth="1"/>
    <col min="7398" max="7398" width="6.25" style="3491" customWidth="1"/>
    <col min="7399" max="7399" width="7.875" style="3491" customWidth="1"/>
    <col min="7400" max="7401" width="6.25" style="3491" customWidth="1"/>
    <col min="7402" max="7402" width="32" style="3491" customWidth="1"/>
    <col min="7403" max="7403" width="7.875" style="3491" customWidth="1"/>
    <col min="7404" max="7404" width="8.75" style="3491" customWidth="1"/>
    <col min="7405" max="7405" width="29.375" style="3491" customWidth="1"/>
    <col min="7406" max="7407" width="13.875" style="3491" customWidth="1"/>
    <col min="7408" max="7408" width="25.375" style="3491" customWidth="1"/>
    <col min="7409" max="7409" width="7.875" style="3491" customWidth="1"/>
    <col min="7410" max="7411" width="11.25" style="3491" customWidth="1"/>
    <col min="7412" max="7412" width="9.625" style="3491" customWidth="1"/>
    <col min="7413" max="7414" width="15.5" style="3491" customWidth="1"/>
    <col min="7415" max="7415" width="12.875" style="3491" customWidth="1"/>
    <col min="7416" max="7417" width="11.25" style="3491" customWidth="1"/>
    <col min="7418" max="7418" width="17.875" style="3491" customWidth="1"/>
    <col min="7419" max="7419" width="7.875" style="3491" customWidth="1"/>
    <col min="7420" max="7423" width="9" style="3491" customWidth="1"/>
    <col min="7424" max="7424" width="18.375" style="3491" customWidth="1"/>
    <col min="7425" max="7425" width="7.875" style="3491" customWidth="1"/>
    <col min="7426" max="7426" width="24.5" style="3491" customWidth="1"/>
    <col min="7427" max="7427" width="21.125" style="3491" customWidth="1"/>
    <col min="7428" max="7430" width="10.625" style="3491" customWidth="1"/>
    <col min="7431" max="7432" width="16" style="3491" customWidth="1"/>
    <col min="7433" max="7434" width="14.375" style="3491" customWidth="1"/>
    <col min="7435" max="7436" width="21.875" style="3491" customWidth="1"/>
    <col min="7437" max="7437" width="6.25" style="3491" customWidth="1"/>
    <col min="7438" max="7438" width="7.875" style="3491" customWidth="1"/>
    <col min="7439" max="7439" width="16.875" style="3491" customWidth="1"/>
    <col min="7440" max="7441" width="20.125" style="3491" customWidth="1"/>
    <col min="7442" max="7442" width="7.875" style="3491" customWidth="1"/>
    <col min="7443" max="7652" width="9" style="3491"/>
    <col min="7653" max="7653" width="32" style="3491" customWidth="1"/>
    <col min="7654" max="7654" width="6.25" style="3491" customWidth="1"/>
    <col min="7655" max="7655" width="7.875" style="3491" customWidth="1"/>
    <col min="7656" max="7657" width="6.25" style="3491" customWidth="1"/>
    <col min="7658" max="7658" width="32" style="3491" customWidth="1"/>
    <col min="7659" max="7659" width="7.875" style="3491" customWidth="1"/>
    <col min="7660" max="7660" width="8.75" style="3491" customWidth="1"/>
    <col min="7661" max="7661" width="29.375" style="3491" customWidth="1"/>
    <col min="7662" max="7663" width="13.875" style="3491" customWidth="1"/>
    <col min="7664" max="7664" width="25.375" style="3491" customWidth="1"/>
    <col min="7665" max="7665" width="7.875" style="3491" customWidth="1"/>
    <col min="7666" max="7667" width="11.25" style="3491" customWidth="1"/>
    <col min="7668" max="7668" width="9.625" style="3491" customWidth="1"/>
    <col min="7669" max="7670" width="15.5" style="3491" customWidth="1"/>
    <col min="7671" max="7671" width="12.875" style="3491" customWidth="1"/>
    <col min="7672" max="7673" width="11.25" style="3491" customWidth="1"/>
    <col min="7674" max="7674" width="17.875" style="3491" customWidth="1"/>
    <col min="7675" max="7675" width="7.875" style="3491" customWidth="1"/>
    <col min="7676" max="7679" width="9" style="3491" customWidth="1"/>
    <col min="7680" max="7680" width="18.375" style="3491" customWidth="1"/>
    <col min="7681" max="7681" width="7.875" style="3491" customWidth="1"/>
    <col min="7682" max="7682" width="24.5" style="3491" customWidth="1"/>
    <col min="7683" max="7683" width="21.125" style="3491" customWidth="1"/>
    <col min="7684" max="7686" width="10.625" style="3491" customWidth="1"/>
    <col min="7687" max="7688" width="16" style="3491" customWidth="1"/>
    <col min="7689" max="7690" width="14.375" style="3491" customWidth="1"/>
    <col min="7691" max="7692" width="21.875" style="3491" customWidth="1"/>
    <col min="7693" max="7693" width="6.25" style="3491" customWidth="1"/>
    <col min="7694" max="7694" width="7.875" style="3491" customWidth="1"/>
    <col min="7695" max="7695" width="16.875" style="3491" customWidth="1"/>
    <col min="7696" max="7697" width="20.125" style="3491" customWidth="1"/>
    <col min="7698" max="7698" width="7.875" style="3491" customWidth="1"/>
    <col min="7699" max="7908" width="9" style="3491"/>
    <col min="7909" max="7909" width="32" style="3491" customWidth="1"/>
    <col min="7910" max="7910" width="6.25" style="3491" customWidth="1"/>
    <col min="7911" max="7911" width="7.875" style="3491" customWidth="1"/>
    <col min="7912" max="7913" width="6.25" style="3491" customWidth="1"/>
    <col min="7914" max="7914" width="32" style="3491" customWidth="1"/>
    <col min="7915" max="7915" width="7.875" style="3491" customWidth="1"/>
    <col min="7916" max="7916" width="8.75" style="3491" customWidth="1"/>
    <col min="7917" max="7917" width="29.375" style="3491" customWidth="1"/>
    <col min="7918" max="7919" width="13.875" style="3491" customWidth="1"/>
    <col min="7920" max="7920" width="25.375" style="3491" customWidth="1"/>
    <col min="7921" max="7921" width="7.875" style="3491" customWidth="1"/>
    <col min="7922" max="7923" width="11.25" style="3491" customWidth="1"/>
    <col min="7924" max="7924" width="9.625" style="3491" customWidth="1"/>
    <col min="7925" max="7926" width="15.5" style="3491" customWidth="1"/>
    <col min="7927" max="7927" width="12.875" style="3491" customWidth="1"/>
    <col min="7928" max="7929" width="11.25" style="3491" customWidth="1"/>
    <col min="7930" max="7930" width="17.875" style="3491" customWidth="1"/>
    <col min="7931" max="7931" width="7.875" style="3491" customWidth="1"/>
    <col min="7932" max="7935" width="9" style="3491" customWidth="1"/>
    <col min="7936" max="7936" width="18.375" style="3491" customWidth="1"/>
    <col min="7937" max="7937" width="7.875" style="3491" customWidth="1"/>
    <col min="7938" max="7938" width="24.5" style="3491" customWidth="1"/>
    <col min="7939" max="7939" width="21.125" style="3491" customWidth="1"/>
    <col min="7940" max="7942" width="10.625" style="3491" customWidth="1"/>
    <col min="7943" max="7944" width="16" style="3491" customWidth="1"/>
    <col min="7945" max="7946" width="14.375" style="3491" customWidth="1"/>
    <col min="7947" max="7948" width="21.875" style="3491" customWidth="1"/>
    <col min="7949" max="7949" width="6.25" style="3491" customWidth="1"/>
    <col min="7950" max="7950" width="7.875" style="3491" customWidth="1"/>
    <col min="7951" max="7951" width="16.875" style="3491" customWidth="1"/>
    <col min="7952" max="7953" width="20.125" style="3491" customWidth="1"/>
    <col min="7954" max="7954" width="7.875" style="3491" customWidth="1"/>
    <col min="7955" max="8164" width="9" style="3491"/>
    <col min="8165" max="8165" width="32" style="3491" customWidth="1"/>
    <col min="8166" max="8166" width="6.25" style="3491" customWidth="1"/>
    <col min="8167" max="8167" width="7.875" style="3491" customWidth="1"/>
    <col min="8168" max="8169" width="6.25" style="3491" customWidth="1"/>
    <col min="8170" max="8170" width="32" style="3491" customWidth="1"/>
    <col min="8171" max="8171" width="7.875" style="3491" customWidth="1"/>
    <col min="8172" max="8172" width="8.75" style="3491" customWidth="1"/>
    <col min="8173" max="8173" width="29.375" style="3491" customWidth="1"/>
    <col min="8174" max="8175" width="13.875" style="3491" customWidth="1"/>
    <col min="8176" max="8176" width="25.375" style="3491" customWidth="1"/>
    <col min="8177" max="8177" width="7.875" style="3491" customWidth="1"/>
    <col min="8178" max="8179" width="11.25" style="3491" customWidth="1"/>
    <col min="8180" max="8180" width="9.625" style="3491" customWidth="1"/>
    <col min="8181" max="8182" width="15.5" style="3491" customWidth="1"/>
    <col min="8183" max="8183" width="12.875" style="3491" customWidth="1"/>
    <col min="8184" max="8185" width="11.25" style="3491" customWidth="1"/>
    <col min="8186" max="8186" width="17.875" style="3491" customWidth="1"/>
    <col min="8187" max="8187" width="7.875" style="3491" customWidth="1"/>
    <col min="8188" max="8191" width="9" style="3491" customWidth="1"/>
    <col min="8192" max="8192" width="18.375" style="3491" customWidth="1"/>
    <col min="8193" max="8193" width="7.875" style="3491" customWidth="1"/>
    <col min="8194" max="8194" width="24.5" style="3491" customWidth="1"/>
    <col min="8195" max="8195" width="21.125" style="3491" customWidth="1"/>
    <col min="8196" max="8198" width="10.625" style="3491" customWidth="1"/>
    <col min="8199" max="8200" width="16" style="3491" customWidth="1"/>
    <col min="8201" max="8202" width="14.375" style="3491" customWidth="1"/>
    <col min="8203" max="8204" width="21.875" style="3491" customWidth="1"/>
    <col min="8205" max="8205" width="6.25" style="3491" customWidth="1"/>
    <col min="8206" max="8206" width="7.875" style="3491" customWidth="1"/>
    <col min="8207" max="8207" width="16.875" style="3491" customWidth="1"/>
    <col min="8208" max="8209" width="20.125" style="3491" customWidth="1"/>
    <col min="8210" max="8210" width="7.875" style="3491" customWidth="1"/>
    <col min="8211" max="8420" width="9" style="3491"/>
    <col min="8421" max="8421" width="32" style="3491" customWidth="1"/>
    <col min="8422" max="8422" width="6.25" style="3491" customWidth="1"/>
    <col min="8423" max="8423" width="7.875" style="3491" customWidth="1"/>
    <col min="8424" max="8425" width="6.25" style="3491" customWidth="1"/>
    <col min="8426" max="8426" width="32" style="3491" customWidth="1"/>
    <col min="8427" max="8427" width="7.875" style="3491" customWidth="1"/>
    <col min="8428" max="8428" width="8.75" style="3491" customWidth="1"/>
    <col min="8429" max="8429" width="29.375" style="3491" customWidth="1"/>
    <col min="8430" max="8431" width="13.875" style="3491" customWidth="1"/>
    <col min="8432" max="8432" width="25.375" style="3491" customWidth="1"/>
    <col min="8433" max="8433" width="7.875" style="3491" customWidth="1"/>
    <col min="8434" max="8435" width="11.25" style="3491" customWidth="1"/>
    <col min="8436" max="8436" width="9.625" style="3491" customWidth="1"/>
    <col min="8437" max="8438" width="15.5" style="3491" customWidth="1"/>
    <col min="8439" max="8439" width="12.875" style="3491" customWidth="1"/>
    <col min="8440" max="8441" width="11.25" style="3491" customWidth="1"/>
    <col min="8442" max="8442" width="17.875" style="3491" customWidth="1"/>
    <col min="8443" max="8443" width="7.875" style="3491" customWidth="1"/>
    <col min="8444" max="8447" width="9" style="3491" customWidth="1"/>
    <col min="8448" max="8448" width="18.375" style="3491" customWidth="1"/>
    <col min="8449" max="8449" width="7.875" style="3491" customWidth="1"/>
    <col min="8450" max="8450" width="24.5" style="3491" customWidth="1"/>
    <col min="8451" max="8451" width="21.125" style="3491" customWidth="1"/>
    <col min="8452" max="8454" width="10.625" style="3491" customWidth="1"/>
    <col min="8455" max="8456" width="16" style="3491" customWidth="1"/>
    <col min="8457" max="8458" width="14.375" style="3491" customWidth="1"/>
    <col min="8459" max="8460" width="21.875" style="3491" customWidth="1"/>
    <col min="8461" max="8461" width="6.25" style="3491" customWidth="1"/>
    <col min="8462" max="8462" width="7.875" style="3491" customWidth="1"/>
    <col min="8463" max="8463" width="16.875" style="3491" customWidth="1"/>
    <col min="8464" max="8465" width="20.125" style="3491" customWidth="1"/>
    <col min="8466" max="8466" width="7.875" style="3491" customWidth="1"/>
    <col min="8467" max="8676" width="9" style="3491"/>
    <col min="8677" max="8677" width="32" style="3491" customWidth="1"/>
    <col min="8678" max="8678" width="6.25" style="3491" customWidth="1"/>
    <col min="8679" max="8679" width="7.875" style="3491" customWidth="1"/>
    <col min="8680" max="8681" width="6.25" style="3491" customWidth="1"/>
    <col min="8682" max="8682" width="32" style="3491" customWidth="1"/>
    <col min="8683" max="8683" width="7.875" style="3491" customWidth="1"/>
    <col min="8684" max="8684" width="8.75" style="3491" customWidth="1"/>
    <col min="8685" max="8685" width="29.375" style="3491" customWidth="1"/>
    <col min="8686" max="8687" width="13.875" style="3491" customWidth="1"/>
    <col min="8688" max="8688" width="25.375" style="3491" customWidth="1"/>
    <col min="8689" max="8689" width="7.875" style="3491" customWidth="1"/>
    <col min="8690" max="8691" width="11.25" style="3491" customWidth="1"/>
    <col min="8692" max="8692" width="9.625" style="3491" customWidth="1"/>
    <col min="8693" max="8694" width="15.5" style="3491" customWidth="1"/>
    <col min="8695" max="8695" width="12.875" style="3491" customWidth="1"/>
    <col min="8696" max="8697" width="11.25" style="3491" customWidth="1"/>
    <col min="8698" max="8698" width="17.875" style="3491" customWidth="1"/>
    <col min="8699" max="8699" width="7.875" style="3491" customWidth="1"/>
    <col min="8700" max="8703" width="9" style="3491" customWidth="1"/>
    <col min="8704" max="8704" width="18.375" style="3491" customWidth="1"/>
    <col min="8705" max="8705" width="7.875" style="3491" customWidth="1"/>
    <col min="8706" max="8706" width="24.5" style="3491" customWidth="1"/>
    <col min="8707" max="8707" width="21.125" style="3491" customWidth="1"/>
    <col min="8708" max="8710" width="10.625" style="3491" customWidth="1"/>
    <col min="8711" max="8712" width="16" style="3491" customWidth="1"/>
    <col min="8713" max="8714" width="14.375" style="3491" customWidth="1"/>
    <col min="8715" max="8716" width="21.875" style="3491" customWidth="1"/>
    <col min="8717" max="8717" width="6.25" style="3491" customWidth="1"/>
    <col min="8718" max="8718" width="7.875" style="3491" customWidth="1"/>
    <col min="8719" max="8719" width="16.875" style="3491" customWidth="1"/>
    <col min="8720" max="8721" width="20.125" style="3491" customWidth="1"/>
    <col min="8722" max="8722" width="7.875" style="3491" customWidth="1"/>
    <col min="8723" max="8932" width="9" style="3491"/>
    <col min="8933" max="8933" width="32" style="3491" customWidth="1"/>
    <col min="8934" max="8934" width="6.25" style="3491" customWidth="1"/>
    <col min="8935" max="8935" width="7.875" style="3491" customWidth="1"/>
    <col min="8936" max="8937" width="6.25" style="3491" customWidth="1"/>
    <col min="8938" max="8938" width="32" style="3491" customWidth="1"/>
    <col min="8939" max="8939" width="7.875" style="3491" customWidth="1"/>
    <col min="8940" max="8940" width="8.75" style="3491" customWidth="1"/>
    <col min="8941" max="8941" width="29.375" style="3491" customWidth="1"/>
    <col min="8942" max="8943" width="13.875" style="3491" customWidth="1"/>
    <col min="8944" max="8944" width="25.375" style="3491" customWidth="1"/>
    <col min="8945" max="8945" width="7.875" style="3491" customWidth="1"/>
    <col min="8946" max="8947" width="11.25" style="3491" customWidth="1"/>
    <col min="8948" max="8948" width="9.625" style="3491" customWidth="1"/>
    <col min="8949" max="8950" width="15.5" style="3491" customWidth="1"/>
    <col min="8951" max="8951" width="12.875" style="3491" customWidth="1"/>
    <col min="8952" max="8953" width="11.25" style="3491" customWidth="1"/>
    <col min="8954" max="8954" width="17.875" style="3491" customWidth="1"/>
    <col min="8955" max="8955" width="7.875" style="3491" customWidth="1"/>
    <col min="8956" max="8959" width="9" style="3491" customWidth="1"/>
    <col min="8960" max="8960" width="18.375" style="3491" customWidth="1"/>
    <col min="8961" max="8961" width="7.875" style="3491" customWidth="1"/>
    <col min="8962" max="8962" width="24.5" style="3491" customWidth="1"/>
    <col min="8963" max="8963" width="21.125" style="3491" customWidth="1"/>
    <col min="8964" max="8966" width="10.625" style="3491" customWidth="1"/>
    <col min="8967" max="8968" width="16" style="3491" customWidth="1"/>
    <col min="8969" max="8970" width="14.375" style="3491" customWidth="1"/>
    <col min="8971" max="8972" width="21.875" style="3491" customWidth="1"/>
    <col min="8973" max="8973" width="6.25" style="3491" customWidth="1"/>
    <col min="8974" max="8974" width="7.875" style="3491" customWidth="1"/>
    <col min="8975" max="8975" width="16.875" style="3491" customWidth="1"/>
    <col min="8976" max="8977" width="20.125" style="3491" customWidth="1"/>
    <col min="8978" max="8978" width="7.875" style="3491" customWidth="1"/>
    <col min="8979" max="9188" width="9" style="3491"/>
    <col min="9189" max="9189" width="32" style="3491" customWidth="1"/>
    <col min="9190" max="9190" width="6.25" style="3491" customWidth="1"/>
    <col min="9191" max="9191" width="7.875" style="3491" customWidth="1"/>
    <col min="9192" max="9193" width="6.25" style="3491" customWidth="1"/>
    <col min="9194" max="9194" width="32" style="3491" customWidth="1"/>
    <col min="9195" max="9195" width="7.875" style="3491" customWidth="1"/>
    <col min="9196" max="9196" width="8.75" style="3491" customWidth="1"/>
    <col min="9197" max="9197" width="29.375" style="3491" customWidth="1"/>
    <col min="9198" max="9199" width="13.875" style="3491" customWidth="1"/>
    <col min="9200" max="9200" width="25.375" style="3491" customWidth="1"/>
    <col min="9201" max="9201" width="7.875" style="3491" customWidth="1"/>
    <col min="9202" max="9203" width="11.25" style="3491" customWidth="1"/>
    <col min="9204" max="9204" width="9.625" style="3491" customWidth="1"/>
    <col min="9205" max="9206" width="15.5" style="3491" customWidth="1"/>
    <col min="9207" max="9207" width="12.875" style="3491" customWidth="1"/>
    <col min="9208" max="9209" width="11.25" style="3491" customWidth="1"/>
    <col min="9210" max="9210" width="17.875" style="3491" customWidth="1"/>
    <col min="9211" max="9211" width="7.875" style="3491" customWidth="1"/>
    <col min="9212" max="9215" width="9" style="3491" customWidth="1"/>
    <col min="9216" max="9216" width="18.375" style="3491" customWidth="1"/>
    <col min="9217" max="9217" width="7.875" style="3491" customWidth="1"/>
    <col min="9218" max="9218" width="24.5" style="3491" customWidth="1"/>
    <col min="9219" max="9219" width="21.125" style="3491" customWidth="1"/>
    <col min="9220" max="9222" width="10.625" style="3491" customWidth="1"/>
    <col min="9223" max="9224" width="16" style="3491" customWidth="1"/>
    <col min="9225" max="9226" width="14.375" style="3491" customWidth="1"/>
    <col min="9227" max="9228" width="21.875" style="3491" customWidth="1"/>
    <col min="9229" max="9229" width="6.25" style="3491" customWidth="1"/>
    <col min="9230" max="9230" width="7.875" style="3491" customWidth="1"/>
    <col min="9231" max="9231" width="16.875" style="3491" customWidth="1"/>
    <col min="9232" max="9233" width="20.125" style="3491" customWidth="1"/>
    <col min="9234" max="9234" width="7.875" style="3491" customWidth="1"/>
    <col min="9235" max="9444" width="9" style="3491"/>
    <col min="9445" max="9445" width="32" style="3491" customWidth="1"/>
    <col min="9446" max="9446" width="6.25" style="3491" customWidth="1"/>
    <col min="9447" max="9447" width="7.875" style="3491" customWidth="1"/>
    <col min="9448" max="9449" width="6.25" style="3491" customWidth="1"/>
    <col min="9450" max="9450" width="32" style="3491" customWidth="1"/>
    <col min="9451" max="9451" width="7.875" style="3491" customWidth="1"/>
    <col min="9452" max="9452" width="8.75" style="3491" customWidth="1"/>
    <col min="9453" max="9453" width="29.375" style="3491" customWidth="1"/>
    <col min="9454" max="9455" width="13.875" style="3491" customWidth="1"/>
    <col min="9456" max="9456" width="25.375" style="3491" customWidth="1"/>
    <col min="9457" max="9457" width="7.875" style="3491" customWidth="1"/>
    <col min="9458" max="9459" width="11.25" style="3491" customWidth="1"/>
    <col min="9460" max="9460" width="9.625" style="3491" customWidth="1"/>
    <col min="9461" max="9462" width="15.5" style="3491" customWidth="1"/>
    <col min="9463" max="9463" width="12.875" style="3491" customWidth="1"/>
    <col min="9464" max="9465" width="11.25" style="3491" customWidth="1"/>
    <col min="9466" max="9466" width="17.875" style="3491" customWidth="1"/>
    <col min="9467" max="9467" width="7.875" style="3491" customWidth="1"/>
    <col min="9468" max="9471" width="9" style="3491" customWidth="1"/>
    <col min="9472" max="9472" width="18.375" style="3491" customWidth="1"/>
    <col min="9473" max="9473" width="7.875" style="3491" customWidth="1"/>
    <col min="9474" max="9474" width="24.5" style="3491" customWidth="1"/>
    <col min="9475" max="9475" width="21.125" style="3491" customWidth="1"/>
    <col min="9476" max="9478" width="10.625" style="3491" customWidth="1"/>
    <col min="9479" max="9480" width="16" style="3491" customWidth="1"/>
    <col min="9481" max="9482" width="14.375" style="3491" customWidth="1"/>
    <col min="9483" max="9484" width="21.875" style="3491" customWidth="1"/>
    <col min="9485" max="9485" width="6.25" style="3491" customWidth="1"/>
    <col min="9486" max="9486" width="7.875" style="3491" customWidth="1"/>
    <col min="9487" max="9487" width="16.875" style="3491" customWidth="1"/>
    <col min="9488" max="9489" width="20.125" style="3491" customWidth="1"/>
    <col min="9490" max="9490" width="7.875" style="3491" customWidth="1"/>
    <col min="9491" max="9700" width="9" style="3491"/>
    <col min="9701" max="9701" width="32" style="3491" customWidth="1"/>
    <col min="9702" max="9702" width="6.25" style="3491" customWidth="1"/>
    <col min="9703" max="9703" width="7.875" style="3491" customWidth="1"/>
    <col min="9704" max="9705" width="6.25" style="3491" customWidth="1"/>
    <col min="9706" max="9706" width="32" style="3491" customWidth="1"/>
    <col min="9707" max="9707" width="7.875" style="3491" customWidth="1"/>
    <col min="9708" max="9708" width="8.75" style="3491" customWidth="1"/>
    <col min="9709" max="9709" width="29.375" style="3491" customWidth="1"/>
    <col min="9710" max="9711" width="13.875" style="3491" customWidth="1"/>
    <col min="9712" max="9712" width="25.375" style="3491" customWidth="1"/>
    <col min="9713" max="9713" width="7.875" style="3491" customWidth="1"/>
    <col min="9714" max="9715" width="11.25" style="3491" customWidth="1"/>
    <col min="9716" max="9716" width="9.625" style="3491" customWidth="1"/>
    <col min="9717" max="9718" width="15.5" style="3491" customWidth="1"/>
    <col min="9719" max="9719" width="12.875" style="3491" customWidth="1"/>
    <col min="9720" max="9721" width="11.25" style="3491" customWidth="1"/>
    <col min="9722" max="9722" width="17.875" style="3491" customWidth="1"/>
    <col min="9723" max="9723" width="7.875" style="3491" customWidth="1"/>
    <col min="9724" max="9727" width="9" style="3491" customWidth="1"/>
    <col min="9728" max="9728" width="18.375" style="3491" customWidth="1"/>
    <col min="9729" max="9729" width="7.875" style="3491" customWidth="1"/>
    <col min="9730" max="9730" width="24.5" style="3491" customWidth="1"/>
    <col min="9731" max="9731" width="21.125" style="3491" customWidth="1"/>
    <col min="9732" max="9734" width="10.625" style="3491" customWidth="1"/>
    <col min="9735" max="9736" width="16" style="3491" customWidth="1"/>
    <col min="9737" max="9738" width="14.375" style="3491" customWidth="1"/>
    <col min="9739" max="9740" width="21.875" style="3491" customWidth="1"/>
    <col min="9741" max="9741" width="6.25" style="3491" customWidth="1"/>
    <col min="9742" max="9742" width="7.875" style="3491" customWidth="1"/>
    <col min="9743" max="9743" width="16.875" style="3491" customWidth="1"/>
    <col min="9744" max="9745" width="20.125" style="3491" customWidth="1"/>
    <col min="9746" max="9746" width="7.875" style="3491" customWidth="1"/>
    <col min="9747" max="9956" width="9" style="3491"/>
    <col min="9957" max="9957" width="32" style="3491" customWidth="1"/>
    <col min="9958" max="9958" width="6.25" style="3491" customWidth="1"/>
    <col min="9959" max="9959" width="7.875" style="3491" customWidth="1"/>
    <col min="9960" max="9961" width="6.25" style="3491" customWidth="1"/>
    <col min="9962" max="9962" width="32" style="3491" customWidth="1"/>
    <col min="9963" max="9963" width="7.875" style="3491" customWidth="1"/>
    <col min="9964" max="9964" width="8.75" style="3491" customWidth="1"/>
    <col min="9965" max="9965" width="29.375" style="3491" customWidth="1"/>
    <col min="9966" max="9967" width="13.875" style="3491" customWidth="1"/>
    <col min="9968" max="9968" width="25.375" style="3491" customWidth="1"/>
    <col min="9969" max="9969" width="7.875" style="3491" customWidth="1"/>
    <col min="9970" max="9971" width="11.25" style="3491" customWidth="1"/>
    <col min="9972" max="9972" width="9.625" style="3491" customWidth="1"/>
    <col min="9973" max="9974" width="15.5" style="3491" customWidth="1"/>
    <col min="9975" max="9975" width="12.875" style="3491" customWidth="1"/>
    <col min="9976" max="9977" width="11.25" style="3491" customWidth="1"/>
    <col min="9978" max="9978" width="17.875" style="3491" customWidth="1"/>
    <col min="9979" max="9979" width="7.875" style="3491" customWidth="1"/>
    <col min="9980" max="9983" width="9" style="3491" customWidth="1"/>
    <col min="9984" max="9984" width="18.375" style="3491" customWidth="1"/>
    <col min="9985" max="9985" width="7.875" style="3491" customWidth="1"/>
    <col min="9986" max="9986" width="24.5" style="3491" customWidth="1"/>
    <col min="9987" max="9987" width="21.125" style="3491" customWidth="1"/>
    <col min="9988" max="9990" width="10.625" style="3491" customWidth="1"/>
    <col min="9991" max="9992" width="16" style="3491" customWidth="1"/>
    <col min="9993" max="9994" width="14.375" style="3491" customWidth="1"/>
    <col min="9995" max="9996" width="21.875" style="3491" customWidth="1"/>
    <col min="9997" max="9997" width="6.25" style="3491" customWidth="1"/>
    <col min="9998" max="9998" width="7.875" style="3491" customWidth="1"/>
    <col min="9999" max="9999" width="16.875" style="3491" customWidth="1"/>
    <col min="10000" max="10001" width="20.125" style="3491" customWidth="1"/>
    <col min="10002" max="10002" width="7.875" style="3491" customWidth="1"/>
    <col min="10003" max="10212" width="9" style="3491"/>
    <col min="10213" max="10213" width="32" style="3491" customWidth="1"/>
    <col min="10214" max="10214" width="6.25" style="3491" customWidth="1"/>
    <col min="10215" max="10215" width="7.875" style="3491" customWidth="1"/>
    <col min="10216" max="10217" width="6.25" style="3491" customWidth="1"/>
    <col min="10218" max="10218" width="32" style="3491" customWidth="1"/>
    <col min="10219" max="10219" width="7.875" style="3491" customWidth="1"/>
    <col min="10220" max="10220" width="8.75" style="3491" customWidth="1"/>
    <col min="10221" max="10221" width="29.375" style="3491" customWidth="1"/>
    <col min="10222" max="10223" width="13.875" style="3491" customWidth="1"/>
    <col min="10224" max="10224" width="25.375" style="3491" customWidth="1"/>
    <col min="10225" max="10225" width="7.875" style="3491" customWidth="1"/>
    <col min="10226" max="10227" width="11.25" style="3491" customWidth="1"/>
    <col min="10228" max="10228" width="9.625" style="3491" customWidth="1"/>
    <col min="10229" max="10230" width="15.5" style="3491" customWidth="1"/>
    <col min="10231" max="10231" width="12.875" style="3491" customWidth="1"/>
    <col min="10232" max="10233" width="11.25" style="3491" customWidth="1"/>
    <col min="10234" max="10234" width="17.875" style="3491" customWidth="1"/>
    <col min="10235" max="10235" width="7.875" style="3491" customWidth="1"/>
    <col min="10236" max="10239" width="9" style="3491" customWidth="1"/>
    <col min="10240" max="10240" width="18.375" style="3491" customWidth="1"/>
    <col min="10241" max="10241" width="7.875" style="3491" customWidth="1"/>
    <col min="10242" max="10242" width="24.5" style="3491" customWidth="1"/>
    <col min="10243" max="10243" width="21.125" style="3491" customWidth="1"/>
    <col min="10244" max="10246" width="10.625" style="3491" customWidth="1"/>
    <col min="10247" max="10248" width="16" style="3491" customWidth="1"/>
    <col min="10249" max="10250" width="14.375" style="3491" customWidth="1"/>
    <col min="10251" max="10252" width="21.875" style="3491" customWidth="1"/>
    <col min="10253" max="10253" width="6.25" style="3491" customWidth="1"/>
    <col min="10254" max="10254" width="7.875" style="3491" customWidth="1"/>
    <col min="10255" max="10255" width="16.875" style="3491" customWidth="1"/>
    <col min="10256" max="10257" width="20.125" style="3491" customWidth="1"/>
    <col min="10258" max="10258" width="7.875" style="3491" customWidth="1"/>
    <col min="10259" max="10468" width="9" style="3491"/>
    <col min="10469" max="10469" width="32" style="3491" customWidth="1"/>
    <col min="10470" max="10470" width="6.25" style="3491" customWidth="1"/>
    <col min="10471" max="10471" width="7.875" style="3491" customWidth="1"/>
    <col min="10472" max="10473" width="6.25" style="3491" customWidth="1"/>
    <col min="10474" max="10474" width="32" style="3491" customWidth="1"/>
    <col min="10475" max="10475" width="7.875" style="3491" customWidth="1"/>
    <col min="10476" max="10476" width="8.75" style="3491" customWidth="1"/>
    <col min="10477" max="10477" width="29.375" style="3491" customWidth="1"/>
    <col min="10478" max="10479" width="13.875" style="3491" customWidth="1"/>
    <col min="10480" max="10480" width="25.375" style="3491" customWidth="1"/>
    <col min="10481" max="10481" width="7.875" style="3491" customWidth="1"/>
    <col min="10482" max="10483" width="11.25" style="3491" customWidth="1"/>
    <col min="10484" max="10484" width="9.625" style="3491" customWidth="1"/>
    <col min="10485" max="10486" width="15.5" style="3491" customWidth="1"/>
    <col min="10487" max="10487" width="12.875" style="3491" customWidth="1"/>
    <col min="10488" max="10489" width="11.25" style="3491" customWidth="1"/>
    <col min="10490" max="10490" width="17.875" style="3491" customWidth="1"/>
    <col min="10491" max="10491" width="7.875" style="3491" customWidth="1"/>
    <col min="10492" max="10495" width="9" style="3491" customWidth="1"/>
    <col min="10496" max="10496" width="18.375" style="3491" customWidth="1"/>
    <col min="10497" max="10497" width="7.875" style="3491" customWidth="1"/>
    <col min="10498" max="10498" width="24.5" style="3491" customWidth="1"/>
    <col min="10499" max="10499" width="21.125" style="3491" customWidth="1"/>
    <col min="10500" max="10502" width="10.625" style="3491" customWidth="1"/>
    <col min="10503" max="10504" width="16" style="3491" customWidth="1"/>
    <col min="10505" max="10506" width="14.375" style="3491" customWidth="1"/>
    <col min="10507" max="10508" width="21.875" style="3491" customWidth="1"/>
    <col min="10509" max="10509" width="6.25" style="3491" customWidth="1"/>
    <col min="10510" max="10510" width="7.875" style="3491" customWidth="1"/>
    <col min="10511" max="10511" width="16.875" style="3491" customWidth="1"/>
    <col min="10512" max="10513" width="20.125" style="3491" customWidth="1"/>
    <col min="10514" max="10514" width="7.875" style="3491" customWidth="1"/>
    <col min="10515" max="10724" width="9" style="3491"/>
    <col min="10725" max="10725" width="32" style="3491" customWidth="1"/>
    <col min="10726" max="10726" width="6.25" style="3491" customWidth="1"/>
    <col min="10727" max="10727" width="7.875" style="3491" customWidth="1"/>
    <col min="10728" max="10729" width="6.25" style="3491" customWidth="1"/>
    <col min="10730" max="10730" width="32" style="3491" customWidth="1"/>
    <col min="10731" max="10731" width="7.875" style="3491" customWidth="1"/>
    <col min="10732" max="10732" width="8.75" style="3491" customWidth="1"/>
    <col min="10733" max="10733" width="29.375" style="3491" customWidth="1"/>
    <col min="10734" max="10735" width="13.875" style="3491" customWidth="1"/>
    <col min="10736" max="10736" width="25.375" style="3491" customWidth="1"/>
    <col min="10737" max="10737" width="7.875" style="3491" customWidth="1"/>
    <col min="10738" max="10739" width="11.25" style="3491" customWidth="1"/>
    <col min="10740" max="10740" width="9.625" style="3491" customWidth="1"/>
    <col min="10741" max="10742" width="15.5" style="3491" customWidth="1"/>
    <col min="10743" max="10743" width="12.875" style="3491" customWidth="1"/>
    <col min="10744" max="10745" width="11.25" style="3491" customWidth="1"/>
    <col min="10746" max="10746" width="17.875" style="3491" customWidth="1"/>
    <col min="10747" max="10747" width="7.875" style="3491" customWidth="1"/>
    <col min="10748" max="10751" width="9" style="3491" customWidth="1"/>
    <col min="10752" max="10752" width="18.375" style="3491" customWidth="1"/>
    <col min="10753" max="10753" width="7.875" style="3491" customWidth="1"/>
    <col min="10754" max="10754" width="24.5" style="3491" customWidth="1"/>
    <col min="10755" max="10755" width="21.125" style="3491" customWidth="1"/>
    <col min="10756" max="10758" width="10.625" style="3491" customWidth="1"/>
    <col min="10759" max="10760" width="16" style="3491" customWidth="1"/>
    <col min="10761" max="10762" width="14.375" style="3491" customWidth="1"/>
    <col min="10763" max="10764" width="21.875" style="3491" customWidth="1"/>
    <col min="10765" max="10765" width="6.25" style="3491" customWidth="1"/>
    <col min="10766" max="10766" width="7.875" style="3491" customWidth="1"/>
    <col min="10767" max="10767" width="16.875" style="3491" customWidth="1"/>
    <col min="10768" max="10769" width="20.125" style="3491" customWidth="1"/>
    <col min="10770" max="10770" width="7.875" style="3491" customWidth="1"/>
    <col min="10771" max="10980" width="9" style="3491"/>
    <col min="10981" max="10981" width="32" style="3491" customWidth="1"/>
    <col min="10982" max="10982" width="6.25" style="3491" customWidth="1"/>
    <col min="10983" max="10983" width="7.875" style="3491" customWidth="1"/>
    <col min="10984" max="10985" width="6.25" style="3491" customWidth="1"/>
    <col min="10986" max="10986" width="32" style="3491" customWidth="1"/>
    <col min="10987" max="10987" width="7.875" style="3491" customWidth="1"/>
    <col min="10988" max="10988" width="8.75" style="3491" customWidth="1"/>
    <col min="10989" max="10989" width="29.375" style="3491" customWidth="1"/>
    <col min="10990" max="10991" width="13.875" style="3491" customWidth="1"/>
    <col min="10992" max="10992" width="25.375" style="3491" customWidth="1"/>
    <col min="10993" max="10993" width="7.875" style="3491" customWidth="1"/>
    <col min="10994" max="10995" width="11.25" style="3491" customWidth="1"/>
    <col min="10996" max="10996" width="9.625" style="3491" customWidth="1"/>
    <col min="10997" max="10998" width="15.5" style="3491" customWidth="1"/>
    <col min="10999" max="10999" width="12.875" style="3491" customWidth="1"/>
    <col min="11000" max="11001" width="11.25" style="3491" customWidth="1"/>
    <col min="11002" max="11002" width="17.875" style="3491" customWidth="1"/>
    <col min="11003" max="11003" width="7.875" style="3491" customWidth="1"/>
    <col min="11004" max="11007" width="9" style="3491" customWidth="1"/>
    <col min="11008" max="11008" width="18.375" style="3491" customWidth="1"/>
    <col min="11009" max="11009" width="7.875" style="3491" customWidth="1"/>
    <col min="11010" max="11010" width="24.5" style="3491" customWidth="1"/>
    <col min="11011" max="11011" width="21.125" style="3491" customWidth="1"/>
    <col min="11012" max="11014" width="10.625" style="3491" customWidth="1"/>
    <col min="11015" max="11016" width="16" style="3491" customWidth="1"/>
    <col min="11017" max="11018" width="14.375" style="3491" customWidth="1"/>
    <col min="11019" max="11020" width="21.875" style="3491" customWidth="1"/>
    <col min="11021" max="11021" width="6.25" style="3491" customWidth="1"/>
    <col min="11022" max="11022" width="7.875" style="3491" customWidth="1"/>
    <col min="11023" max="11023" width="16.875" style="3491" customWidth="1"/>
    <col min="11024" max="11025" width="20.125" style="3491" customWidth="1"/>
    <col min="11026" max="11026" width="7.875" style="3491" customWidth="1"/>
    <col min="11027" max="11236" width="9" style="3491"/>
    <col min="11237" max="11237" width="32" style="3491" customWidth="1"/>
    <col min="11238" max="11238" width="6.25" style="3491" customWidth="1"/>
    <col min="11239" max="11239" width="7.875" style="3491" customWidth="1"/>
    <col min="11240" max="11241" width="6.25" style="3491" customWidth="1"/>
    <col min="11242" max="11242" width="32" style="3491" customWidth="1"/>
    <col min="11243" max="11243" width="7.875" style="3491" customWidth="1"/>
    <col min="11244" max="11244" width="8.75" style="3491" customWidth="1"/>
    <col min="11245" max="11245" width="29.375" style="3491" customWidth="1"/>
    <col min="11246" max="11247" width="13.875" style="3491" customWidth="1"/>
    <col min="11248" max="11248" width="25.375" style="3491" customWidth="1"/>
    <col min="11249" max="11249" width="7.875" style="3491" customWidth="1"/>
    <col min="11250" max="11251" width="11.25" style="3491" customWidth="1"/>
    <col min="11252" max="11252" width="9.625" style="3491" customWidth="1"/>
    <col min="11253" max="11254" width="15.5" style="3491" customWidth="1"/>
    <col min="11255" max="11255" width="12.875" style="3491" customWidth="1"/>
    <col min="11256" max="11257" width="11.25" style="3491" customWidth="1"/>
    <col min="11258" max="11258" width="17.875" style="3491" customWidth="1"/>
    <col min="11259" max="11259" width="7.875" style="3491" customWidth="1"/>
    <col min="11260" max="11263" width="9" style="3491" customWidth="1"/>
    <col min="11264" max="11264" width="18.375" style="3491" customWidth="1"/>
    <col min="11265" max="11265" width="7.875" style="3491" customWidth="1"/>
    <col min="11266" max="11266" width="24.5" style="3491" customWidth="1"/>
    <col min="11267" max="11267" width="21.125" style="3491" customWidth="1"/>
    <col min="11268" max="11270" width="10.625" style="3491" customWidth="1"/>
    <col min="11271" max="11272" width="16" style="3491" customWidth="1"/>
    <col min="11273" max="11274" width="14.375" style="3491" customWidth="1"/>
    <col min="11275" max="11276" width="21.875" style="3491" customWidth="1"/>
    <col min="11277" max="11277" width="6.25" style="3491" customWidth="1"/>
    <col min="11278" max="11278" width="7.875" style="3491" customWidth="1"/>
    <col min="11279" max="11279" width="16.875" style="3491" customWidth="1"/>
    <col min="11280" max="11281" width="20.125" style="3491" customWidth="1"/>
    <col min="11282" max="11282" width="7.875" style="3491" customWidth="1"/>
    <col min="11283" max="11492" width="9" style="3491"/>
    <col min="11493" max="11493" width="32" style="3491" customWidth="1"/>
    <col min="11494" max="11494" width="6.25" style="3491" customWidth="1"/>
    <col min="11495" max="11495" width="7.875" style="3491" customWidth="1"/>
    <col min="11496" max="11497" width="6.25" style="3491" customWidth="1"/>
    <col min="11498" max="11498" width="32" style="3491" customWidth="1"/>
    <col min="11499" max="11499" width="7.875" style="3491" customWidth="1"/>
    <col min="11500" max="11500" width="8.75" style="3491" customWidth="1"/>
    <col min="11501" max="11501" width="29.375" style="3491" customWidth="1"/>
    <col min="11502" max="11503" width="13.875" style="3491" customWidth="1"/>
    <col min="11504" max="11504" width="25.375" style="3491" customWidth="1"/>
    <col min="11505" max="11505" width="7.875" style="3491" customWidth="1"/>
    <col min="11506" max="11507" width="11.25" style="3491" customWidth="1"/>
    <col min="11508" max="11508" width="9.625" style="3491" customWidth="1"/>
    <col min="11509" max="11510" width="15.5" style="3491" customWidth="1"/>
    <col min="11511" max="11511" width="12.875" style="3491" customWidth="1"/>
    <col min="11512" max="11513" width="11.25" style="3491" customWidth="1"/>
    <col min="11514" max="11514" width="17.875" style="3491" customWidth="1"/>
    <col min="11515" max="11515" width="7.875" style="3491" customWidth="1"/>
    <col min="11516" max="11519" width="9" style="3491" customWidth="1"/>
    <col min="11520" max="11520" width="18.375" style="3491" customWidth="1"/>
    <col min="11521" max="11521" width="7.875" style="3491" customWidth="1"/>
    <col min="11522" max="11522" width="24.5" style="3491" customWidth="1"/>
    <col min="11523" max="11523" width="21.125" style="3491" customWidth="1"/>
    <col min="11524" max="11526" width="10.625" style="3491" customWidth="1"/>
    <col min="11527" max="11528" width="16" style="3491" customWidth="1"/>
    <col min="11529" max="11530" width="14.375" style="3491" customWidth="1"/>
    <col min="11531" max="11532" width="21.875" style="3491" customWidth="1"/>
    <col min="11533" max="11533" width="6.25" style="3491" customWidth="1"/>
    <col min="11534" max="11534" width="7.875" style="3491" customWidth="1"/>
    <col min="11535" max="11535" width="16.875" style="3491" customWidth="1"/>
    <col min="11536" max="11537" width="20.125" style="3491" customWidth="1"/>
    <col min="11538" max="11538" width="7.875" style="3491" customWidth="1"/>
    <col min="11539" max="11748" width="9" style="3491"/>
    <col min="11749" max="11749" width="32" style="3491" customWidth="1"/>
    <col min="11750" max="11750" width="6.25" style="3491" customWidth="1"/>
    <col min="11751" max="11751" width="7.875" style="3491" customWidth="1"/>
    <col min="11752" max="11753" width="6.25" style="3491" customWidth="1"/>
    <col min="11754" max="11754" width="32" style="3491" customWidth="1"/>
    <col min="11755" max="11755" width="7.875" style="3491" customWidth="1"/>
    <col min="11756" max="11756" width="8.75" style="3491" customWidth="1"/>
    <col min="11757" max="11757" width="29.375" style="3491" customWidth="1"/>
    <col min="11758" max="11759" width="13.875" style="3491" customWidth="1"/>
    <col min="11760" max="11760" width="25.375" style="3491" customWidth="1"/>
    <col min="11761" max="11761" width="7.875" style="3491" customWidth="1"/>
    <col min="11762" max="11763" width="11.25" style="3491" customWidth="1"/>
    <col min="11764" max="11764" width="9.625" style="3491" customWidth="1"/>
    <col min="11765" max="11766" width="15.5" style="3491" customWidth="1"/>
    <col min="11767" max="11767" width="12.875" style="3491" customWidth="1"/>
    <col min="11768" max="11769" width="11.25" style="3491" customWidth="1"/>
    <col min="11770" max="11770" width="17.875" style="3491" customWidth="1"/>
    <col min="11771" max="11771" width="7.875" style="3491" customWidth="1"/>
    <col min="11772" max="11775" width="9" style="3491" customWidth="1"/>
    <col min="11776" max="11776" width="18.375" style="3491" customWidth="1"/>
    <col min="11777" max="11777" width="7.875" style="3491" customWidth="1"/>
    <col min="11778" max="11778" width="24.5" style="3491" customWidth="1"/>
    <col min="11779" max="11779" width="21.125" style="3491" customWidth="1"/>
    <col min="11780" max="11782" width="10.625" style="3491" customWidth="1"/>
    <col min="11783" max="11784" width="16" style="3491" customWidth="1"/>
    <col min="11785" max="11786" width="14.375" style="3491" customWidth="1"/>
    <col min="11787" max="11788" width="21.875" style="3491" customWidth="1"/>
    <col min="11789" max="11789" width="6.25" style="3491" customWidth="1"/>
    <col min="11790" max="11790" width="7.875" style="3491" customWidth="1"/>
    <col min="11791" max="11791" width="16.875" style="3491" customWidth="1"/>
    <col min="11792" max="11793" width="20.125" style="3491" customWidth="1"/>
    <col min="11794" max="11794" width="7.875" style="3491" customWidth="1"/>
    <col min="11795" max="12004" width="9" style="3491"/>
    <col min="12005" max="12005" width="32" style="3491" customWidth="1"/>
    <col min="12006" max="12006" width="6.25" style="3491" customWidth="1"/>
    <col min="12007" max="12007" width="7.875" style="3491" customWidth="1"/>
    <col min="12008" max="12009" width="6.25" style="3491" customWidth="1"/>
    <col min="12010" max="12010" width="32" style="3491" customWidth="1"/>
    <col min="12011" max="12011" width="7.875" style="3491" customWidth="1"/>
    <col min="12012" max="12012" width="8.75" style="3491" customWidth="1"/>
    <col min="12013" max="12013" width="29.375" style="3491" customWidth="1"/>
    <col min="12014" max="12015" width="13.875" style="3491" customWidth="1"/>
    <col min="12016" max="12016" width="25.375" style="3491" customWidth="1"/>
    <col min="12017" max="12017" width="7.875" style="3491" customWidth="1"/>
    <col min="12018" max="12019" width="11.25" style="3491" customWidth="1"/>
    <col min="12020" max="12020" width="9.625" style="3491" customWidth="1"/>
    <col min="12021" max="12022" width="15.5" style="3491" customWidth="1"/>
    <col min="12023" max="12023" width="12.875" style="3491" customWidth="1"/>
    <col min="12024" max="12025" width="11.25" style="3491" customWidth="1"/>
    <col min="12026" max="12026" width="17.875" style="3491" customWidth="1"/>
    <col min="12027" max="12027" width="7.875" style="3491" customWidth="1"/>
    <col min="12028" max="12031" width="9" style="3491" customWidth="1"/>
    <col min="12032" max="12032" width="18.375" style="3491" customWidth="1"/>
    <col min="12033" max="12033" width="7.875" style="3491" customWidth="1"/>
    <col min="12034" max="12034" width="24.5" style="3491" customWidth="1"/>
    <col min="12035" max="12035" width="21.125" style="3491" customWidth="1"/>
    <col min="12036" max="12038" width="10.625" style="3491" customWidth="1"/>
    <col min="12039" max="12040" width="16" style="3491" customWidth="1"/>
    <col min="12041" max="12042" width="14.375" style="3491" customWidth="1"/>
    <col min="12043" max="12044" width="21.875" style="3491" customWidth="1"/>
    <col min="12045" max="12045" width="6.25" style="3491" customWidth="1"/>
    <col min="12046" max="12046" width="7.875" style="3491" customWidth="1"/>
    <col min="12047" max="12047" width="16.875" style="3491" customWidth="1"/>
    <col min="12048" max="12049" width="20.125" style="3491" customWidth="1"/>
    <col min="12050" max="12050" width="7.875" style="3491" customWidth="1"/>
    <col min="12051" max="12260" width="9" style="3491"/>
    <col min="12261" max="12261" width="32" style="3491" customWidth="1"/>
    <col min="12262" max="12262" width="6.25" style="3491" customWidth="1"/>
    <col min="12263" max="12263" width="7.875" style="3491" customWidth="1"/>
    <col min="12264" max="12265" width="6.25" style="3491" customWidth="1"/>
    <col min="12266" max="12266" width="32" style="3491" customWidth="1"/>
    <col min="12267" max="12267" width="7.875" style="3491" customWidth="1"/>
    <col min="12268" max="12268" width="8.75" style="3491" customWidth="1"/>
    <col min="12269" max="12269" width="29.375" style="3491" customWidth="1"/>
    <col min="12270" max="12271" width="13.875" style="3491" customWidth="1"/>
    <col min="12272" max="12272" width="25.375" style="3491" customWidth="1"/>
    <col min="12273" max="12273" width="7.875" style="3491" customWidth="1"/>
    <col min="12274" max="12275" width="11.25" style="3491" customWidth="1"/>
    <col min="12276" max="12276" width="9.625" style="3491" customWidth="1"/>
    <col min="12277" max="12278" width="15.5" style="3491" customWidth="1"/>
    <col min="12279" max="12279" width="12.875" style="3491" customWidth="1"/>
    <col min="12280" max="12281" width="11.25" style="3491" customWidth="1"/>
    <col min="12282" max="12282" width="17.875" style="3491" customWidth="1"/>
    <col min="12283" max="12283" width="7.875" style="3491" customWidth="1"/>
    <col min="12284" max="12287" width="9" style="3491" customWidth="1"/>
    <col min="12288" max="12288" width="18.375" style="3491" customWidth="1"/>
    <col min="12289" max="12289" width="7.875" style="3491" customWidth="1"/>
    <col min="12290" max="12290" width="24.5" style="3491" customWidth="1"/>
    <col min="12291" max="12291" width="21.125" style="3491" customWidth="1"/>
    <col min="12292" max="12294" width="10.625" style="3491" customWidth="1"/>
    <col min="12295" max="12296" width="16" style="3491" customWidth="1"/>
    <col min="12297" max="12298" width="14.375" style="3491" customWidth="1"/>
    <col min="12299" max="12300" width="21.875" style="3491" customWidth="1"/>
    <col min="12301" max="12301" width="6.25" style="3491" customWidth="1"/>
    <col min="12302" max="12302" width="7.875" style="3491" customWidth="1"/>
    <col min="12303" max="12303" width="16.875" style="3491" customWidth="1"/>
    <col min="12304" max="12305" width="20.125" style="3491" customWidth="1"/>
    <col min="12306" max="12306" width="7.875" style="3491" customWidth="1"/>
    <col min="12307" max="12516" width="9" style="3491"/>
    <col min="12517" max="12517" width="32" style="3491" customWidth="1"/>
    <col min="12518" max="12518" width="6.25" style="3491" customWidth="1"/>
    <col min="12519" max="12519" width="7.875" style="3491" customWidth="1"/>
    <col min="12520" max="12521" width="6.25" style="3491" customWidth="1"/>
    <col min="12522" max="12522" width="32" style="3491" customWidth="1"/>
    <col min="12523" max="12523" width="7.875" style="3491" customWidth="1"/>
    <col min="12524" max="12524" width="8.75" style="3491" customWidth="1"/>
    <col min="12525" max="12525" width="29.375" style="3491" customWidth="1"/>
    <col min="12526" max="12527" width="13.875" style="3491" customWidth="1"/>
    <col min="12528" max="12528" width="25.375" style="3491" customWidth="1"/>
    <col min="12529" max="12529" width="7.875" style="3491" customWidth="1"/>
    <col min="12530" max="12531" width="11.25" style="3491" customWidth="1"/>
    <col min="12532" max="12532" width="9.625" style="3491" customWidth="1"/>
    <col min="12533" max="12534" width="15.5" style="3491" customWidth="1"/>
    <col min="12535" max="12535" width="12.875" style="3491" customWidth="1"/>
    <col min="12536" max="12537" width="11.25" style="3491" customWidth="1"/>
    <col min="12538" max="12538" width="17.875" style="3491" customWidth="1"/>
    <col min="12539" max="12539" width="7.875" style="3491" customWidth="1"/>
    <col min="12540" max="12543" width="9" style="3491" customWidth="1"/>
    <col min="12544" max="12544" width="18.375" style="3491" customWidth="1"/>
    <col min="12545" max="12545" width="7.875" style="3491" customWidth="1"/>
    <col min="12546" max="12546" width="24.5" style="3491" customWidth="1"/>
    <col min="12547" max="12547" width="21.125" style="3491" customWidth="1"/>
    <col min="12548" max="12550" width="10.625" style="3491" customWidth="1"/>
    <col min="12551" max="12552" width="16" style="3491" customWidth="1"/>
    <col min="12553" max="12554" width="14.375" style="3491" customWidth="1"/>
    <col min="12555" max="12556" width="21.875" style="3491" customWidth="1"/>
    <col min="12557" max="12557" width="6.25" style="3491" customWidth="1"/>
    <col min="12558" max="12558" width="7.875" style="3491" customWidth="1"/>
    <col min="12559" max="12559" width="16.875" style="3491" customWidth="1"/>
    <col min="12560" max="12561" width="20.125" style="3491" customWidth="1"/>
    <col min="12562" max="12562" width="7.875" style="3491" customWidth="1"/>
    <col min="12563" max="12772" width="9" style="3491"/>
    <col min="12773" max="12773" width="32" style="3491" customWidth="1"/>
    <col min="12774" max="12774" width="6.25" style="3491" customWidth="1"/>
    <col min="12775" max="12775" width="7.875" style="3491" customWidth="1"/>
    <col min="12776" max="12777" width="6.25" style="3491" customWidth="1"/>
    <col min="12778" max="12778" width="32" style="3491" customWidth="1"/>
    <col min="12779" max="12779" width="7.875" style="3491" customWidth="1"/>
    <col min="12780" max="12780" width="8.75" style="3491" customWidth="1"/>
    <col min="12781" max="12781" width="29.375" style="3491" customWidth="1"/>
    <col min="12782" max="12783" width="13.875" style="3491" customWidth="1"/>
    <col min="12784" max="12784" width="25.375" style="3491" customWidth="1"/>
    <col min="12785" max="12785" width="7.875" style="3491" customWidth="1"/>
    <col min="12786" max="12787" width="11.25" style="3491" customWidth="1"/>
    <col min="12788" max="12788" width="9.625" style="3491" customWidth="1"/>
    <col min="12789" max="12790" width="15.5" style="3491" customWidth="1"/>
    <col min="12791" max="12791" width="12.875" style="3491" customWidth="1"/>
    <col min="12792" max="12793" width="11.25" style="3491" customWidth="1"/>
    <col min="12794" max="12794" width="17.875" style="3491" customWidth="1"/>
    <col min="12795" max="12795" width="7.875" style="3491" customWidth="1"/>
    <col min="12796" max="12799" width="9" style="3491" customWidth="1"/>
    <col min="12800" max="12800" width="18.375" style="3491" customWidth="1"/>
    <col min="12801" max="12801" width="7.875" style="3491" customWidth="1"/>
    <col min="12802" max="12802" width="24.5" style="3491" customWidth="1"/>
    <col min="12803" max="12803" width="21.125" style="3491" customWidth="1"/>
    <col min="12804" max="12806" width="10.625" style="3491" customWidth="1"/>
    <col min="12807" max="12808" width="16" style="3491" customWidth="1"/>
    <col min="12809" max="12810" width="14.375" style="3491" customWidth="1"/>
    <col min="12811" max="12812" width="21.875" style="3491" customWidth="1"/>
    <col min="12813" max="12813" width="6.25" style="3491" customWidth="1"/>
    <col min="12814" max="12814" width="7.875" style="3491" customWidth="1"/>
    <col min="12815" max="12815" width="16.875" style="3491" customWidth="1"/>
    <col min="12816" max="12817" width="20.125" style="3491" customWidth="1"/>
    <col min="12818" max="12818" width="7.875" style="3491" customWidth="1"/>
    <col min="12819" max="13028" width="9" style="3491"/>
    <col min="13029" max="13029" width="32" style="3491" customWidth="1"/>
    <col min="13030" max="13030" width="6.25" style="3491" customWidth="1"/>
    <col min="13031" max="13031" width="7.875" style="3491" customWidth="1"/>
    <col min="13032" max="13033" width="6.25" style="3491" customWidth="1"/>
    <col min="13034" max="13034" width="32" style="3491" customWidth="1"/>
    <col min="13035" max="13035" width="7.875" style="3491" customWidth="1"/>
    <col min="13036" max="13036" width="8.75" style="3491" customWidth="1"/>
    <col min="13037" max="13037" width="29.375" style="3491" customWidth="1"/>
    <col min="13038" max="13039" width="13.875" style="3491" customWidth="1"/>
    <col min="13040" max="13040" width="25.375" style="3491" customWidth="1"/>
    <col min="13041" max="13041" width="7.875" style="3491" customWidth="1"/>
    <col min="13042" max="13043" width="11.25" style="3491" customWidth="1"/>
    <col min="13044" max="13044" width="9.625" style="3491" customWidth="1"/>
    <col min="13045" max="13046" width="15.5" style="3491" customWidth="1"/>
    <col min="13047" max="13047" width="12.875" style="3491" customWidth="1"/>
    <col min="13048" max="13049" width="11.25" style="3491" customWidth="1"/>
    <col min="13050" max="13050" width="17.875" style="3491" customWidth="1"/>
    <col min="13051" max="13051" width="7.875" style="3491" customWidth="1"/>
    <col min="13052" max="13055" width="9" style="3491" customWidth="1"/>
    <col min="13056" max="13056" width="18.375" style="3491" customWidth="1"/>
    <col min="13057" max="13057" width="7.875" style="3491" customWidth="1"/>
    <col min="13058" max="13058" width="24.5" style="3491" customWidth="1"/>
    <col min="13059" max="13059" width="21.125" style="3491" customWidth="1"/>
    <col min="13060" max="13062" width="10.625" style="3491" customWidth="1"/>
    <col min="13063" max="13064" width="16" style="3491" customWidth="1"/>
    <col min="13065" max="13066" width="14.375" style="3491" customWidth="1"/>
    <col min="13067" max="13068" width="21.875" style="3491" customWidth="1"/>
    <col min="13069" max="13069" width="6.25" style="3491" customWidth="1"/>
    <col min="13070" max="13070" width="7.875" style="3491" customWidth="1"/>
    <col min="13071" max="13071" width="16.875" style="3491" customWidth="1"/>
    <col min="13072" max="13073" width="20.125" style="3491" customWidth="1"/>
    <col min="13074" max="13074" width="7.875" style="3491" customWidth="1"/>
    <col min="13075" max="13284" width="9" style="3491"/>
    <col min="13285" max="13285" width="32" style="3491" customWidth="1"/>
    <col min="13286" max="13286" width="6.25" style="3491" customWidth="1"/>
    <col min="13287" max="13287" width="7.875" style="3491" customWidth="1"/>
    <col min="13288" max="13289" width="6.25" style="3491" customWidth="1"/>
    <col min="13290" max="13290" width="32" style="3491" customWidth="1"/>
    <col min="13291" max="13291" width="7.875" style="3491" customWidth="1"/>
    <col min="13292" max="13292" width="8.75" style="3491" customWidth="1"/>
    <col min="13293" max="13293" width="29.375" style="3491" customWidth="1"/>
    <col min="13294" max="13295" width="13.875" style="3491" customWidth="1"/>
    <col min="13296" max="13296" width="25.375" style="3491" customWidth="1"/>
    <col min="13297" max="13297" width="7.875" style="3491" customWidth="1"/>
    <col min="13298" max="13299" width="11.25" style="3491" customWidth="1"/>
    <col min="13300" max="13300" width="9.625" style="3491" customWidth="1"/>
    <col min="13301" max="13302" width="15.5" style="3491" customWidth="1"/>
    <col min="13303" max="13303" width="12.875" style="3491" customWidth="1"/>
    <col min="13304" max="13305" width="11.25" style="3491" customWidth="1"/>
    <col min="13306" max="13306" width="17.875" style="3491" customWidth="1"/>
    <col min="13307" max="13307" width="7.875" style="3491" customWidth="1"/>
    <col min="13308" max="13311" width="9" style="3491" customWidth="1"/>
    <col min="13312" max="13312" width="18.375" style="3491" customWidth="1"/>
    <col min="13313" max="13313" width="7.875" style="3491" customWidth="1"/>
    <col min="13314" max="13314" width="24.5" style="3491" customWidth="1"/>
    <col min="13315" max="13315" width="21.125" style="3491" customWidth="1"/>
    <col min="13316" max="13318" width="10.625" style="3491" customWidth="1"/>
    <col min="13319" max="13320" width="16" style="3491" customWidth="1"/>
    <col min="13321" max="13322" width="14.375" style="3491" customWidth="1"/>
    <col min="13323" max="13324" width="21.875" style="3491" customWidth="1"/>
    <col min="13325" max="13325" width="6.25" style="3491" customWidth="1"/>
    <col min="13326" max="13326" width="7.875" style="3491" customWidth="1"/>
    <col min="13327" max="13327" width="16.875" style="3491" customWidth="1"/>
    <col min="13328" max="13329" width="20.125" style="3491" customWidth="1"/>
    <col min="13330" max="13330" width="7.875" style="3491" customWidth="1"/>
    <col min="13331" max="13540" width="9" style="3491"/>
    <col min="13541" max="13541" width="32" style="3491" customWidth="1"/>
    <col min="13542" max="13542" width="6.25" style="3491" customWidth="1"/>
    <col min="13543" max="13543" width="7.875" style="3491" customWidth="1"/>
    <col min="13544" max="13545" width="6.25" style="3491" customWidth="1"/>
    <col min="13546" max="13546" width="32" style="3491" customWidth="1"/>
    <col min="13547" max="13547" width="7.875" style="3491" customWidth="1"/>
    <col min="13548" max="13548" width="8.75" style="3491" customWidth="1"/>
    <col min="13549" max="13549" width="29.375" style="3491" customWidth="1"/>
    <col min="13550" max="13551" width="13.875" style="3491" customWidth="1"/>
    <col min="13552" max="13552" width="25.375" style="3491" customWidth="1"/>
    <col min="13553" max="13553" width="7.875" style="3491" customWidth="1"/>
    <col min="13554" max="13555" width="11.25" style="3491" customWidth="1"/>
    <col min="13556" max="13556" width="9.625" style="3491" customWidth="1"/>
    <col min="13557" max="13558" width="15.5" style="3491" customWidth="1"/>
    <col min="13559" max="13559" width="12.875" style="3491" customWidth="1"/>
    <col min="13560" max="13561" width="11.25" style="3491" customWidth="1"/>
    <col min="13562" max="13562" width="17.875" style="3491" customWidth="1"/>
    <col min="13563" max="13563" width="7.875" style="3491" customWidth="1"/>
    <col min="13564" max="13567" width="9" style="3491" customWidth="1"/>
    <col min="13568" max="13568" width="18.375" style="3491" customWidth="1"/>
    <col min="13569" max="13569" width="7.875" style="3491" customWidth="1"/>
    <col min="13570" max="13570" width="24.5" style="3491" customWidth="1"/>
    <col min="13571" max="13571" width="21.125" style="3491" customWidth="1"/>
    <col min="13572" max="13574" width="10.625" style="3491" customWidth="1"/>
    <col min="13575" max="13576" width="16" style="3491" customWidth="1"/>
    <col min="13577" max="13578" width="14.375" style="3491" customWidth="1"/>
    <col min="13579" max="13580" width="21.875" style="3491" customWidth="1"/>
    <col min="13581" max="13581" width="6.25" style="3491" customWidth="1"/>
    <col min="13582" max="13582" width="7.875" style="3491" customWidth="1"/>
    <col min="13583" max="13583" width="16.875" style="3491" customWidth="1"/>
    <col min="13584" max="13585" width="20.125" style="3491" customWidth="1"/>
    <col min="13586" max="13586" width="7.875" style="3491" customWidth="1"/>
    <col min="13587" max="13796" width="9" style="3491"/>
    <col min="13797" max="13797" width="32" style="3491" customWidth="1"/>
    <col min="13798" max="13798" width="6.25" style="3491" customWidth="1"/>
    <col min="13799" max="13799" width="7.875" style="3491" customWidth="1"/>
    <col min="13800" max="13801" width="6.25" style="3491" customWidth="1"/>
    <col min="13802" max="13802" width="32" style="3491" customWidth="1"/>
    <col min="13803" max="13803" width="7.875" style="3491" customWidth="1"/>
    <col min="13804" max="13804" width="8.75" style="3491" customWidth="1"/>
    <col min="13805" max="13805" width="29.375" style="3491" customWidth="1"/>
    <col min="13806" max="13807" width="13.875" style="3491" customWidth="1"/>
    <col min="13808" max="13808" width="25.375" style="3491" customWidth="1"/>
    <col min="13809" max="13809" width="7.875" style="3491" customWidth="1"/>
    <col min="13810" max="13811" width="11.25" style="3491" customWidth="1"/>
    <col min="13812" max="13812" width="9.625" style="3491" customWidth="1"/>
    <col min="13813" max="13814" width="15.5" style="3491" customWidth="1"/>
    <col min="13815" max="13815" width="12.875" style="3491" customWidth="1"/>
    <col min="13816" max="13817" width="11.25" style="3491" customWidth="1"/>
    <col min="13818" max="13818" width="17.875" style="3491" customWidth="1"/>
    <col min="13819" max="13819" width="7.875" style="3491" customWidth="1"/>
    <col min="13820" max="13823" width="9" style="3491" customWidth="1"/>
    <col min="13824" max="13824" width="18.375" style="3491" customWidth="1"/>
    <col min="13825" max="13825" width="7.875" style="3491" customWidth="1"/>
    <col min="13826" max="13826" width="24.5" style="3491" customWidth="1"/>
    <col min="13827" max="13827" width="21.125" style="3491" customWidth="1"/>
    <col min="13828" max="13830" width="10.625" style="3491" customWidth="1"/>
    <col min="13831" max="13832" width="16" style="3491" customWidth="1"/>
    <col min="13833" max="13834" width="14.375" style="3491" customWidth="1"/>
    <col min="13835" max="13836" width="21.875" style="3491" customWidth="1"/>
    <col min="13837" max="13837" width="6.25" style="3491" customWidth="1"/>
    <col min="13838" max="13838" width="7.875" style="3491" customWidth="1"/>
    <col min="13839" max="13839" width="16.875" style="3491" customWidth="1"/>
    <col min="13840" max="13841" width="20.125" style="3491" customWidth="1"/>
    <col min="13842" max="13842" width="7.875" style="3491" customWidth="1"/>
    <col min="13843" max="14052" width="9" style="3491"/>
    <col min="14053" max="14053" width="32" style="3491" customWidth="1"/>
    <col min="14054" max="14054" width="6.25" style="3491" customWidth="1"/>
    <col min="14055" max="14055" width="7.875" style="3491" customWidth="1"/>
    <col min="14056" max="14057" width="6.25" style="3491" customWidth="1"/>
    <col min="14058" max="14058" width="32" style="3491" customWidth="1"/>
    <col min="14059" max="14059" width="7.875" style="3491" customWidth="1"/>
    <col min="14060" max="14060" width="8.75" style="3491" customWidth="1"/>
    <col min="14061" max="14061" width="29.375" style="3491" customWidth="1"/>
    <col min="14062" max="14063" width="13.875" style="3491" customWidth="1"/>
    <col min="14064" max="14064" width="25.375" style="3491" customWidth="1"/>
    <col min="14065" max="14065" width="7.875" style="3491" customWidth="1"/>
    <col min="14066" max="14067" width="11.25" style="3491" customWidth="1"/>
    <col min="14068" max="14068" width="9.625" style="3491" customWidth="1"/>
    <col min="14069" max="14070" width="15.5" style="3491" customWidth="1"/>
    <col min="14071" max="14071" width="12.875" style="3491" customWidth="1"/>
    <col min="14072" max="14073" width="11.25" style="3491" customWidth="1"/>
    <col min="14074" max="14074" width="17.875" style="3491" customWidth="1"/>
    <col min="14075" max="14075" width="7.875" style="3491" customWidth="1"/>
    <col min="14076" max="14079" width="9" style="3491" customWidth="1"/>
    <col min="14080" max="14080" width="18.375" style="3491" customWidth="1"/>
    <col min="14081" max="14081" width="7.875" style="3491" customWidth="1"/>
    <col min="14082" max="14082" width="24.5" style="3491" customWidth="1"/>
    <col min="14083" max="14083" width="21.125" style="3491" customWidth="1"/>
    <col min="14084" max="14086" width="10.625" style="3491" customWidth="1"/>
    <col min="14087" max="14088" width="16" style="3491" customWidth="1"/>
    <col min="14089" max="14090" width="14.375" style="3491" customWidth="1"/>
    <col min="14091" max="14092" width="21.875" style="3491" customWidth="1"/>
    <col min="14093" max="14093" width="6.25" style="3491" customWidth="1"/>
    <col min="14094" max="14094" width="7.875" style="3491" customWidth="1"/>
    <col min="14095" max="14095" width="16.875" style="3491" customWidth="1"/>
    <col min="14096" max="14097" width="20.125" style="3491" customWidth="1"/>
    <col min="14098" max="14098" width="7.875" style="3491" customWidth="1"/>
    <col min="14099" max="14308" width="9" style="3491"/>
    <col min="14309" max="14309" width="32" style="3491" customWidth="1"/>
    <col min="14310" max="14310" width="6.25" style="3491" customWidth="1"/>
    <col min="14311" max="14311" width="7.875" style="3491" customWidth="1"/>
    <col min="14312" max="14313" width="6.25" style="3491" customWidth="1"/>
    <col min="14314" max="14314" width="32" style="3491" customWidth="1"/>
    <col min="14315" max="14315" width="7.875" style="3491" customWidth="1"/>
    <col min="14316" max="14316" width="8.75" style="3491" customWidth="1"/>
    <col min="14317" max="14317" width="29.375" style="3491" customWidth="1"/>
    <col min="14318" max="14319" width="13.875" style="3491" customWidth="1"/>
    <col min="14320" max="14320" width="25.375" style="3491" customWidth="1"/>
    <col min="14321" max="14321" width="7.875" style="3491" customWidth="1"/>
    <col min="14322" max="14323" width="11.25" style="3491" customWidth="1"/>
    <col min="14324" max="14324" width="9.625" style="3491" customWidth="1"/>
    <col min="14325" max="14326" width="15.5" style="3491" customWidth="1"/>
    <col min="14327" max="14327" width="12.875" style="3491" customWidth="1"/>
    <col min="14328" max="14329" width="11.25" style="3491" customWidth="1"/>
    <col min="14330" max="14330" width="17.875" style="3491" customWidth="1"/>
    <col min="14331" max="14331" width="7.875" style="3491" customWidth="1"/>
    <col min="14332" max="14335" width="9" style="3491" customWidth="1"/>
    <col min="14336" max="14336" width="18.375" style="3491" customWidth="1"/>
    <col min="14337" max="14337" width="7.875" style="3491" customWidth="1"/>
    <col min="14338" max="14338" width="24.5" style="3491" customWidth="1"/>
    <col min="14339" max="14339" width="21.125" style="3491" customWidth="1"/>
    <col min="14340" max="14342" width="10.625" style="3491" customWidth="1"/>
    <col min="14343" max="14344" width="16" style="3491" customWidth="1"/>
    <col min="14345" max="14346" width="14.375" style="3491" customWidth="1"/>
    <col min="14347" max="14348" width="21.875" style="3491" customWidth="1"/>
    <col min="14349" max="14349" width="6.25" style="3491" customWidth="1"/>
    <col min="14350" max="14350" width="7.875" style="3491" customWidth="1"/>
    <col min="14351" max="14351" width="16.875" style="3491" customWidth="1"/>
    <col min="14352" max="14353" width="20.125" style="3491" customWidth="1"/>
    <col min="14354" max="14354" width="7.875" style="3491" customWidth="1"/>
    <col min="14355" max="14564" width="9" style="3491"/>
    <col min="14565" max="14565" width="32" style="3491" customWidth="1"/>
    <col min="14566" max="14566" width="6.25" style="3491" customWidth="1"/>
    <col min="14567" max="14567" width="7.875" style="3491" customWidth="1"/>
    <col min="14568" max="14569" width="6.25" style="3491" customWidth="1"/>
    <col min="14570" max="14570" width="32" style="3491" customWidth="1"/>
    <col min="14571" max="14571" width="7.875" style="3491" customWidth="1"/>
    <col min="14572" max="14572" width="8.75" style="3491" customWidth="1"/>
    <col min="14573" max="14573" width="29.375" style="3491" customWidth="1"/>
    <col min="14574" max="14575" width="13.875" style="3491" customWidth="1"/>
    <col min="14576" max="14576" width="25.375" style="3491" customWidth="1"/>
    <col min="14577" max="14577" width="7.875" style="3491" customWidth="1"/>
    <col min="14578" max="14579" width="11.25" style="3491" customWidth="1"/>
    <col min="14580" max="14580" width="9.625" style="3491" customWidth="1"/>
    <col min="14581" max="14582" width="15.5" style="3491" customWidth="1"/>
    <col min="14583" max="14583" width="12.875" style="3491" customWidth="1"/>
    <col min="14584" max="14585" width="11.25" style="3491" customWidth="1"/>
    <col min="14586" max="14586" width="17.875" style="3491" customWidth="1"/>
    <col min="14587" max="14587" width="7.875" style="3491" customWidth="1"/>
    <col min="14588" max="14591" width="9" style="3491" customWidth="1"/>
    <col min="14592" max="14592" width="18.375" style="3491" customWidth="1"/>
    <col min="14593" max="14593" width="7.875" style="3491" customWidth="1"/>
    <col min="14594" max="14594" width="24.5" style="3491" customWidth="1"/>
    <col min="14595" max="14595" width="21.125" style="3491" customWidth="1"/>
    <col min="14596" max="14598" width="10.625" style="3491" customWidth="1"/>
    <col min="14599" max="14600" width="16" style="3491" customWidth="1"/>
    <col min="14601" max="14602" width="14.375" style="3491" customWidth="1"/>
    <col min="14603" max="14604" width="21.875" style="3491" customWidth="1"/>
    <col min="14605" max="14605" width="6.25" style="3491" customWidth="1"/>
    <col min="14606" max="14606" width="7.875" style="3491" customWidth="1"/>
    <col min="14607" max="14607" width="16.875" style="3491" customWidth="1"/>
    <col min="14608" max="14609" width="20.125" style="3491" customWidth="1"/>
    <col min="14610" max="14610" width="7.875" style="3491" customWidth="1"/>
    <col min="14611" max="14820" width="9" style="3491"/>
    <col min="14821" max="14821" width="32" style="3491" customWidth="1"/>
    <col min="14822" max="14822" width="6.25" style="3491" customWidth="1"/>
    <col min="14823" max="14823" width="7.875" style="3491" customWidth="1"/>
    <col min="14824" max="14825" width="6.25" style="3491" customWidth="1"/>
    <col min="14826" max="14826" width="32" style="3491" customWidth="1"/>
    <col min="14827" max="14827" width="7.875" style="3491" customWidth="1"/>
    <col min="14828" max="14828" width="8.75" style="3491" customWidth="1"/>
    <col min="14829" max="14829" width="29.375" style="3491" customWidth="1"/>
    <col min="14830" max="14831" width="13.875" style="3491" customWidth="1"/>
    <col min="14832" max="14832" width="25.375" style="3491" customWidth="1"/>
    <col min="14833" max="14833" width="7.875" style="3491" customWidth="1"/>
    <col min="14834" max="14835" width="11.25" style="3491" customWidth="1"/>
    <col min="14836" max="14836" width="9.625" style="3491" customWidth="1"/>
    <col min="14837" max="14838" width="15.5" style="3491" customWidth="1"/>
    <col min="14839" max="14839" width="12.875" style="3491" customWidth="1"/>
    <col min="14840" max="14841" width="11.25" style="3491" customWidth="1"/>
    <col min="14842" max="14842" width="17.875" style="3491" customWidth="1"/>
    <col min="14843" max="14843" width="7.875" style="3491" customWidth="1"/>
    <col min="14844" max="14847" width="9" style="3491" customWidth="1"/>
    <col min="14848" max="14848" width="18.375" style="3491" customWidth="1"/>
    <col min="14849" max="14849" width="7.875" style="3491" customWidth="1"/>
    <col min="14850" max="14850" width="24.5" style="3491" customWidth="1"/>
    <col min="14851" max="14851" width="21.125" style="3491" customWidth="1"/>
    <col min="14852" max="14854" width="10.625" style="3491" customWidth="1"/>
    <col min="14855" max="14856" width="16" style="3491" customWidth="1"/>
    <col min="14857" max="14858" width="14.375" style="3491" customWidth="1"/>
    <col min="14859" max="14860" width="21.875" style="3491" customWidth="1"/>
    <col min="14861" max="14861" width="6.25" style="3491" customWidth="1"/>
    <col min="14862" max="14862" width="7.875" style="3491" customWidth="1"/>
    <col min="14863" max="14863" width="16.875" style="3491" customWidth="1"/>
    <col min="14864" max="14865" width="20.125" style="3491" customWidth="1"/>
    <col min="14866" max="14866" width="7.875" style="3491" customWidth="1"/>
    <col min="14867" max="15076" width="9" style="3491"/>
    <col min="15077" max="15077" width="32" style="3491" customWidth="1"/>
    <col min="15078" max="15078" width="6.25" style="3491" customWidth="1"/>
    <col min="15079" max="15079" width="7.875" style="3491" customWidth="1"/>
    <col min="15080" max="15081" width="6.25" style="3491" customWidth="1"/>
    <col min="15082" max="15082" width="32" style="3491" customWidth="1"/>
    <col min="15083" max="15083" width="7.875" style="3491" customWidth="1"/>
    <col min="15084" max="15084" width="8.75" style="3491" customWidth="1"/>
    <col min="15085" max="15085" width="29.375" style="3491" customWidth="1"/>
    <col min="15086" max="15087" width="13.875" style="3491" customWidth="1"/>
    <col min="15088" max="15088" width="25.375" style="3491" customWidth="1"/>
    <col min="15089" max="15089" width="7.875" style="3491" customWidth="1"/>
    <col min="15090" max="15091" width="11.25" style="3491" customWidth="1"/>
    <col min="15092" max="15092" width="9.625" style="3491" customWidth="1"/>
    <col min="15093" max="15094" width="15.5" style="3491" customWidth="1"/>
    <col min="15095" max="15095" width="12.875" style="3491" customWidth="1"/>
    <col min="15096" max="15097" width="11.25" style="3491" customWidth="1"/>
    <col min="15098" max="15098" width="17.875" style="3491" customWidth="1"/>
    <col min="15099" max="15099" width="7.875" style="3491" customWidth="1"/>
    <col min="15100" max="15103" width="9" style="3491" customWidth="1"/>
    <col min="15104" max="15104" width="18.375" style="3491" customWidth="1"/>
    <col min="15105" max="15105" width="7.875" style="3491" customWidth="1"/>
    <col min="15106" max="15106" width="24.5" style="3491" customWidth="1"/>
    <col min="15107" max="15107" width="21.125" style="3491" customWidth="1"/>
    <col min="15108" max="15110" width="10.625" style="3491" customWidth="1"/>
    <col min="15111" max="15112" width="16" style="3491" customWidth="1"/>
    <col min="15113" max="15114" width="14.375" style="3491" customWidth="1"/>
    <col min="15115" max="15116" width="21.875" style="3491" customWidth="1"/>
    <col min="15117" max="15117" width="6.25" style="3491" customWidth="1"/>
    <col min="15118" max="15118" width="7.875" style="3491" customWidth="1"/>
    <col min="15119" max="15119" width="16.875" style="3491" customWidth="1"/>
    <col min="15120" max="15121" width="20.125" style="3491" customWidth="1"/>
    <col min="15122" max="15122" width="7.875" style="3491" customWidth="1"/>
    <col min="15123" max="15332" width="9" style="3491"/>
    <col min="15333" max="15333" width="32" style="3491" customWidth="1"/>
    <col min="15334" max="15334" width="6.25" style="3491" customWidth="1"/>
    <col min="15335" max="15335" width="7.875" style="3491" customWidth="1"/>
    <col min="15336" max="15337" width="6.25" style="3491" customWidth="1"/>
    <col min="15338" max="15338" width="32" style="3491" customWidth="1"/>
    <col min="15339" max="15339" width="7.875" style="3491" customWidth="1"/>
    <col min="15340" max="15340" width="8.75" style="3491" customWidth="1"/>
    <col min="15341" max="15341" width="29.375" style="3491" customWidth="1"/>
    <col min="15342" max="15343" width="13.875" style="3491" customWidth="1"/>
    <col min="15344" max="15344" width="25.375" style="3491" customWidth="1"/>
    <col min="15345" max="15345" width="7.875" style="3491" customWidth="1"/>
    <col min="15346" max="15347" width="11.25" style="3491" customWidth="1"/>
    <col min="15348" max="15348" width="9.625" style="3491" customWidth="1"/>
    <col min="15349" max="15350" width="15.5" style="3491" customWidth="1"/>
    <col min="15351" max="15351" width="12.875" style="3491" customWidth="1"/>
    <col min="15352" max="15353" width="11.25" style="3491" customWidth="1"/>
    <col min="15354" max="15354" width="17.875" style="3491" customWidth="1"/>
    <col min="15355" max="15355" width="7.875" style="3491" customWidth="1"/>
    <col min="15356" max="15359" width="9" style="3491" customWidth="1"/>
    <col min="15360" max="15360" width="18.375" style="3491" customWidth="1"/>
    <col min="15361" max="15361" width="7.875" style="3491" customWidth="1"/>
    <col min="15362" max="15362" width="24.5" style="3491" customWidth="1"/>
    <col min="15363" max="15363" width="21.125" style="3491" customWidth="1"/>
    <col min="15364" max="15366" width="10.625" style="3491" customWidth="1"/>
    <col min="15367" max="15368" width="16" style="3491" customWidth="1"/>
    <col min="15369" max="15370" width="14.375" style="3491" customWidth="1"/>
    <col min="15371" max="15372" width="21.875" style="3491" customWidth="1"/>
    <col min="15373" max="15373" width="6.25" style="3491" customWidth="1"/>
    <col min="15374" max="15374" width="7.875" style="3491" customWidth="1"/>
    <col min="15375" max="15375" width="16.875" style="3491" customWidth="1"/>
    <col min="15376" max="15377" width="20.125" style="3491" customWidth="1"/>
    <col min="15378" max="15378" width="7.875" style="3491" customWidth="1"/>
    <col min="15379" max="15588" width="9" style="3491"/>
    <col min="15589" max="15589" width="32" style="3491" customWidth="1"/>
    <col min="15590" max="15590" width="6.25" style="3491" customWidth="1"/>
    <col min="15591" max="15591" width="7.875" style="3491" customWidth="1"/>
    <col min="15592" max="15593" width="6.25" style="3491" customWidth="1"/>
    <col min="15594" max="15594" width="32" style="3491" customWidth="1"/>
    <col min="15595" max="15595" width="7.875" style="3491" customWidth="1"/>
    <col min="15596" max="15596" width="8.75" style="3491" customWidth="1"/>
    <col min="15597" max="15597" width="29.375" style="3491" customWidth="1"/>
    <col min="15598" max="15599" width="13.875" style="3491" customWidth="1"/>
    <col min="15600" max="15600" width="25.375" style="3491" customWidth="1"/>
    <col min="15601" max="15601" width="7.875" style="3491" customWidth="1"/>
    <col min="15602" max="15603" width="11.25" style="3491" customWidth="1"/>
    <col min="15604" max="15604" width="9.625" style="3491" customWidth="1"/>
    <col min="15605" max="15606" width="15.5" style="3491" customWidth="1"/>
    <col min="15607" max="15607" width="12.875" style="3491" customWidth="1"/>
    <col min="15608" max="15609" width="11.25" style="3491" customWidth="1"/>
    <col min="15610" max="15610" width="17.875" style="3491" customWidth="1"/>
    <col min="15611" max="15611" width="7.875" style="3491" customWidth="1"/>
    <col min="15612" max="15615" width="9" style="3491" customWidth="1"/>
    <col min="15616" max="15616" width="18.375" style="3491" customWidth="1"/>
    <col min="15617" max="15617" width="7.875" style="3491" customWidth="1"/>
    <col min="15618" max="15618" width="24.5" style="3491" customWidth="1"/>
    <col min="15619" max="15619" width="21.125" style="3491" customWidth="1"/>
    <col min="15620" max="15622" width="10.625" style="3491" customWidth="1"/>
    <col min="15623" max="15624" width="16" style="3491" customWidth="1"/>
    <col min="15625" max="15626" width="14.375" style="3491" customWidth="1"/>
    <col min="15627" max="15628" width="21.875" style="3491" customWidth="1"/>
    <col min="15629" max="15629" width="6.25" style="3491" customWidth="1"/>
    <col min="15630" max="15630" width="7.875" style="3491" customWidth="1"/>
    <col min="15631" max="15631" width="16.875" style="3491" customWidth="1"/>
    <col min="15632" max="15633" width="20.125" style="3491" customWidth="1"/>
    <col min="15634" max="15634" width="7.875" style="3491" customWidth="1"/>
    <col min="15635" max="15844" width="9" style="3491"/>
    <col min="15845" max="15845" width="32" style="3491" customWidth="1"/>
    <col min="15846" max="15846" width="6.25" style="3491" customWidth="1"/>
    <col min="15847" max="15847" width="7.875" style="3491" customWidth="1"/>
    <col min="15848" max="15849" width="6.25" style="3491" customWidth="1"/>
    <col min="15850" max="15850" width="32" style="3491" customWidth="1"/>
    <col min="15851" max="15851" width="7.875" style="3491" customWidth="1"/>
    <col min="15852" max="15852" width="8.75" style="3491" customWidth="1"/>
    <col min="15853" max="15853" width="29.375" style="3491" customWidth="1"/>
    <col min="15854" max="15855" width="13.875" style="3491" customWidth="1"/>
    <col min="15856" max="15856" width="25.375" style="3491" customWidth="1"/>
    <col min="15857" max="15857" width="7.875" style="3491" customWidth="1"/>
    <col min="15858" max="15859" width="11.25" style="3491" customWidth="1"/>
    <col min="15860" max="15860" width="9.625" style="3491" customWidth="1"/>
    <col min="15861" max="15862" width="15.5" style="3491" customWidth="1"/>
    <col min="15863" max="15863" width="12.875" style="3491" customWidth="1"/>
    <col min="15864" max="15865" width="11.25" style="3491" customWidth="1"/>
    <col min="15866" max="15866" width="17.875" style="3491" customWidth="1"/>
    <col min="15867" max="15867" width="7.875" style="3491" customWidth="1"/>
    <col min="15868" max="15871" width="9" style="3491" customWidth="1"/>
    <col min="15872" max="15872" width="18.375" style="3491" customWidth="1"/>
    <col min="15873" max="15873" width="7.875" style="3491" customWidth="1"/>
    <col min="15874" max="15874" width="24.5" style="3491" customWidth="1"/>
    <col min="15875" max="15875" width="21.125" style="3491" customWidth="1"/>
    <col min="15876" max="15878" width="10.625" style="3491" customWidth="1"/>
    <col min="15879" max="15880" width="16" style="3491" customWidth="1"/>
    <col min="15881" max="15882" width="14.375" style="3491" customWidth="1"/>
    <col min="15883" max="15884" width="21.875" style="3491" customWidth="1"/>
    <col min="15885" max="15885" width="6.25" style="3491" customWidth="1"/>
    <col min="15886" max="15886" width="7.875" style="3491" customWidth="1"/>
    <col min="15887" max="15887" width="16.875" style="3491" customWidth="1"/>
    <col min="15888" max="15889" width="20.125" style="3491" customWidth="1"/>
    <col min="15890" max="15890" width="7.875" style="3491" customWidth="1"/>
    <col min="15891" max="16100" width="9" style="3491"/>
    <col min="16101" max="16101" width="32" style="3491" customWidth="1"/>
    <col min="16102" max="16102" width="6.25" style="3491" customWidth="1"/>
    <col min="16103" max="16103" width="7.875" style="3491" customWidth="1"/>
    <col min="16104" max="16105" width="6.25" style="3491" customWidth="1"/>
    <col min="16106" max="16106" width="32" style="3491" customWidth="1"/>
    <col min="16107" max="16107" width="7.875" style="3491" customWidth="1"/>
    <col min="16108" max="16108" width="8.75" style="3491" customWidth="1"/>
    <col min="16109" max="16109" width="29.375" style="3491" customWidth="1"/>
    <col min="16110" max="16111" width="13.875" style="3491" customWidth="1"/>
    <col min="16112" max="16112" width="25.375" style="3491" customWidth="1"/>
    <col min="16113" max="16113" width="7.875" style="3491" customWidth="1"/>
    <col min="16114" max="16115" width="11.25" style="3491" customWidth="1"/>
    <col min="16116" max="16116" width="9.625" style="3491" customWidth="1"/>
    <col min="16117" max="16118" width="15.5" style="3491" customWidth="1"/>
    <col min="16119" max="16119" width="12.875" style="3491" customWidth="1"/>
    <col min="16120" max="16121" width="11.25" style="3491" customWidth="1"/>
    <col min="16122" max="16122" width="17.875" style="3491" customWidth="1"/>
    <col min="16123" max="16123" width="7.875" style="3491" customWidth="1"/>
    <col min="16124" max="16127" width="9" style="3491" customWidth="1"/>
    <col min="16128" max="16128" width="18.375" style="3491" customWidth="1"/>
    <col min="16129" max="16129" width="7.875" style="3491" customWidth="1"/>
    <col min="16130" max="16130" width="24.5" style="3491" customWidth="1"/>
    <col min="16131" max="16131" width="21.125" style="3491" customWidth="1"/>
    <col min="16132" max="16134" width="10.625" style="3491" customWidth="1"/>
    <col min="16135" max="16136" width="16" style="3491" customWidth="1"/>
    <col min="16137" max="16138" width="14.375" style="3491" customWidth="1"/>
    <col min="16139" max="16140" width="21.875" style="3491" customWidth="1"/>
    <col min="16141" max="16141" width="6.25" style="3491" customWidth="1"/>
    <col min="16142" max="16142" width="7.875" style="3491" customWidth="1"/>
    <col min="16143" max="16143" width="16.875" style="3491" customWidth="1"/>
    <col min="16144" max="16145" width="20.125" style="3491" customWidth="1"/>
    <col min="16146" max="16146" width="7.875" style="3491" customWidth="1"/>
    <col min="16147" max="16384" width="9" style="3491"/>
  </cols>
  <sheetData>
    <row r="1" spans="1:18">
      <c r="A1" s="3491" t="s">
        <v>3927</v>
      </c>
      <c r="B1" s="3491" t="s">
        <v>3928</v>
      </c>
      <c r="C1" s="3491" t="s">
        <v>3929</v>
      </c>
      <c r="D1" s="3491" t="s">
        <v>3930</v>
      </c>
      <c r="E1" s="3491" t="s">
        <v>3931</v>
      </c>
      <c r="F1" s="3491" t="s">
        <v>3932</v>
      </c>
      <c r="G1" s="3491" t="s">
        <v>3933</v>
      </c>
      <c r="H1" s="3491" t="s">
        <v>3934</v>
      </c>
      <c r="I1" s="3491" t="s">
        <v>3177</v>
      </c>
      <c r="J1" s="3491" t="s">
        <v>3935</v>
      </c>
      <c r="K1" s="3491" t="s">
        <v>3936</v>
      </c>
      <c r="L1" s="3491" t="s">
        <v>3937</v>
      </c>
      <c r="M1" s="3491" t="s">
        <v>3938</v>
      </c>
      <c r="N1" s="3491" t="s">
        <v>3939</v>
      </c>
      <c r="O1" s="3491" t="s">
        <v>3940</v>
      </c>
      <c r="P1" s="3491" t="s">
        <v>3941</v>
      </c>
      <c r="Q1" s="3491" t="s">
        <v>3942</v>
      </c>
      <c r="R1" s="3491" t="s">
        <v>3943</v>
      </c>
    </row>
    <row r="2" spans="1:18">
      <c r="A2" s="3491" t="s">
        <v>3944</v>
      </c>
      <c r="B2" s="3491" t="s">
        <v>3945</v>
      </c>
      <c r="C2" s="3491" t="s">
        <v>3946</v>
      </c>
      <c r="D2" s="3492" t="s">
        <v>3975</v>
      </c>
      <c r="E2" s="3491" t="s">
        <v>3948</v>
      </c>
      <c r="F2" s="3491" t="s">
        <v>3092</v>
      </c>
      <c r="G2" s="3491">
        <v>33448.92</v>
      </c>
      <c r="H2" s="3491">
        <v>50173.38</v>
      </c>
      <c r="I2" s="3491">
        <v>1.5</v>
      </c>
      <c r="J2" s="3491" t="s">
        <v>3950</v>
      </c>
      <c r="K2" s="3491" t="s">
        <v>3951</v>
      </c>
      <c r="L2" s="3491" t="s">
        <v>3952</v>
      </c>
      <c r="M2" s="3491">
        <v>9900</v>
      </c>
      <c r="N2" s="3491">
        <v>197.32</v>
      </c>
      <c r="O2" s="3491">
        <v>1973.16</v>
      </c>
      <c r="P2" s="3491">
        <v>30.61</v>
      </c>
      <c r="Q2" s="3491" t="s">
        <v>3953</v>
      </c>
      <c r="R2" s="3491" t="s">
        <v>3956</v>
      </c>
    </row>
    <row r="3" spans="1:18">
      <c r="A3" s="3491" t="s">
        <v>3957</v>
      </c>
      <c r="B3" s="3491" t="s">
        <v>3945</v>
      </c>
      <c r="C3" s="3491" t="s">
        <v>3946</v>
      </c>
      <c r="D3" s="3492" t="s">
        <v>3974</v>
      </c>
      <c r="E3" s="3491" t="s">
        <v>3948</v>
      </c>
      <c r="F3" s="3491" t="s">
        <v>3092</v>
      </c>
      <c r="G3" s="3491">
        <v>40380.01</v>
      </c>
      <c r="H3" s="3491">
        <v>60570.02</v>
      </c>
      <c r="I3" s="3491">
        <v>1.5</v>
      </c>
      <c r="J3" s="3491" t="s">
        <v>3950</v>
      </c>
      <c r="K3" s="3491" t="s">
        <v>3958</v>
      </c>
      <c r="L3" s="3491" t="s">
        <v>3959</v>
      </c>
      <c r="M3" s="3491">
        <v>13182</v>
      </c>
      <c r="N3" s="3491">
        <v>217.63</v>
      </c>
      <c r="O3" s="3491">
        <v>2176.3200000000002</v>
      </c>
      <c r="P3" s="3491">
        <v>43.56</v>
      </c>
      <c r="Q3" s="3491" t="s">
        <v>3953</v>
      </c>
      <c r="R3" s="3491" t="s">
        <v>3954</v>
      </c>
    </row>
    <row r="4" spans="1:18">
      <c r="A4" s="3491" t="s">
        <v>3963</v>
      </c>
      <c r="B4" s="3491" t="s">
        <v>3945</v>
      </c>
      <c r="C4" s="3491" t="s">
        <v>3946</v>
      </c>
      <c r="D4" s="3491" t="s">
        <v>3947</v>
      </c>
      <c r="E4" s="3491" t="s">
        <v>3948</v>
      </c>
      <c r="F4" s="3491" t="s">
        <v>3092</v>
      </c>
      <c r="G4" s="3491">
        <v>29121.71</v>
      </c>
      <c r="H4" s="3491">
        <v>43682.57</v>
      </c>
      <c r="I4" s="3491">
        <v>1.5</v>
      </c>
      <c r="J4" s="3491" t="s">
        <v>3950</v>
      </c>
      <c r="K4" s="3491" t="s">
        <v>3958</v>
      </c>
      <c r="L4" s="3491" t="s">
        <v>3959</v>
      </c>
      <c r="M4" s="3491">
        <v>9436</v>
      </c>
      <c r="N4" s="3491">
        <v>216.01</v>
      </c>
      <c r="O4" s="3491">
        <v>2160.13</v>
      </c>
      <c r="P4" s="3491">
        <v>42.19</v>
      </c>
      <c r="Q4" s="3491" t="s">
        <v>3953</v>
      </c>
      <c r="R4" s="3491" t="s">
        <v>3954</v>
      </c>
    </row>
    <row r="6" spans="1:18">
      <c r="A6" s="3491" t="s">
        <v>3927</v>
      </c>
      <c r="B6" s="3491" t="s">
        <v>3928</v>
      </c>
      <c r="C6" s="3491" t="s">
        <v>3929</v>
      </c>
      <c r="D6" s="3491" t="s">
        <v>3930</v>
      </c>
      <c r="E6" s="3491" t="s">
        <v>3931</v>
      </c>
      <c r="F6" s="3491" t="s">
        <v>3932</v>
      </c>
      <c r="G6" s="3491" t="s">
        <v>3933</v>
      </c>
      <c r="H6" s="3491" t="s">
        <v>3934</v>
      </c>
      <c r="I6" s="3491" t="s">
        <v>3177</v>
      </c>
      <c r="J6" s="3491" t="s">
        <v>3935</v>
      </c>
      <c r="K6" s="3491" t="s">
        <v>3936</v>
      </c>
      <c r="L6" s="3491" t="s">
        <v>3937</v>
      </c>
      <c r="M6" s="3491" t="s">
        <v>3938</v>
      </c>
      <c r="N6" s="3491" t="s">
        <v>3939</v>
      </c>
      <c r="O6" s="3491" t="s">
        <v>3940</v>
      </c>
      <c r="P6" s="3491" t="s">
        <v>3941</v>
      </c>
      <c r="Q6" s="3491" t="s">
        <v>3942</v>
      </c>
      <c r="R6" s="3491" t="s">
        <v>3943</v>
      </c>
    </row>
    <row r="7" spans="1:18">
      <c r="A7" s="3491" t="s">
        <v>3944</v>
      </c>
      <c r="B7" s="3491" t="s">
        <v>3945</v>
      </c>
      <c r="C7" s="3491" t="s">
        <v>3946</v>
      </c>
      <c r="D7" s="3491" t="s">
        <v>3947</v>
      </c>
      <c r="E7" s="3491" t="s">
        <v>3948</v>
      </c>
      <c r="F7" s="3491" t="s">
        <v>3092</v>
      </c>
      <c r="G7" s="3491">
        <v>61715.3</v>
      </c>
      <c r="H7" s="3491">
        <v>92572.95</v>
      </c>
      <c r="I7" s="3491" t="s">
        <v>3949</v>
      </c>
      <c r="J7" s="3491" t="s">
        <v>3950</v>
      </c>
      <c r="K7" s="3491" t="s">
        <v>3951</v>
      </c>
      <c r="L7" s="3491" t="s">
        <v>3952</v>
      </c>
      <c r="M7" s="3491">
        <v>18100</v>
      </c>
      <c r="N7" s="3491">
        <v>195.52</v>
      </c>
      <c r="O7" s="3491">
        <v>1955.21</v>
      </c>
      <c r="P7" s="3491">
        <v>29.35</v>
      </c>
      <c r="Q7" s="3491" t="s">
        <v>3953</v>
      </c>
      <c r="R7" s="3491" t="s">
        <v>3954</v>
      </c>
    </row>
    <row r="8" spans="1:18">
      <c r="A8" s="3491" t="s">
        <v>3944</v>
      </c>
      <c r="B8" s="3491" t="s">
        <v>3945</v>
      </c>
      <c r="C8" s="3491" t="s">
        <v>3946</v>
      </c>
      <c r="D8" s="3492" t="s">
        <v>3975</v>
      </c>
      <c r="E8" s="3491" t="s">
        <v>3948</v>
      </c>
      <c r="F8" s="3491" t="s">
        <v>3092</v>
      </c>
      <c r="G8" s="3491">
        <v>33448.92</v>
      </c>
      <c r="H8" s="3491">
        <v>50173.38</v>
      </c>
      <c r="I8" s="3491" t="s">
        <v>3949</v>
      </c>
      <c r="J8" s="3491" t="s">
        <v>3950</v>
      </c>
      <c r="K8" s="3491" t="s">
        <v>3951</v>
      </c>
      <c r="L8" s="3491" t="s">
        <v>3952</v>
      </c>
      <c r="M8" s="3491">
        <v>9900</v>
      </c>
      <c r="N8" s="3491">
        <v>197.32</v>
      </c>
      <c r="O8" s="3491">
        <v>1973.16</v>
      </c>
      <c r="P8" s="3491">
        <v>30.61</v>
      </c>
      <c r="Q8" s="3491" t="s">
        <v>3953</v>
      </c>
      <c r="R8" s="3491" t="s">
        <v>3956</v>
      </c>
    </row>
    <row r="9" spans="1:18">
      <c r="A9" s="3491" t="s">
        <v>3957</v>
      </c>
      <c r="B9" s="3491" t="s">
        <v>3945</v>
      </c>
      <c r="C9" s="3491" t="s">
        <v>3946</v>
      </c>
      <c r="D9" s="3492" t="s">
        <v>3974</v>
      </c>
      <c r="E9" s="3491" t="s">
        <v>3948</v>
      </c>
      <c r="F9" s="3491" t="s">
        <v>3092</v>
      </c>
      <c r="G9" s="3491">
        <v>40380.01</v>
      </c>
      <c r="H9" s="3491">
        <v>60570.02</v>
      </c>
      <c r="I9" s="3491" t="s">
        <v>3949</v>
      </c>
      <c r="J9" s="3491" t="s">
        <v>3950</v>
      </c>
      <c r="K9" s="3491" t="s">
        <v>3958</v>
      </c>
      <c r="L9" s="3491" t="s">
        <v>3959</v>
      </c>
      <c r="M9" s="3491">
        <v>13182</v>
      </c>
      <c r="N9" s="3491">
        <v>217.63</v>
      </c>
      <c r="O9" s="3491">
        <v>2176.3200000000002</v>
      </c>
      <c r="P9" s="3491">
        <v>43.56</v>
      </c>
      <c r="Q9" s="3491" t="s">
        <v>3953</v>
      </c>
      <c r="R9" s="3491" t="s">
        <v>3954</v>
      </c>
    </row>
    <row r="10" spans="1:18">
      <c r="A10" s="3491" t="s">
        <v>3960</v>
      </c>
      <c r="B10" s="3491" t="s">
        <v>3945</v>
      </c>
      <c r="C10" s="3491" t="s">
        <v>3946</v>
      </c>
      <c r="D10" s="3491" t="s">
        <v>3947</v>
      </c>
      <c r="E10" s="3491" t="s">
        <v>3948</v>
      </c>
      <c r="F10" s="3491" t="s">
        <v>3092</v>
      </c>
      <c r="G10" s="3491">
        <v>207.95</v>
      </c>
      <c r="H10" s="3491">
        <v>311.93</v>
      </c>
      <c r="I10" s="3491" t="s">
        <v>3949</v>
      </c>
      <c r="J10" s="3491" t="s">
        <v>3950</v>
      </c>
      <c r="K10" s="3491" t="s">
        <v>3958</v>
      </c>
      <c r="L10" s="3491" t="s">
        <v>3961</v>
      </c>
      <c r="M10" s="3491">
        <v>65</v>
      </c>
      <c r="N10" s="3491">
        <v>208.38</v>
      </c>
      <c r="O10" s="3491">
        <v>2083.8000000000002</v>
      </c>
      <c r="P10" s="3491">
        <v>32.65</v>
      </c>
      <c r="Q10" s="3491" t="s">
        <v>3953</v>
      </c>
      <c r="R10" s="3491" t="s">
        <v>3954</v>
      </c>
    </row>
    <row r="11" spans="1:18">
      <c r="A11" s="3491" t="s">
        <v>3962</v>
      </c>
      <c r="B11" s="3491" t="s">
        <v>3945</v>
      </c>
      <c r="C11" s="3491" t="s">
        <v>3946</v>
      </c>
      <c r="D11" s="3491" t="s">
        <v>3947</v>
      </c>
      <c r="E11" s="3491" t="s">
        <v>3948</v>
      </c>
      <c r="F11" s="3491" t="s">
        <v>3092</v>
      </c>
      <c r="G11" s="3491">
        <v>16831.919999999998</v>
      </c>
      <c r="H11" s="3491">
        <v>25247.88</v>
      </c>
      <c r="I11" s="3491" t="s">
        <v>3949</v>
      </c>
      <c r="J11" s="3491" t="s">
        <v>3950</v>
      </c>
      <c r="K11" s="3491" t="s">
        <v>3958</v>
      </c>
      <c r="L11" s="3491" t="s">
        <v>3961</v>
      </c>
      <c r="M11" s="3491">
        <v>4567</v>
      </c>
      <c r="N11" s="3491">
        <v>180.89</v>
      </c>
      <c r="O11" s="3491">
        <v>1808.85</v>
      </c>
      <c r="P11" s="3491">
        <v>19.34</v>
      </c>
      <c r="Q11" s="3491" t="s">
        <v>3953</v>
      </c>
      <c r="R11" s="3491" t="s">
        <v>3954</v>
      </c>
    </row>
    <row r="12" spans="1:18">
      <c r="A12" s="3491" t="s">
        <v>3963</v>
      </c>
      <c r="B12" s="3491" t="s">
        <v>3945</v>
      </c>
      <c r="C12" s="3491" t="s">
        <v>3946</v>
      </c>
      <c r="D12" s="3491" t="s">
        <v>3947</v>
      </c>
      <c r="E12" s="3491" t="s">
        <v>3948</v>
      </c>
      <c r="F12" s="3491" t="s">
        <v>3092</v>
      </c>
      <c r="G12" s="3491">
        <v>29121.71</v>
      </c>
      <c r="H12" s="3491">
        <v>43682.57</v>
      </c>
      <c r="I12" s="3491" t="s">
        <v>3949</v>
      </c>
      <c r="J12" s="3491" t="s">
        <v>3950</v>
      </c>
      <c r="K12" s="3491" t="s">
        <v>3958</v>
      </c>
      <c r="L12" s="3491" t="s">
        <v>3959</v>
      </c>
      <c r="M12" s="3491">
        <v>9436</v>
      </c>
      <c r="N12" s="3491">
        <v>216.01</v>
      </c>
      <c r="O12" s="3491">
        <v>2160.13</v>
      </c>
      <c r="P12" s="3491">
        <v>42.19</v>
      </c>
      <c r="Q12" s="3491" t="s">
        <v>3953</v>
      </c>
      <c r="R12" s="3491" t="s">
        <v>3954</v>
      </c>
    </row>
    <row r="13" spans="1:18">
      <c r="A13" s="3491" t="s">
        <v>3964</v>
      </c>
      <c r="B13" s="3491" t="s">
        <v>3945</v>
      </c>
      <c r="C13" s="3491" t="s">
        <v>3946</v>
      </c>
      <c r="D13" s="3491" t="s">
        <v>3947</v>
      </c>
      <c r="E13" s="3491" t="s">
        <v>3948</v>
      </c>
      <c r="F13" s="3491" t="s">
        <v>3092</v>
      </c>
      <c r="G13" s="3491">
        <v>30400.14</v>
      </c>
      <c r="H13" s="3491">
        <v>45600.21</v>
      </c>
      <c r="I13" s="3491" t="s">
        <v>3949</v>
      </c>
      <c r="J13" s="3491" t="s">
        <v>3950</v>
      </c>
      <c r="K13" s="3491" t="s">
        <v>3958</v>
      </c>
      <c r="L13" s="3491" t="s">
        <v>3959</v>
      </c>
      <c r="M13" s="3491">
        <v>9875</v>
      </c>
      <c r="N13" s="3491">
        <v>216.56</v>
      </c>
      <c r="O13" s="3491">
        <v>2165.5500000000002</v>
      </c>
      <c r="P13" s="3491">
        <v>42.6</v>
      </c>
      <c r="Q13" s="3491" t="s">
        <v>3953</v>
      </c>
      <c r="R13" s="3491" t="s">
        <v>3954</v>
      </c>
    </row>
    <row r="14" spans="1:18">
      <c r="A14" s="3491" t="s">
        <v>3965</v>
      </c>
      <c r="B14" s="3491" t="s">
        <v>3945</v>
      </c>
      <c r="C14" s="3491" t="s">
        <v>3946</v>
      </c>
      <c r="D14" s="3491" t="s">
        <v>3947</v>
      </c>
      <c r="E14" s="3491" t="s">
        <v>3948</v>
      </c>
      <c r="F14" s="3491" t="s">
        <v>3092</v>
      </c>
      <c r="G14" s="3491">
        <v>18871.86</v>
      </c>
      <c r="H14" s="3491">
        <v>28307.79</v>
      </c>
      <c r="I14" s="3491" t="s">
        <v>3949</v>
      </c>
      <c r="J14" s="3491" t="s">
        <v>3950</v>
      </c>
      <c r="K14" s="3491" t="s">
        <v>3958</v>
      </c>
      <c r="L14" s="3491" t="s">
        <v>3959</v>
      </c>
      <c r="M14" s="3491">
        <v>6148</v>
      </c>
      <c r="N14" s="3491">
        <v>217.18</v>
      </c>
      <c r="O14" s="3491">
        <v>2171.84</v>
      </c>
      <c r="P14" s="3491">
        <v>43.38</v>
      </c>
      <c r="Q14" s="3491" t="s">
        <v>3953</v>
      </c>
      <c r="R14" s="3491" t="s">
        <v>3954</v>
      </c>
    </row>
    <row r="15" spans="1:18">
      <c r="A15" s="3491" t="s">
        <v>3966</v>
      </c>
      <c r="B15" s="3491" t="s">
        <v>3945</v>
      </c>
      <c r="C15" s="3491" t="s">
        <v>3946</v>
      </c>
      <c r="D15" s="3491" t="s">
        <v>3947</v>
      </c>
      <c r="E15" s="3491" t="s">
        <v>3948</v>
      </c>
      <c r="F15" s="3491" t="s">
        <v>3092</v>
      </c>
      <c r="G15" s="3491">
        <v>49658.97</v>
      </c>
      <c r="H15" s="3491">
        <v>74488.460000000006</v>
      </c>
      <c r="I15" s="3491" t="s">
        <v>3949</v>
      </c>
      <c r="J15" s="3491" t="s">
        <v>3950</v>
      </c>
      <c r="K15" s="3491" t="s">
        <v>3958</v>
      </c>
      <c r="L15" s="3491" t="s">
        <v>3959</v>
      </c>
      <c r="M15" s="3491">
        <v>16130</v>
      </c>
      <c r="N15" s="3491">
        <v>216.54</v>
      </c>
      <c r="O15" s="3491">
        <v>2165.44</v>
      </c>
      <c r="P15" s="3491">
        <v>42.37</v>
      </c>
      <c r="Q15" s="3491" t="s">
        <v>3953</v>
      </c>
      <c r="R15" s="3491" t="s">
        <v>3954</v>
      </c>
    </row>
    <row r="16" spans="1:18">
      <c r="A16" s="3491" t="s">
        <v>3967</v>
      </c>
      <c r="B16" s="3491" t="s">
        <v>3945</v>
      </c>
      <c r="C16" s="3491" t="s">
        <v>3946</v>
      </c>
      <c r="D16" s="3491" t="s">
        <v>3955</v>
      </c>
      <c r="E16" s="3491" t="s">
        <v>3968</v>
      </c>
      <c r="F16" s="3491" t="s">
        <v>3969</v>
      </c>
      <c r="G16" s="3491">
        <v>33333.199999999997</v>
      </c>
      <c r="H16" s="3491">
        <v>73333.039999999994</v>
      </c>
      <c r="I16" s="3491" t="s">
        <v>3970</v>
      </c>
      <c r="J16" s="3491" t="s">
        <v>3971</v>
      </c>
      <c r="K16" s="3491" t="s">
        <v>3972</v>
      </c>
      <c r="L16" s="3491" t="s">
        <v>3961</v>
      </c>
      <c r="M16" s="3491">
        <v>3004</v>
      </c>
      <c r="N16" s="3491">
        <v>60.08</v>
      </c>
      <c r="O16" s="3491">
        <v>409.63</v>
      </c>
      <c r="P16" s="3491" t="s">
        <v>1298</v>
      </c>
      <c r="Q16" s="3491" t="s">
        <v>3953</v>
      </c>
      <c r="R16" s="3491" t="s">
        <v>3973</v>
      </c>
    </row>
  </sheetData>
  <phoneticPr fontId="142" type="noConversion"/>
  <pageMargins left="0.75" right="0.75" top="1" bottom="1" header="0.5" footer="0.5"/>
  <pageSetup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B2" sqref="B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2139</v>
      </c>
      <c r="B1" s="1655"/>
      <c r="C1" s="204"/>
      <c r="D1" s="204"/>
      <c r="E1" s="204"/>
      <c r="F1" s="204"/>
      <c r="G1" s="1287" t="e">
        <f>MATCH(B1,'数据-取费表'!A6:A16,0)+5</f>
        <v>#N/A</v>
      </c>
    </row>
    <row r="2" spans="1:9" s="206" customFormat="1" ht="18" customHeight="1">
      <c r="A2" s="207" t="s">
        <v>2140</v>
      </c>
      <c r="B2" s="208">
        <f ca="1">IF(D2="——",C52,C52-E2)</f>
        <v>143681</v>
      </c>
      <c r="C2" s="205" t="s">
        <v>2141</v>
      </c>
      <c r="D2" s="2040" t="s">
        <v>70</v>
      </c>
      <c r="E2" s="1330" t="e">
        <f ca="1">SUMIF(INDIRECT("'"&amp;G2&amp;"'"&amp;"!A:A"),"承租人权益价值",INDIRECT("'"&amp;G2&amp;"'"&amp;"!c:c"))</f>
        <v>#REF!</v>
      </c>
      <c r="F2" s="2041" t="s">
        <v>2141</v>
      </c>
      <c r="G2" s="2042"/>
    </row>
    <row r="3" spans="1:9" s="206" customFormat="1" ht="18" customHeight="1" thickBot="1">
      <c r="A3" s="209" t="s">
        <v>2142</v>
      </c>
      <c r="B3" s="210">
        <f ca="1">ROUND(B2*10000/(IF(B1="",'数据-汇总表'!E3,INDIRECT("'数据-取费表'!k"&amp;$G$1))),0)</f>
        <v>2011</v>
      </c>
      <c r="C3" s="205" t="s">
        <v>2143</v>
      </c>
      <c r="D3" s="205"/>
      <c r="E3" s="205"/>
      <c r="F3" s="205"/>
      <c r="G3" s="205"/>
    </row>
    <row r="4" spans="1:9" s="214" customFormat="1" ht="15.75">
      <c r="A4" s="211" t="s">
        <v>2144</v>
      </c>
      <c r="B4" s="212"/>
      <c r="C4" s="212"/>
      <c r="D4" s="212"/>
      <c r="E4" s="212"/>
      <c r="F4" s="212"/>
      <c r="G4" s="213"/>
    </row>
    <row r="5" spans="1:9" s="220" customFormat="1" ht="13.5" customHeight="1">
      <c r="A5" s="261" t="s">
        <v>2145</v>
      </c>
      <c r="B5" s="216" t="s">
        <v>2146</v>
      </c>
      <c r="C5" s="217">
        <f>C6+C7+C8</f>
        <v>114266</v>
      </c>
      <c r="D5" s="217" t="s">
        <v>2147</v>
      </c>
      <c r="E5" s="218" t="s">
        <v>2148</v>
      </c>
      <c r="F5" s="218" t="s">
        <v>2149</v>
      </c>
      <c r="G5" s="219"/>
    </row>
    <row r="6" spans="1:9" s="220" customFormat="1" ht="13.5" customHeight="1">
      <c r="A6" s="886" t="s">
        <v>2150</v>
      </c>
      <c r="B6" s="221" t="s">
        <v>2151</v>
      </c>
      <c r="C6" s="222">
        <f>'土地比较法-住宅、综合'!B2</f>
        <v>109818</v>
      </c>
      <c r="D6" s="223"/>
      <c r="E6" s="224"/>
      <c r="F6" s="224"/>
      <c r="G6" s="225"/>
    </row>
    <row r="7" spans="1:9" s="220" customFormat="1" ht="13.5" customHeight="1">
      <c r="A7" s="886" t="s">
        <v>2152</v>
      </c>
      <c r="B7" s="221" t="s">
        <v>2153</v>
      </c>
      <c r="C7" s="226">
        <f>ROUND(C6*F7,0)</f>
        <v>4448</v>
      </c>
      <c r="D7" s="226"/>
      <c r="E7" s="224"/>
      <c r="F7" s="227">
        <f>IF(项目基本情况!B8="出让",0,'数据-取费表'!B48+'数据-取费表'!B49)</f>
        <v>4.0500000000000001E-2</v>
      </c>
      <c r="G7" s="225"/>
    </row>
    <row r="8" spans="1:9" s="229" customFormat="1">
      <c r="A8" s="886" t="s">
        <v>2154</v>
      </c>
      <c r="B8" s="221" t="s">
        <v>2155</v>
      </c>
      <c r="C8" s="226" t="str">
        <f>IF(G8="已包含在土地购买价格中","0",IF(B1="",'数据-取费表'!B29,IF(G9="全部缴纳",C9+C10,H9)))</f>
        <v>0</v>
      </c>
      <c r="D8" s="228"/>
      <c r="E8" s="226"/>
      <c r="F8" s="227"/>
      <c r="G8" s="2043" t="s">
        <v>1116</v>
      </c>
    </row>
    <row r="9" spans="1:9" s="220" customFormat="1" ht="13.5" customHeight="1">
      <c r="A9" s="887" t="s">
        <v>800</v>
      </c>
      <c r="B9" s="230" t="s">
        <v>2156</v>
      </c>
      <c r="C9" s="231">
        <f ca="1">ROUND(D9*E9/10000,0)</f>
        <v>1723</v>
      </c>
      <c r="D9" s="953">
        <f ca="1">IF(B1="",'数据-汇总表'!E5,IF(INDIRECT("'数据-取费表'!c"&amp;$G$1)="住宅",INDIRECT("'数据-取费表'!k"&amp;$G$1),0))</f>
        <v>519045.26999999996</v>
      </c>
      <c r="E9" s="231">
        <f>'数据-取费表'!B27</f>
        <v>33.200000000000003</v>
      </c>
      <c r="F9" s="227"/>
      <c r="G9" s="2044" t="s">
        <v>4002</v>
      </c>
      <c r="H9" s="1298"/>
      <c r="I9" s="2045" t="s">
        <v>2157</v>
      </c>
    </row>
    <row r="10" spans="1:9" s="220" customFormat="1" ht="13.5" customHeight="1">
      <c r="A10" s="887" t="s">
        <v>801</v>
      </c>
      <c r="B10" s="230" t="s">
        <v>2158</v>
      </c>
      <c r="C10" s="231">
        <f ca="1">ROUND(D10*E10/10000,0)</f>
        <v>422</v>
      </c>
      <c r="D10" s="953">
        <f ca="1">IF(B1="",'数据-汇总表'!E6,IF(INDIRECT("'数据-取费表'!c"&amp;$G$1)="住宅",INDIRECT("'数据-取费表'!s"&amp;$G$1),INDIRECT("'数据-取费表'!k"&amp;$G$1)+INDIRECT("'数据-取费表'!s"&amp;$G$1)))</f>
        <v>195348.98000000004</v>
      </c>
      <c r="E10" s="231">
        <f>'数据-取费表'!B28</f>
        <v>21.6</v>
      </c>
      <c r="F10" s="227"/>
      <c r="G10" s="232"/>
    </row>
    <row r="11" spans="1:9" s="220" customFormat="1" ht="13.5" hidden="1" customHeight="1">
      <c r="A11" s="233" t="s">
        <v>7</v>
      </c>
      <c r="B11" s="221" t="s">
        <v>2159</v>
      </c>
      <c r="C11" s="217"/>
      <c r="D11" s="955"/>
      <c r="E11" s="224"/>
      <c r="F11" s="224"/>
      <c r="G11" s="225"/>
    </row>
    <row r="12" spans="1:9" s="220" customFormat="1" ht="13.5" hidden="1" customHeight="1">
      <c r="A12" s="233" t="s">
        <v>8</v>
      </c>
      <c r="B12" s="221" t="s">
        <v>2160</v>
      </c>
      <c r="C12" s="217">
        <v>0</v>
      </c>
      <c r="D12" s="955"/>
      <c r="E12" s="234"/>
      <c r="F12" s="227">
        <v>3.0499999999999999E-2</v>
      </c>
      <c r="G12" s="225"/>
    </row>
    <row r="13" spans="1:9" s="220" customFormat="1" ht="13.5" hidden="1" customHeight="1">
      <c r="A13" s="233" t="s">
        <v>9</v>
      </c>
      <c r="B13" s="221" t="s">
        <v>2161</v>
      </c>
      <c r="C13" s="217"/>
      <c r="D13" s="955"/>
      <c r="E13" s="224"/>
      <c r="F13" s="224"/>
      <c r="G13" s="225"/>
    </row>
    <row r="14" spans="1:9" s="220" customFormat="1" ht="13.5" hidden="1" customHeight="1">
      <c r="A14" s="233" t="s">
        <v>10</v>
      </c>
      <c r="B14" s="221" t="s">
        <v>2162</v>
      </c>
      <c r="C14" s="217"/>
      <c r="D14" s="955"/>
      <c r="E14" s="224"/>
      <c r="F14" s="224"/>
      <c r="G14" s="225" t="s">
        <v>2163</v>
      </c>
    </row>
    <row r="15" spans="1:9" s="220" customFormat="1" ht="13.5" hidden="1" customHeight="1">
      <c r="A15" s="233" t="s">
        <v>11</v>
      </c>
      <c r="B15" s="221" t="s">
        <v>2164</v>
      </c>
      <c r="C15" s="226"/>
      <c r="D15" s="955"/>
      <c r="E15" s="224"/>
      <c r="F15" s="224"/>
      <c r="G15" s="225" t="s">
        <v>2165</v>
      </c>
    </row>
    <row r="16" spans="1:9" s="220" customFormat="1" ht="13.5" hidden="1" customHeight="1">
      <c r="A16" s="233" t="s">
        <v>12</v>
      </c>
      <c r="B16" s="221" t="s">
        <v>2162</v>
      </c>
      <c r="C16" s="226"/>
      <c r="D16" s="955"/>
      <c r="E16" s="224"/>
      <c r="F16" s="224"/>
      <c r="G16" s="225"/>
    </row>
    <row r="17" spans="1:7" s="220" customFormat="1" ht="13.5" hidden="1" customHeight="1">
      <c r="A17" s="233" t="s">
        <v>13</v>
      </c>
      <c r="B17" s="221" t="s">
        <v>2166</v>
      </c>
      <c r="C17" s="235"/>
      <c r="D17" s="956"/>
      <c r="E17" s="235"/>
      <c r="F17" s="235"/>
      <c r="G17" s="225" t="s">
        <v>2165</v>
      </c>
    </row>
    <row r="18" spans="1:7" s="220" customFormat="1" ht="13.5" hidden="1" customHeight="1">
      <c r="A18" s="233" t="s">
        <v>14</v>
      </c>
      <c r="B18" s="221" t="s">
        <v>2167</v>
      </c>
      <c r="C18" s="226">
        <v>0</v>
      </c>
      <c r="D18" s="955"/>
      <c r="E18" s="224"/>
      <c r="F18" s="227">
        <v>3.0499999999999999E-2</v>
      </c>
      <c r="G18" s="225" t="s">
        <v>2168</v>
      </c>
    </row>
    <row r="19" spans="1:7" s="229" customFormat="1" ht="13.5" customHeight="1">
      <c r="A19" s="261" t="s">
        <v>2169</v>
      </c>
      <c r="B19" s="216" t="s">
        <v>2170</v>
      </c>
      <c r="C19" s="217">
        <f ca="1">IF(G19="已包含在土地取得成本中","0",ROUND(D19*E19/10000,0))</f>
        <v>3572</v>
      </c>
      <c r="D19" s="957">
        <f ca="1">D9+D10</f>
        <v>714394.25</v>
      </c>
      <c r="E19" s="217">
        <f>'数据-取费表'!B31</f>
        <v>50</v>
      </c>
      <c r="F19" s="237"/>
      <c r="G19" s="2043" t="s">
        <v>1042</v>
      </c>
    </row>
    <row r="20" spans="1:7" s="220" customFormat="1" ht="13.5" customHeight="1">
      <c r="A20" s="261" t="s">
        <v>2171</v>
      </c>
      <c r="B20" s="216" t="s">
        <v>2172</v>
      </c>
      <c r="C20" s="238">
        <f ca="1">ROUND((C5+C19)*F20,0)</f>
        <v>2357</v>
      </c>
      <c r="D20" s="238"/>
      <c r="E20" s="238"/>
      <c r="F20" s="239">
        <f>'数据-取费表'!B37</f>
        <v>0.02</v>
      </c>
      <c r="G20" s="240" t="s">
        <v>2173</v>
      </c>
    </row>
    <row r="21" spans="1:7" s="220" customFormat="1" ht="13.5" customHeight="1">
      <c r="A21" s="261" t="s">
        <v>2174</v>
      </c>
      <c r="B21" s="216" t="s">
        <v>2175</v>
      </c>
      <c r="C21" s="241">
        <f>F21</f>
        <v>0.02</v>
      </c>
      <c r="D21" s="242" t="s">
        <v>2176</v>
      </c>
      <c r="E21" s="238"/>
      <c r="F21" s="239">
        <f>'数据-取费表'!B38</f>
        <v>0.02</v>
      </c>
      <c r="G21" s="240" t="s">
        <v>2177</v>
      </c>
    </row>
    <row r="22" spans="1:7" s="220" customFormat="1" ht="13.5" customHeight="1">
      <c r="A22" s="261" t="s">
        <v>2178</v>
      </c>
      <c r="B22" s="216" t="s">
        <v>2179</v>
      </c>
      <c r="C22" s="1263">
        <f ca="1">ROUND(SUM(C23:C25),0)</f>
        <v>1109</v>
      </c>
      <c r="D22" s="241">
        <f ca="1">C26</f>
        <v>1E-4</v>
      </c>
      <c r="E22" s="242" t="s">
        <v>2176</v>
      </c>
      <c r="F22" s="243">
        <f ca="1">'数据-取费表'!B40</f>
        <v>4.7500000000000001E-2</v>
      </c>
      <c r="G22" s="240" t="str">
        <f>IF('数据-取费表'!B22&lt;=1,"单利计息","复利计息")</f>
        <v>复利计息</v>
      </c>
    </row>
    <row r="23" spans="1:7" s="220" customFormat="1" ht="13.5" customHeight="1">
      <c r="A23" s="888" t="s">
        <v>2180</v>
      </c>
      <c r="B23" s="221" t="s">
        <v>2181</v>
      </c>
      <c r="C23" s="1264">
        <f ca="1">ROUND(IF('数据-取费表'!B22&lt;=1,C5*F22*'数据-取费表'!B23,C5*(POWER((1+F22),'数据-取费表'!B23)-1)),0)</f>
        <v>1065</v>
      </c>
      <c r="D23" s="244"/>
      <c r="E23" s="244"/>
      <c r="F23" s="245"/>
      <c r="G23" s="246" t="s">
        <v>2182</v>
      </c>
    </row>
    <row r="24" spans="1:7" s="220" customFormat="1" ht="13.5" customHeight="1">
      <c r="A24" s="888" t="s">
        <v>2183</v>
      </c>
      <c r="B24" s="221" t="s">
        <v>2184</v>
      </c>
      <c r="C24" s="1264">
        <f ca="1">ROUND(IF('数据-取费表'!B22&lt;=1,C19*F22*('数据-取费表'!B19/2+'数据-取费表'!B21),C19*(POWER((1+F22),('数据-取费表'!B19/2+'数据-取费表'!B21))-1)),0)</f>
        <v>33</v>
      </c>
      <c r="D24" s="244"/>
      <c r="E24" s="244"/>
      <c r="F24" s="245"/>
      <c r="G24" s="246" t="s">
        <v>2185</v>
      </c>
    </row>
    <row r="25" spans="1:7" s="220" customFormat="1" ht="24">
      <c r="A25" s="888" t="s">
        <v>2186</v>
      </c>
      <c r="B25" s="221" t="s">
        <v>2187</v>
      </c>
      <c r="C25" s="1264">
        <f ca="1">ROUND(IF('数据-取费表'!B22&lt;=1,C20*F22*'数据-取费表'!B23/2,C20*(POWER((1+F22),'数据-取费表'!B23/2)-1)),0)</f>
        <v>11</v>
      </c>
      <c r="D25" s="244"/>
      <c r="E25" s="247"/>
      <c r="F25" s="245"/>
      <c r="G25" s="248" t="s">
        <v>2188</v>
      </c>
    </row>
    <row r="26" spans="1:7" s="220" customFormat="1">
      <c r="A26" s="888" t="s">
        <v>795</v>
      </c>
      <c r="B26" s="221" t="s">
        <v>2189</v>
      </c>
      <c r="C26" s="244">
        <f ca="1">ROUND(IF('数据-取费表'!B22&lt;=1,F21*F22*'数据-取费表'!B23/2,F21*(POWER((1+F22),'数据-取费表'!B23/2)-1)),4)</f>
        <v>1E-4</v>
      </c>
      <c r="D26" s="244"/>
      <c r="E26" s="247"/>
      <c r="F26" s="245"/>
      <c r="G26" s="249"/>
    </row>
    <row r="27" spans="1:7" s="220" customFormat="1" ht="24.75">
      <c r="A27" s="261" t="s">
        <v>2190</v>
      </c>
      <c r="B27" s="250" t="s">
        <v>2191</v>
      </c>
      <c r="C27" s="251">
        <f ca="1">C28</f>
        <v>962</v>
      </c>
      <c r="D27" s="241">
        <f ca="1">C29</f>
        <v>2.0000000000000001E-4</v>
      </c>
      <c r="E27" s="242" t="s">
        <v>2192</v>
      </c>
      <c r="F27" s="252">
        <f ca="1">IF(B1="",'数据-取费表'!Q16,INDIRECT("'数据-取费表'!q"&amp;$G$1))</f>
        <v>0.12</v>
      </c>
      <c r="G27" s="253" t="s">
        <v>2193</v>
      </c>
    </row>
    <row r="28" spans="1:7" s="220" customFormat="1" ht="13.5" customHeight="1">
      <c r="A28" s="888" t="s">
        <v>791</v>
      </c>
      <c r="B28" s="254" t="s">
        <v>2194</v>
      </c>
      <c r="C28" s="255">
        <f ca="1">ROUND((C5+C19+C20)*F27*'数据-取费表'!B21/'数据-取费表'!B20,0)</f>
        <v>962</v>
      </c>
      <c r="D28" s="241"/>
      <c r="E28" s="242"/>
      <c r="F28" s="252"/>
      <c r="G28" s="253"/>
    </row>
    <row r="29" spans="1:7" s="220" customFormat="1" ht="13.5" customHeight="1">
      <c r="A29" s="888" t="s">
        <v>792</v>
      </c>
      <c r="B29" s="254" t="s">
        <v>2195</v>
      </c>
      <c r="C29" s="244">
        <f ca="1">ROUND(C21*F27*'数据-取费表'!B21/'数据-取费表'!B20,4)</f>
        <v>2.0000000000000001E-4</v>
      </c>
      <c r="D29" s="241"/>
      <c r="E29" s="242"/>
      <c r="F29" s="252"/>
      <c r="G29" s="253"/>
    </row>
    <row r="30" spans="1:7" s="220" customFormat="1" ht="13.5" customHeight="1">
      <c r="A30" s="261" t="s">
        <v>2196</v>
      </c>
      <c r="B30" s="216" t="s">
        <v>2197</v>
      </c>
      <c r="C30" s="241">
        <f>ROUND(F30/(1+'数据-取费表'!C42),4)</f>
        <v>5.2400000000000002E-2</v>
      </c>
      <c r="D30" s="242" t="s">
        <v>2192</v>
      </c>
      <c r="E30" s="247"/>
      <c r="F30" s="243">
        <f>'数据-取费表'!B41</f>
        <v>5.5000000000000007E-2</v>
      </c>
      <c r="G30" s="240" t="s">
        <v>2198</v>
      </c>
    </row>
    <row r="31" spans="1:7" ht="16.5" customHeight="1">
      <c r="A31" s="215">
        <v>1</v>
      </c>
      <c r="B31" s="216" t="s">
        <v>2199</v>
      </c>
      <c r="C31" s="217">
        <f ca="1">ROUND((C5+C19+C20+C22+C27)/(1-C21-D22-D27-C30),0)</f>
        <v>131852</v>
      </c>
      <c r="D31" s="236"/>
      <c r="E31" s="217"/>
      <c r="F31" s="256"/>
      <c r="G31" s="240" t="s">
        <v>2200</v>
      </c>
    </row>
    <row r="32" spans="1:7" s="214" customFormat="1" ht="15.75">
      <c r="A32" s="258" t="s">
        <v>2201</v>
      </c>
      <c r="B32" s="259"/>
      <c r="C32" s="259"/>
      <c r="D32" s="259"/>
      <c r="E32" s="259"/>
      <c r="F32" s="259"/>
      <c r="G32" s="260"/>
    </row>
    <row r="33" spans="1:7" s="220" customFormat="1" ht="13.5" customHeight="1">
      <c r="A33" s="261" t="s">
        <v>782</v>
      </c>
      <c r="B33" s="216" t="s">
        <v>2202</v>
      </c>
      <c r="C33" s="262">
        <f ca="1">SUM(C34:C38)</f>
        <v>9539</v>
      </c>
      <c r="D33" s="238"/>
      <c r="E33" s="218"/>
      <c r="F33" s="247"/>
      <c r="G33" s="240"/>
    </row>
    <row r="34" spans="1:7" s="264" customFormat="1" ht="13.5" customHeight="1">
      <c r="A34" s="888" t="s">
        <v>791</v>
      </c>
      <c r="B34" s="221" t="s">
        <v>2203</v>
      </c>
      <c r="C34" s="226">
        <f ca="1">IF(B1="",IF(F34=100%,'数据-取费表'!M16,'数据-取费表'!O16),IF(F34=100%,INDIRECT("'数据-取费表'!m"&amp;$G$1)+INDIRECT("'数据-取费表'!t"&amp;$G$1),INDIRECT("'数据-取费表'!o"&amp;$G$1)+INDIRECT("'数据-取费表'!aq"&amp;$G$1)))</f>
        <v>8159</v>
      </c>
      <c r="D34" s="223"/>
      <c r="E34" s="226"/>
      <c r="F34" s="263">
        <f ca="1">IF('数据-取费表'!B24=0,1,IF(B1="",'数据-取费表'!N16,INDIRECT("'数据-取费表'!n"&amp;$G$1)))</f>
        <v>0.05</v>
      </c>
      <c r="G34" s="225" t="s">
        <v>2204</v>
      </c>
    </row>
    <row r="35" spans="1:7" ht="13.5" customHeight="1">
      <c r="A35" s="888" t="s">
        <v>796</v>
      </c>
      <c r="B35" s="221" t="s">
        <v>2205</v>
      </c>
      <c r="C35" s="226">
        <f ca="1">ROUND(C34*F35,0)</f>
        <v>245</v>
      </c>
      <c r="D35" s="226"/>
      <c r="E35" s="226"/>
      <c r="F35" s="265">
        <f>'数据-取费表'!B33</f>
        <v>0.03</v>
      </c>
      <c r="G35" s="225" t="s">
        <v>2206</v>
      </c>
    </row>
    <row r="36" spans="1:7" ht="24">
      <c r="A36" s="888" t="s">
        <v>797</v>
      </c>
      <c r="B36" s="221" t="s">
        <v>2207</v>
      </c>
      <c r="C36" s="226">
        <f ca="1">ROUND(IF(B1="",SUMIF('数据-取费表'!C:C,"住宅",IF(F34=100%,'数据-取费表'!M:M,'数据-取费表'!O:O))*F36,IF(INDIRECT("'数据-取费表'!c"&amp;$G$1)="住宅",IF(F34=100%,INDIRECT("'数据-取费表'!m"&amp;$G$1)*F36,INDIRECT("'数据-取费表'!o"&amp;$G$1)*F36),0)),0)</f>
        <v>299</v>
      </c>
      <c r="D36" s="226"/>
      <c r="E36" s="226"/>
      <c r="F36" s="265">
        <f>'数据-取费表'!B34</f>
        <v>0.05</v>
      </c>
      <c r="G36" s="266" t="s">
        <v>2208</v>
      </c>
    </row>
    <row r="37" spans="1:7" s="264" customFormat="1" ht="13.5" customHeight="1">
      <c r="A37" s="888" t="s">
        <v>798</v>
      </c>
      <c r="B37" s="221" t="s">
        <v>2209</v>
      </c>
      <c r="C37" s="255">
        <f ca="1">ROUND(E37*D37*F34/10000,0)</f>
        <v>714</v>
      </c>
      <c r="D37" s="223">
        <f ca="1">D19</f>
        <v>714394.25</v>
      </c>
      <c r="E37" s="255">
        <f>'数据-取费表'!B35</f>
        <v>200</v>
      </c>
      <c r="F37" s="265"/>
      <c r="G37" s="267" t="s">
        <v>2210</v>
      </c>
    </row>
    <row r="38" spans="1:7" ht="13.5" customHeight="1">
      <c r="A38" s="888" t="s">
        <v>799</v>
      </c>
      <c r="B38" s="221" t="s">
        <v>2211</v>
      </c>
      <c r="C38" s="226">
        <f ca="1">ROUND(C34*F38,0)</f>
        <v>122</v>
      </c>
      <c r="D38" s="226"/>
      <c r="E38" s="226"/>
      <c r="F38" s="265">
        <f>'数据-取费表'!B36</f>
        <v>1.4999999999999999E-2</v>
      </c>
      <c r="G38" s="225" t="s">
        <v>2206</v>
      </c>
    </row>
    <row r="39" spans="1:7" s="220" customFormat="1" ht="13.5" customHeight="1">
      <c r="A39" s="261" t="s">
        <v>2212</v>
      </c>
      <c r="B39" s="216" t="s">
        <v>2213</v>
      </c>
      <c r="C39" s="238">
        <f ca="1">ROUND(C33*F20,0)</f>
        <v>191</v>
      </c>
      <c r="D39" s="238"/>
      <c r="E39" s="238"/>
      <c r="F39" s="2536">
        <f>F20</f>
        <v>0.02</v>
      </c>
      <c r="G39" s="240" t="s">
        <v>2214</v>
      </c>
    </row>
    <row r="40" spans="1:7" s="220" customFormat="1" ht="13.5" customHeight="1">
      <c r="A40" s="261" t="s">
        <v>2215</v>
      </c>
      <c r="B40" s="216" t="s">
        <v>2216</v>
      </c>
      <c r="C40" s="1496">
        <f>F21</f>
        <v>0.02</v>
      </c>
      <c r="D40" s="242" t="s">
        <v>2217</v>
      </c>
      <c r="E40" s="238"/>
      <c r="F40" s="2536">
        <f>F21</f>
        <v>0.02</v>
      </c>
      <c r="G40" s="240" t="s">
        <v>2218</v>
      </c>
    </row>
    <row r="41" spans="1:7" s="220" customFormat="1" ht="13.5" customHeight="1">
      <c r="A41" s="261" t="s">
        <v>2219</v>
      </c>
      <c r="B41" s="216" t="s">
        <v>2220</v>
      </c>
      <c r="C41" s="238">
        <f ca="1">ROUND(SUM(C42:C43),0)</f>
        <v>45</v>
      </c>
      <c r="D41" s="241">
        <f ca="1">C44</f>
        <v>1E-4</v>
      </c>
      <c r="E41" s="242" t="s">
        <v>2217</v>
      </c>
      <c r="F41" s="2537">
        <f ca="1">F22</f>
        <v>4.7500000000000001E-2</v>
      </c>
      <c r="G41" s="240" t="str">
        <f>IF('数据-取费表'!B22&lt;=1,"单利计息","复利计息")</f>
        <v>复利计息</v>
      </c>
    </row>
    <row r="42" spans="1:7" ht="13.5" customHeight="1">
      <c r="A42" s="888" t="s">
        <v>791</v>
      </c>
      <c r="B42" s="221" t="s">
        <v>2221</v>
      </c>
      <c r="C42" s="244">
        <f ca="1">ROUND(IF('数据-取费表'!B22&lt;=1,C33*F22*'数据-取费表'!B21/2,C33*(POWER((1+F22),'数据-取费表'!B21/2)-1)),0)</f>
        <v>44</v>
      </c>
      <c r="D42" s="244"/>
      <c r="E42" s="244"/>
      <c r="F42" s="245"/>
      <c r="G42" s="4004" t="s">
        <v>2222</v>
      </c>
    </row>
    <row r="43" spans="1:7" ht="13.5" customHeight="1">
      <c r="A43" s="888" t="s">
        <v>792</v>
      </c>
      <c r="B43" s="221" t="s">
        <v>2223</v>
      </c>
      <c r="C43" s="244">
        <f ca="1">ROUND(IF('数据-取费表'!B22&lt;=1,C39*F22*'数据-取费表'!B21/2,C39*(POWER((1+F22),'数据-取费表'!B21/2)-1)),0)</f>
        <v>1</v>
      </c>
      <c r="D43" s="244"/>
      <c r="E43" s="244"/>
      <c r="F43" s="245"/>
      <c r="G43" s="4005"/>
    </row>
    <row r="44" spans="1:7" ht="13.5" customHeight="1">
      <c r="A44" s="888" t="s">
        <v>793</v>
      </c>
      <c r="B44" s="221" t="s">
        <v>2224</v>
      </c>
      <c r="C44" s="244">
        <f ca="1">ROUND(IF('数据-取费表'!B22&lt;=1,C40*F22*'数据-取费表'!B21/2,C40*(POWER((1+F22),'数据-取费表'!B21/2)-1)),4)</f>
        <v>1E-4</v>
      </c>
      <c r="D44" s="244"/>
      <c r="E44" s="244"/>
      <c r="F44" s="245"/>
      <c r="G44" s="4006"/>
    </row>
    <row r="45" spans="1:7" s="220" customFormat="1" ht="13.5" customHeight="1">
      <c r="A45" s="261" t="s">
        <v>2225</v>
      </c>
      <c r="B45" s="250" t="s">
        <v>2191</v>
      </c>
      <c r="C45" s="251">
        <f ca="1">C46</f>
        <v>1168</v>
      </c>
      <c r="D45" s="241">
        <f ca="1">C47</f>
        <v>2.3999999999999998E-3</v>
      </c>
      <c r="E45" s="242" t="s">
        <v>2217</v>
      </c>
      <c r="F45" s="2538">
        <f ca="1">F27</f>
        <v>0.12</v>
      </c>
      <c r="G45" s="253" t="s">
        <v>2226</v>
      </c>
    </row>
    <row r="46" spans="1:7" s="220" customFormat="1" ht="13.5" customHeight="1">
      <c r="A46" s="888" t="s">
        <v>791</v>
      </c>
      <c r="B46" s="254" t="s">
        <v>2227</v>
      </c>
      <c r="C46" s="255">
        <f ca="1">ROUND((C33+C39)*F27,0)</f>
        <v>1168</v>
      </c>
      <c r="D46" s="269"/>
      <c r="E46" s="242"/>
      <c r="F46" s="252"/>
      <c r="G46" s="253"/>
    </row>
    <row r="47" spans="1:7" s="220" customFormat="1" ht="13.5" customHeight="1">
      <c r="A47" s="888" t="s">
        <v>792</v>
      </c>
      <c r="B47" s="254" t="s">
        <v>2228</v>
      </c>
      <c r="C47" s="244">
        <f ca="1">ROUND(C40*F27,4)</f>
        <v>2.3999999999999998E-3</v>
      </c>
      <c r="D47" s="269"/>
      <c r="E47" s="242"/>
      <c r="F47" s="252"/>
      <c r="G47" s="253"/>
    </row>
    <row r="48" spans="1:7" s="220" customFormat="1" ht="13.5" customHeight="1">
      <c r="A48" s="261" t="s">
        <v>2190</v>
      </c>
      <c r="B48" s="216" t="s">
        <v>2229</v>
      </c>
      <c r="C48" s="1496">
        <f>ROUND(F30/(1+'数据-取费表'!C42),4)</f>
        <v>5.2400000000000002E-2</v>
      </c>
      <c r="D48" s="242" t="s">
        <v>2217</v>
      </c>
      <c r="E48" s="238"/>
      <c r="F48" s="2537">
        <f>F30</f>
        <v>5.5000000000000007E-2</v>
      </c>
      <c r="G48" s="240" t="s">
        <v>2230</v>
      </c>
    </row>
    <row r="49" spans="1:7" ht="16.5" customHeight="1">
      <c r="A49" s="261" t="s">
        <v>2196</v>
      </c>
      <c r="B49" s="216" t="s">
        <v>2231</v>
      </c>
      <c r="C49" s="238">
        <f ca="1">ROUND((C33+C39+C41+C45)/(1-C40-D41-D45-C48),0)</f>
        <v>11829</v>
      </c>
      <c r="D49" s="238"/>
      <c r="E49" s="238"/>
      <c r="F49" s="270"/>
      <c r="G49" s="240" t="s">
        <v>2232</v>
      </c>
    </row>
    <row r="50" spans="1:7" s="264" customFormat="1" ht="24">
      <c r="A50" s="261" t="s">
        <v>2233</v>
      </c>
      <c r="B50" s="216" t="s">
        <v>2234</v>
      </c>
      <c r="C50" s="238"/>
      <c r="D50" s="238"/>
      <c r="E50" s="238"/>
      <c r="F50" s="270">
        <f>IF('数据-取费表'!B24=0,'数据-取费表'!N16,1)</f>
        <v>1</v>
      </c>
      <c r="G50" s="253" t="s">
        <v>2235</v>
      </c>
    </row>
    <row r="51" spans="1:7" ht="16.5" customHeight="1">
      <c r="A51" s="261" t="s">
        <v>2236</v>
      </c>
      <c r="B51" s="216" t="s">
        <v>2237</v>
      </c>
      <c r="C51" s="238">
        <f ca="1">ROUND(C49*F50,0)</f>
        <v>11829</v>
      </c>
      <c r="D51" s="238"/>
      <c r="E51" s="238"/>
      <c r="F51" s="270"/>
      <c r="G51" s="240" t="s">
        <v>2238</v>
      </c>
    </row>
    <row r="52" spans="1:7" s="214" customFormat="1" ht="16.5" thickBot="1">
      <c r="A52" s="271" t="s">
        <v>2239</v>
      </c>
      <c r="B52" s="272"/>
      <c r="C52" s="273">
        <f ca="1">C31+C51</f>
        <v>143681</v>
      </c>
      <c r="D52" s="272"/>
      <c r="E52" s="272"/>
      <c r="F52" s="272"/>
      <c r="G52" s="274"/>
    </row>
    <row r="55" spans="1:7" ht="15">
      <c r="B55" s="276" t="s">
        <v>2240</v>
      </c>
      <c r="C55" s="277"/>
    </row>
    <row r="56" spans="1:7">
      <c r="B56" s="279" t="s">
        <v>1478</v>
      </c>
      <c r="C56" s="281">
        <f ca="1">1-C57</f>
        <v>0.91800000000000004</v>
      </c>
    </row>
    <row r="57" spans="1:7">
      <c r="B57" s="279" t="s">
        <v>1479</v>
      </c>
      <c r="C57" s="280">
        <f ca="1">ROUND(C51/C52,3)</f>
        <v>8.2000000000000003E-2</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2139</v>
      </c>
      <c r="B1" s="1655"/>
      <c r="C1" s="2046" t="s">
        <v>2241</v>
      </c>
      <c r="D1" s="204"/>
      <c r="E1" s="204"/>
      <c r="F1" s="204"/>
      <c r="G1" s="1287" t="e">
        <f>MATCH(B1,'数据-取费表'!A6:A16,0)+5</f>
        <v>#N/A</v>
      </c>
      <c r="H1" s="1191" t="str">
        <f>IF(ISERROR(FIND("住宅",B1)),"非住宅","住宅")</f>
        <v>非住宅</v>
      </c>
    </row>
    <row r="2" spans="1:8" s="206" customFormat="1" ht="18" customHeight="1">
      <c r="A2" s="207" t="s">
        <v>2140</v>
      </c>
      <c r="B2" s="208">
        <f ca="1">ROUND(IF(D2="——",C52/10000,C52/10000-E2),0)</f>
        <v>259094</v>
      </c>
      <c r="C2" s="205" t="s">
        <v>2141</v>
      </c>
      <c r="D2" s="2040" t="s">
        <v>70</v>
      </c>
      <c r="E2" s="1330" t="e">
        <f ca="1">SUMIF(INDIRECT("'"&amp;G2&amp;"'"&amp;"!A:A"),"承租人权益价值",INDIRECT("'"&amp;G2&amp;"'"&amp;"!c:c"))</f>
        <v>#REF!</v>
      </c>
      <c r="F2" s="2041" t="s">
        <v>2141</v>
      </c>
      <c r="G2" s="2042"/>
    </row>
    <row r="3" spans="1:8" s="206" customFormat="1" ht="18" customHeight="1" thickBot="1">
      <c r="A3" s="209" t="s">
        <v>2142</v>
      </c>
      <c r="B3" s="210">
        <f ca="1">ROUND(B2*10000/(IF(B1="",'数据-汇总表'!E3,INDIRECT("'数据-取费表'!k"&amp;$G$1))),0)</f>
        <v>3627</v>
      </c>
      <c r="C3" s="205" t="s">
        <v>2143</v>
      </c>
      <c r="D3" s="205"/>
      <c r="E3" s="205"/>
      <c r="F3" s="205"/>
      <c r="G3" s="205"/>
    </row>
    <row r="4" spans="1:8" s="214" customFormat="1" ht="15.75">
      <c r="A4" s="211" t="s">
        <v>2144</v>
      </c>
      <c r="B4" s="212"/>
      <c r="C4" s="212"/>
      <c r="D4" s="212"/>
      <c r="E4" s="212"/>
      <c r="F4" s="212"/>
      <c r="G4" s="213"/>
    </row>
    <row r="5" spans="1:8" s="220" customFormat="1" ht="13.5" customHeight="1">
      <c r="A5" s="261" t="s">
        <v>2145</v>
      </c>
      <c r="B5" s="216" t="s">
        <v>2146</v>
      </c>
      <c r="C5" s="217">
        <f ca="1">C6+C7+C8</f>
        <v>21451841</v>
      </c>
      <c r="D5" s="217" t="s">
        <v>2147</v>
      </c>
      <c r="E5" s="218" t="s">
        <v>2148</v>
      </c>
      <c r="F5" s="218" t="s">
        <v>2149</v>
      </c>
      <c r="G5" s="219"/>
    </row>
    <row r="6" spans="1:8" s="220" customFormat="1" ht="13.5" customHeight="1">
      <c r="A6" s="886" t="s">
        <v>2150</v>
      </c>
      <c r="B6" s="221" t="s">
        <v>2151</v>
      </c>
      <c r="C6" s="222"/>
      <c r="D6" s="223"/>
      <c r="E6" s="224"/>
      <c r="F6" s="224"/>
      <c r="G6" s="225"/>
    </row>
    <row r="7" spans="1:8" s="220" customFormat="1" ht="13.5" customHeight="1">
      <c r="A7" s="886" t="s">
        <v>2152</v>
      </c>
      <c r="B7" s="221" t="s">
        <v>2153</v>
      </c>
      <c r="C7" s="226">
        <f>ROUND(C6*F7,0)</f>
        <v>0</v>
      </c>
      <c r="D7" s="226"/>
      <c r="E7" s="224"/>
      <c r="F7" s="227">
        <f>IF(项目基本情况!B8="出让",0,'数据-取费表'!B48+'数据-取费表'!B49)</f>
        <v>4.0500000000000001E-2</v>
      </c>
      <c r="G7" s="225"/>
    </row>
    <row r="8" spans="1:8" s="229" customFormat="1">
      <c r="A8" s="886" t="s">
        <v>2154</v>
      </c>
      <c r="B8" s="221" t="s">
        <v>2155</v>
      </c>
      <c r="C8" s="226">
        <f ca="1">IF(G8="已包含在土地购买价格中",0,C9+C10)</f>
        <v>21451841</v>
      </c>
      <c r="D8" s="228"/>
      <c r="E8" s="226"/>
      <c r="F8" s="227"/>
      <c r="G8" s="2043"/>
    </row>
    <row r="9" spans="1:8" s="220" customFormat="1" ht="13.5" customHeight="1">
      <c r="A9" s="887" t="s">
        <v>800</v>
      </c>
      <c r="B9" s="230" t="s">
        <v>2156</v>
      </c>
      <c r="C9" s="231">
        <f ca="1">ROUND(D9*E9,0)</f>
        <v>17232303</v>
      </c>
      <c r="D9" s="953">
        <f ca="1">IF(B1="",'数据-汇总表'!E5,IF(INDIRECT("'数据-取费表'!c"&amp;$G$1)="住宅",INDIRECT("'数据-取费表'!k"&amp;$G$1),0))</f>
        <v>519045.26999999996</v>
      </c>
      <c r="E9" s="231">
        <f>'数据-取费表'!B27</f>
        <v>33.200000000000003</v>
      </c>
      <c r="F9" s="227"/>
      <c r="G9" s="232"/>
    </row>
    <row r="10" spans="1:8" s="220" customFormat="1" ht="13.5" customHeight="1">
      <c r="A10" s="887" t="s">
        <v>801</v>
      </c>
      <c r="B10" s="230" t="s">
        <v>2158</v>
      </c>
      <c r="C10" s="231">
        <f ca="1">ROUND(D10*E10,0)</f>
        <v>4219538</v>
      </c>
      <c r="D10" s="953">
        <f ca="1">IF(B1="",'数据-汇总表'!E6,IF(INDIRECT("'数据-取费表'!c"&amp;$G$1)="住宅",INDIRECT("'数据-取费表'!s"&amp;$G$1),INDIRECT("'数据-取费表'!k"&amp;$G$1)+INDIRECT("'数据-取费表'!s"&amp;$G$1)))</f>
        <v>195348.98000000004</v>
      </c>
      <c r="E10" s="231">
        <f>'数据-取费表'!B28</f>
        <v>21.6</v>
      </c>
      <c r="F10" s="227"/>
      <c r="G10" s="232"/>
    </row>
    <row r="11" spans="1:8" s="220" customFormat="1" ht="13.5" hidden="1" customHeight="1">
      <c r="A11" s="233" t="s">
        <v>7</v>
      </c>
      <c r="B11" s="221" t="s">
        <v>2159</v>
      </c>
      <c r="C11" s="217"/>
      <c r="D11" s="955"/>
      <c r="E11" s="224"/>
      <c r="F11" s="224"/>
      <c r="G11" s="225"/>
    </row>
    <row r="12" spans="1:8" s="220" customFormat="1" ht="13.5" hidden="1" customHeight="1">
      <c r="A12" s="233" t="s">
        <v>8</v>
      </c>
      <c r="B12" s="221" t="s">
        <v>2242</v>
      </c>
      <c r="C12" s="217">
        <v>0</v>
      </c>
      <c r="D12" s="955"/>
      <c r="E12" s="234"/>
      <c r="F12" s="227">
        <v>3.0499999999999999E-2</v>
      </c>
      <c r="G12" s="225"/>
    </row>
    <row r="13" spans="1:8" s="220" customFormat="1" ht="13.5" hidden="1" customHeight="1">
      <c r="A13" s="233" t="s">
        <v>9</v>
      </c>
      <c r="B13" s="221" t="s">
        <v>2243</v>
      </c>
      <c r="C13" s="217"/>
      <c r="D13" s="955"/>
      <c r="E13" s="224"/>
      <c r="F13" s="224"/>
      <c r="G13" s="225"/>
    </row>
    <row r="14" spans="1:8" s="220" customFormat="1" ht="13.5" hidden="1" customHeight="1">
      <c r="A14" s="233" t="s">
        <v>10</v>
      </c>
      <c r="B14" s="221" t="s">
        <v>2155</v>
      </c>
      <c r="C14" s="217"/>
      <c r="D14" s="955"/>
      <c r="E14" s="224"/>
      <c r="F14" s="224"/>
      <c r="G14" s="225" t="s">
        <v>2244</v>
      </c>
    </row>
    <row r="15" spans="1:8" s="220" customFormat="1" ht="13.5" hidden="1" customHeight="1">
      <c r="A15" s="233" t="s">
        <v>11</v>
      </c>
      <c r="B15" s="221" t="s">
        <v>2245</v>
      </c>
      <c r="C15" s="226"/>
      <c r="D15" s="955"/>
      <c r="E15" s="224"/>
      <c r="F15" s="224"/>
      <c r="G15" s="225" t="s">
        <v>2246</v>
      </c>
    </row>
    <row r="16" spans="1:8" s="220" customFormat="1" ht="13.5" hidden="1" customHeight="1">
      <c r="A16" s="233" t="s">
        <v>12</v>
      </c>
      <c r="B16" s="221" t="s">
        <v>2155</v>
      </c>
      <c r="C16" s="226"/>
      <c r="D16" s="955"/>
      <c r="E16" s="224"/>
      <c r="F16" s="224"/>
      <c r="G16" s="225"/>
    </row>
    <row r="17" spans="1:7" s="220" customFormat="1" ht="13.5" hidden="1" customHeight="1">
      <c r="A17" s="233" t="s">
        <v>13</v>
      </c>
      <c r="B17" s="221" t="s">
        <v>2247</v>
      </c>
      <c r="C17" s="235"/>
      <c r="D17" s="956"/>
      <c r="E17" s="235"/>
      <c r="F17" s="235"/>
      <c r="G17" s="225" t="s">
        <v>2246</v>
      </c>
    </row>
    <row r="18" spans="1:7" s="220" customFormat="1" ht="13.5" hidden="1" customHeight="1">
      <c r="A18" s="233" t="s">
        <v>14</v>
      </c>
      <c r="B18" s="221" t="s">
        <v>2248</v>
      </c>
      <c r="C18" s="226">
        <v>0</v>
      </c>
      <c r="D18" s="955"/>
      <c r="E18" s="224"/>
      <c r="F18" s="227">
        <v>3.0499999999999999E-2</v>
      </c>
      <c r="G18" s="225" t="s">
        <v>2249</v>
      </c>
    </row>
    <row r="19" spans="1:7" s="229" customFormat="1" ht="13.5" customHeight="1">
      <c r="A19" s="261" t="s">
        <v>2250</v>
      </c>
      <c r="B19" s="216" t="s">
        <v>2251</v>
      </c>
      <c r="C19" s="217">
        <f ca="1">IF(G19="已包含在土地取得成本中","0",ROUND(D19*E19,0))</f>
        <v>35719713</v>
      </c>
      <c r="D19" s="957">
        <f ca="1">D9+D10</f>
        <v>714394.25</v>
      </c>
      <c r="E19" s="217">
        <f>'数据-取费表'!B31</f>
        <v>50</v>
      </c>
      <c r="F19" s="237"/>
      <c r="G19" s="2043"/>
    </row>
    <row r="20" spans="1:7" s="220" customFormat="1" ht="13.5" customHeight="1">
      <c r="A20" s="261" t="s">
        <v>2252</v>
      </c>
      <c r="B20" s="216" t="s">
        <v>2253</v>
      </c>
      <c r="C20" s="238">
        <f ca="1">ROUND((C5+C19)*F20,0)</f>
        <v>1143431</v>
      </c>
      <c r="D20" s="238"/>
      <c r="E20" s="238"/>
      <c r="F20" s="239">
        <f>'数据-取费表'!B37</f>
        <v>0.02</v>
      </c>
      <c r="G20" s="240" t="s">
        <v>2254</v>
      </c>
    </row>
    <row r="21" spans="1:7" s="220" customFormat="1" ht="13.5" customHeight="1">
      <c r="A21" s="261" t="s">
        <v>2255</v>
      </c>
      <c r="B21" s="216" t="s">
        <v>2256</v>
      </c>
      <c r="C21" s="241">
        <f>F21</f>
        <v>0.02</v>
      </c>
      <c r="D21" s="242" t="s">
        <v>2257</v>
      </c>
      <c r="E21" s="238"/>
      <c r="F21" s="239">
        <f>'数据-取费表'!B38</f>
        <v>0.02</v>
      </c>
      <c r="G21" s="240" t="s">
        <v>2258</v>
      </c>
    </row>
    <row r="22" spans="1:7" s="220" customFormat="1" ht="13.5" customHeight="1">
      <c r="A22" s="261" t="s">
        <v>2259</v>
      </c>
      <c r="B22" s="216" t="s">
        <v>2260</v>
      </c>
      <c r="C22" s="1288">
        <f ca="1">ROUND(SUM(C23:C25),0)</f>
        <v>8622483</v>
      </c>
      <c r="D22" s="241">
        <f ca="1">C26</f>
        <v>1.4E-3</v>
      </c>
      <c r="E22" s="242" t="s">
        <v>2257</v>
      </c>
      <c r="F22" s="243">
        <f ca="1">'数据-取费表'!B40</f>
        <v>4.7500000000000001E-2</v>
      </c>
      <c r="G22" s="240" t="str">
        <f>IF('数据-取费表'!B22&lt;=1,"单利计息","复利计息")</f>
        <v>复利计息</v>
      </c>
    </row>
    <row r="23" spans="1:7" s="220" customFormat="1" ht="13.5" customHeight="1">
      <c r="A23" s="888" t="s">
        <v>2150</v>
      </c>
      <c r="B23" s="221" t="s">
        <v>2261</v>
      </c>
      <c r="C23" s="1289">
        <f ca="1">ROUND(IF('数据-取费表'!B22&lt;=1,C5*F22*'数据-取费表'!B22,C5*(POWER((1+F22),'数据-取费表'!B22)-1)),0)</f>
        <v>3204389</v>
      </c>
      <c r="D23" s="244"/>
      <c r="E23" s="244"/>
      <c r="F23" s="245"/>
      <c r="G23" s="246" t="s">
        <v>2262</v>
      </c>
    </row>
    <row r="24" spans="1:7" s="220" customFormat="1" ht="13.5" customHeight="1">
      <c r="A24" s="888" t="s">
        <v>2152</v>
      </c>
      <c r="B24" s="221" t="s">
        <v>2263</v>
      </c>
      <c r="C24" s="1289">
        <f ca="1">ROUND(IF('数据-取费表'!B22&lt;=1,C19*F22*('数据-取费表'!B19/2+'数据-取费表'!B20),C19*(POWER((1+F22),('数据-取费表'!B19/2+'数据-取费表'!B20))-1)),0)</f>
        <v>5335665</v>
      </c>
      <c r="D24" s="244"/>
      <c r="E24" s="244"/>
      <c r="F24" s="245"/>
      <c r="G24" s="246" t="s">
        <v>2264</v>
      </c>
    </row>
    <row r="25" spans="1:7" s="220" customFormat="1" ht="24">
      <c r="A25" s="888" t="s">
        <v>2154</v>
      </c>
      <c r="B25" s="221" t="s">
        <v>2265</v>
      </c>
      <c r="C25" s="1289">
        <f ca="1">ROUND(IF('数据-取费表'!B22&lt;=1,C20*F22*'数据-取费表'!B22/2,C20*(POWER((1+F22),'数据-取费表'!B22/2)-1)),0)</f>
        <v>82429</v>
      </c>
      <c r="D25" s="244"/>
      <c r="E25" s="247"/>
      <c r="F25" s="245"/>
      <c r="G25" s="248" t="s">
        <v>2266</v>
      </c>
    </row>
    <row r="26" spans="1:7" s="220" customFormat="1">
      <c r="A26" s="888" t="s">
        <v>795</v>
      </c>
      <c r="B26" s="221" t="s">
        <v>2189</v>
      </c>
      <c r="C26" s="244">
        <f ca="1">ROUND(IF('数据-取费表'!B22&lt;=1,F21*F22*'数据-取费表'!B22/2,F21*(POWER((1+F22),'数据-取费表'!B22/2)-1)),4)</f>
        <v>1.4E-3</v>
      </c>
      <c r="D26" s="244"/>
      <c r="E26" s="247"/>
      <c r="F26" s="245"/>
      <c r="G26" s="249"/>
    </row>
    <row r="27" spans="1:7" s="220" customFormat="1" ht="24.75">
      <c r="A27" s="261" t="s">
        <v>2190</v>
      </c>
      <c r="B27" s="250" t="s">
        <v>2191</v>
      </c>
      <c r="C27" s="251">
        <f ca="1">C28</f>
        <v>6997798</v>
      </c>
      <c r="D27" s="241">
        <f ca="1">C29</f>
        <v>2.3999999999999998E-3</v>
      </c>
      <c r="E27" s="242" t="s">
        <v>2192</v>
      </c>
      <c r="F27" s="252">
        <f ca="1">IF(B1="",'数据-取费表'!Q16,INDIRECT("'数据-取费表'!q"&amp;$G$1))</f>
        <v>0.12</v>
      </c>
      <c r="G27" s="253" t="s">
        <v>2193</v>
      </c>
    </row>
    <row r="28" spans="1:7" s="220" customFormat="1" ht="13.5" customHeight="1">
      <c r="A28" s="888" t="s">
        <v>791</v>
      </c>
      <c r="B28" s="254" t="s">
        <v>2194</v>
      </c>
      <c r="C28" s="255">
        <f ca="1">ROUND((C5+C19+C20)*F27,0)</f>
        <v>6997798</v>
      </c>
      <c r="D28" s="241"/>
      <c r="E28" s="242"/>
      <c r="F28" s="252"/>
      <c r="G28" s="253"/>
    </row>
    <row r="29" spans="1:7" s="220" customFormat="1" ht="13.5" customHeight="1">
      <c r="A29" s="888" t="s">
        <v>792</v>
      </c>
      <c r="B29" s="254" t="s">
        <v>2195</v>
      </c>
      <c r="C29" s="244">
        <f ca="1">ROUND(C21*F27,4)</f>
        <v>2.3999999999999998E-3</v>
      </c>
      <c r="D29" s="241"/>
      <c r="E29" s="242"/>
      <c r="F29" s="252"/>
      <c r="G29" s="253"/>
    </row>
    <row r="30" spans="1:7" s="220" customFormat="1" ht="13.5" customHeight="1">
      <c r="A30" s="261" t="s">
        <v>2196</v>
      </c>
      <c r="B30" s="216" t="s">
        <v>2197</v>
      </c>
      <c r="C30" s="241">
        <f>ROUND(F30/(1+'数据-取费表'!C42),4)</f>
        <v>5.2400000000000002E-2</v>
      </c>
      <c r="D30" s="242" t="s">
        <v>2192</v>
      </c>
      <c r="E30" s="247"/>
      <c r="F30" s="243">
        <f>'数据-取费表'!B41</f>
        <v>5.5000000000000007E-2</v>
      </c>
      <c r="G30" s="240" t="s">
        <v>2198</v>
      </c>
    </row>
    <row r="31" spans="1:7" ht="16.5" customHeight="1">
      <c r="A31" s="215">
        <v>1</v>
      </c>
      <c r="B31" s="216" t="s">
        <v>2199</v>
      </c>
      <c r="C31" s="217">
        <f ca="1">ROUND((C5+C19+C20+C22+C27)/(1-C21-D22-D27-C30),0)</f>
        <v>80033845</v>
      </c>
      <c r="D31" s="236"/>
      <c r="E31" s="217"/>
      <c r="F31" s="256"/>
      <c r="G31" s="240" t="s">
        <v>2200</v>
      </c>
    </row>
    <row r="32" spans="1:7" s="214" customFormat="1" ht="15.75">
      <c r="A32" s="258" t="s">
        <v>2267</v>
      </c>
      <c r="B32" s="259"/>
      <c r="C32" s="259"/>
      <c r="D32" s="259"/>
      <c r="E32" s="259"/>
      <c r="F32" s="259"/>
      <c r="G32" s="260"/>
    </row>
    <row r="33" spans="1:7" s="220" customFormat="1" ht="13.5" customHeight="1">
      <c r="A33" s="261" t="s">
        <v>782</v>
      </c>
      <c r="B33" s="216" t="s">
        <v>2268</v>
      </c>
      <c r="C33" s="262">
        <f ca="1">SUM(C34:C38)</f>
        <v>1907654234</v>
      </c>
      <c r="D33" s="238"/>
      <c r="E33" s="218"/>
      <c r="F33" s="247"/>
      <c r="G33" s="240"/>
    </row>
    <row r="34" spans="1:7" s="264" customFormat="1" ht="13.5" customHeight="1">
      <c r="A34" s="888" t="s">
        <v>791</v>
      </c>
      <c r="B34" s="221" t="s">
        <v>2203</v>
      </c>
      <c r="C34" s="226">
        <f ca="1">ROUND(IF(B1="",SUMPRODUCT('数据-取费表'!K6:K14,'数据-取费表'!L6:L14),INDIRECT("'数据-取费表'!l"&amp;$G$1)*INDIRECT("'数据-取费表'!k"&amp;$G$1)+'数据-取费表'!L14*INDIRECT("'数据-取费表'!S"&amp;$G$1)),0)</f>
        <v>1631660457</v>
      </c>
      <c r="D34" s="223"/>
      <c r="E34" s="226"/>
      <c r="F34" s="263"/>
      <c r="G34" s="225"/>
    </row>
    <row r="35" spans="1:7" ht="13.5" customHeight="1">
      <c r="A35" s="888" t="s">
        <v>796</v>
      </c>
      <c r="B35" s="221" t="s">
        <v>2205</v>
      </c>
      <c r="C35" s="226">
        <f ca="1">ROUND(C34*F35,0)</f>
        <v>48949814</v>
      </c>
      <c r="D35" s="226"/>
      <c r="E35" s="226"/>
      <c r="F35" s="265">
        <f>'数据-取费表'!B33</f>
        <v>0.03</v>
      </c>
      <c r="G35" s="225" t="s">
        <v>2206</v>
      </c>
    </row>
    <row r="36" spans="1:7" ht="24">
      <c r="A36" s="888" t="s">
        <v>797</v>
      </c>
      <c r="B36" s="221" t="s">
        <v>2207</v>
      </c>
      <c r="C36" s="226">
        <f ca="1">ROUND(IF(B1="",SUM('数据-取费表'!AP6:AP13)*F36,IF(INDIRECT("'数据-取费表'!c"&amp;$G$1)="住宅",INDIRECT("'数据-取费表'!k"&amp;$G$1)*INDIRECT("'数据-取费表'!l"&amp;$G$1)*F36,0)),0)</f>
        <v>59690206</v>
      </c>
      <c r="D36" s="226"/>
      <c r="E36" s="226"/>
      <c r="F36" s="265">
        <f>'数据-取费表'!B34</f>
        <v>0.05</v>
      </c>
      <c r="G36" s="266" t="s">
        <v>2208</v>
      </c>
    </row>
    <row r="37" spans="1:7" s="264" customFormat="1" ht="13.5" customHeight="1">
      <c r="A37" s="888" t="s">
        <v>798</v>
      </c>
      <c r="B37" s="221" t="s">
        <v>2209</v>
      </c>
      <c r="C37" s="255">
        <f ca="1">ROUND(E37*D37,0)</f>
        <v>142878850</v>
      </c>
      <c r="D37" s="223">
        <f ca="1">D19</f>
        <v>714394.25</v>
      </c>
      <c r="E37" s="255">
        <f>'数据-取费表'!B35</f>
        <v>200</v>
      </c>
      <c r="F37" s="265"/>
      <c r="G37" s="267"/>
    </row>
    <row r="38" spans="1:7" ht="13.5" customHeight="1">
      <c r="A38" s="888" t="s">
        <v>799</v>
      </c>
      <c r="B38" s="221" t="s">
        <v>2211</v>
      </c>
      <c r="C38" s="226">
        <f ca="1">ROUND(C34*F38,0)</f>
        <v>24474907</v>
      </c>
      <c r="D38" s="226"/>
      <c r="E38" s="226"/>
      <c r="F38" s="265">
        <f>'数据-取费表'!B36</f>
        <v>1.4999999999999999E-2</v>
      </c>
      <c r="G38" s="225" t="s">
        <v>2206</v>
      </c>
    </row>
    <row r="39" spans="1:7" s="220" customFormat="1" ht="13.5" customHeight="1">
      <c r="A39" s="261" t="s">
        <v>2212</v>
      </c>
      <c r="B39" s="216" t="s">
        <v>2213</v>
      </c>
      <c r="C39" s="238">
        <f ca="1">ROUND(C33*F20,0)</f>
        <v>38153085</v>
      </c>
      <c r="D39" s="238"/>
      <c r="E39" s="238"/>
      <c r="F39" s="2536">
        <f>F20</f>
        <v>0.02</v>
      </c>
      <c r="G39" s="240" t="s">
        <v>2214</v>
      </c>
    </row>
    <row r="40" spans="1:7" s="220" customFormat="1" ht="13.5" customHeight="1">
      <c r="A40" s="261" t="s">
        <v>2215</v>
      </c>
      <c r="B40" s="216" t="s">
        <v>2216</v>
      </c>
      <c r="C40" s="1496">
        <f>F21</f>
        <v>0.02</v>
      </c>
      <c r="D40" s="242" t="s">
        <v>2217</v>
      </c>
      <c r="E40" s="238"/>
      <c r="F40" s="2536">
        <f>F21</f>
        <v>0.02</v>
      </c>
      <c r="G40" s="240" t="s">
        <v>2218</v>
      </c>
    </row>
    <row r="41" spans="1:7" s="220" customFormat="1" ht="13.5" customHeight="1">
      <c r="A41" s="261" t="s">
        <v>2219</v>
      </c>
      <c r="B41" s="216" t="s">
        <v>2220</v>
      </c>
      <c r="C41" s="238">
        <f ca="1">ROUND(SUM(C42:C43),0)</f>
        <v>140272300</v>
      </c>
      <c r="D41" s="241">
        <f ca="1">C44</f>
        <v>1.4E-3</v>
      </c>
      <c r="E41" s="242" t="s">
        <v>2217</v>
      </c>
      <c r="F41" s="2537">
        <f ca="1">F22</f>
        <v>4.7500000000000001E-2</v>
      </c>
      <c r="G41" s="240" t="str">
        <f>IF('数据-取费表'!B22&lt;=1,"单利计息","复利计息")</f>
        <v>复利计息</v>
      </c>
    </row>
    <row r="42" spans="1:7" ht="13.5" customHeight="1">
      <c r="A42" s="888" t="s">
        <v>791</v>
      </c>
      <c r="B42" s="221" t="s">
        <v>2221</v>
      </c>
      <c r="C42" s="244">
        <f ca="1">ROUND(IF('数据-取费表'!B22&lt;=1,C33*F22*'数据-取费表'!B20/2,C33*(POWER((1+F22),'数据-取费表'!B20/2)-1)),0)</f>
        <v>137521863</v>
      </c>
      <c r="D42" s="244"/>
      <c r="E42" s="244"/>
      <c r="F42" s="245"/>
      <c r="G42" s="4004" t="s">
        <v>2269</v>
      </c>
    </row>
    <row r="43" spans="1:7" ht="13.5" customHeight="1">
      <c r="A43" s="888" t="s">
        <v>792</v>
      </c>
      <c r="B43" s="221" t="s">
        <v>2223</v>
      </c>
      <c r="C43" s="244">
        <f ca="1">ROUND(IF('数据-取费表'!B22&lt;=1,C39*F22*'数据-取费表'!B20/2,C39*(POWER((1+F22),'数据-取费表'!B20/2)-1)),0)</f>
        <v>2750437</v>
      </c>
      <c r="D43" s="244"/>
      <c r="E43" s="244"/>
      <c r="F43" s="245"/>
      <c r="G43" s="4005"/>
    </row>
    <row r="44" spans="1:7" ht="13.5" customHeight="1">
      <c r="A44" s="888" t="s">
        <v>793</v>
      </c>
      <c r="B44" s="221" t="s">
        <v>2224</v>
      </c>
      <c r="C44" s="244">
        <f ca="1">ROUND(IF('数据-取费表'!B22&lt;=1,C40*F22*'数据-取费表'!B20/2,C40*(POWER((1+F22),'数据-取费表'!B20/2)-1)),4)</f>
        <v>1.4E-3</v>
      </c>
      <c r="D44" s="244"/>
      <c r="E44" s="244"/>
      <c r="F44" s="245"/>
      <c r="G44" s="4006"/>
    </row>
    <row r="45" spans="1:7" s="220" customFormat="1" ht="13.5" customHeight="1">
      <c r="A45" s="261" t="s">
        <v>2225</v>
      </c>
      <c r="B45" s="250" t="s">
        <v>2191</v>
      </c>
      <c r="C45" s="251">
        <f ca="1">C46</f>
        <v>233496878</v>
      </c>
      <c r="D45" s="241">
        <f ca="1">C47</f>
        <v>2.3999999999999998E-3</v>
      </c>
      <c r="E45" s="242" t="s">
        <v>2217</v>
      </c>
      <c r="F45" s="2538">
        <f ca="1">F27</f>
        <v>0.12</v>
      </c>
      <c r="G45" s="253" t="s">
        <v>2226</v>
      </c>
    </row>
    <row r="46" spans="1:7" s="220" customFormat="1" ht="13.5" customHeight="1">
      <c r="A46" s="888" t="s">
        <v>791</v>
      </c>
      <c r="B46" s="254" t="s">
        <v>2227</v>
      </c>
      <c r="C46" s="255">
        <f ca="1">ROUND((C33+C39)*F27,0)</f>
        <v>233496878</v>
      </c>
      <c r="D46" s="269"/>
      <c r="E46" s="242"/>
      <c r="F46" s="252"/>
      <c r="G46" s="253"/>
    </row>
    <row r="47" spans="1:7" s="220" customFormat="1" ht="13.5" customHeight="1">
      <c r="A47" s="888" t="s">
        <v>792</v>
      </c>
      <c r="B47" s="254" t="s">
        <v>2228</v>
      </c>
      <c r="C47" s="244">
        <f ca="1">ROUND(C40*F27,4)</f>
        <v>2.3999999999999998E-3</v>
      </c>
      <c r="D47" s="269"/>
      <c r="E47" s="242"/>
      <c r="F47" s="252"/>
      <c r="G47" s="253"/>
    </row>
    <row r="48" spans="1:7" s="220" customFormat="1" ht="13.5" customHeight="1">
      <c r="A48" s="261" t="s">
        <v>2190</v>
      </c>
      <c r="B48" s="216" t="s">
        <v>2229</v>
      </c>
      <c r="C48" s="268">
        <f>ROUND(F30/(1+'数据-取费表'!C42),4)</f>
        <v>5.2400000000000002E-2</v>
      </c>
      <c r="D48" s="242" t="s">
        <v>2217</v>
      </c>
      <c r="E48" s="238"/>
      <c r="F48" s="2537">
        <f>F30</f>
        <v>5.5000000000000007E-2</v>
      </c>
      <c r="G48" s="240" t="s">
        <v>2230</v>
      </c>
    </row>
    <row r="49" spans="1:7" ht="16.5" customHeight="1">
      <c r="A49" s="261" t="s">
        <v>2196</v>
      </c>
      <c r="B49" s="216" t="s">
        <v>2270</v>
      </c>
      <c r="C49" s="238">
        <f ca="1">ROUND((C33+C39+C41+C45)/(1-C40-D41-D45-C48),0)</f>
        <v>2510907661</v>
      </c>
      <c r="D49" s="238"/>
      <c r="E49" s="238"/>
      <c r="F49" s="270"/>
      <c r="G49" s="240" t="s">
        <v>2232</v>
      </c>
    </row>
    <row r="50" spans="1:7" s="264" customFormat="1">
      <c r="A50" s="261" t="s">
        <v>2233</v>
      </c>
      <c r="B50" s="216" t="s">
        <v>2234</v>
      </c>
      <c r="C50" s="238"/>
      <c r="D50" s="238"/>
      <c r="E50" s="238"/>
      <c r="F50" s="270">
        <f>IF('数据-取费表'!B24=0,'数据-取费表'!N16,1)</f>
        <v>1</v>
      </c>
      <c r="G50" s="253"/>
    </row>
    <row r="51" spans="1:7" ht="16.5" customHeight="1">
      <c r="A51" s="261" t="s">
        <v>2236</v>
      </c>
      <c r="B51" s="216" t="s">
        <v>2271</v>
      </c>
      <c r="C51" s="238">
        <f ca="1">ROUND(C49*F50,0)</f>
        <v>2510907661</v>
      </c>
      <c r="D51" s="238"/>
      <c r="E51" s="238"/>
      <c r="F51" s="270"/>
      <c r="G51" s="240" t="s">
        <v>2238</v>
      </c>
    </row>
    <row r="52" spans="1:7" s="214" customFormat="1" ht="16.5" thickBot="1">
      <c r="A52" s="271" t="s">
        <v>2239</v>
      </c>
      <c r="B52" s="272"/>
      <c r="C52" s="273">
        <f ca="1">C31+C51</f>
        <v>2590941506</v>
      </c>
      <c r="D52" s="272"/>
      <c r="E52" s="272"/>
      <c r="F52" s="272"/>
      <c r="G52" s="274"/>
    </row>
    <row r="55" spans="1:7" ht="15">
      <c r="B55" s="276" t="s">
        <v>2240</v>
      </c>
      <c r="C55" s="277"/>
    </row>
    <row r="56" spans="1:7">
      <c r="B56" s="279" t="s">
        <v>1478</v>
      </c>
      <c r="C56" s="281">
        <f ca="1">1-C57</f>
        <v>3.1000000000000028E-2</v>
      </c>
    </row>
    <row r="57" spans="1:7">
      <c r="B57" s="279" t="s">
        <v>1479</v>
      </c>
      <c r="C57" s="280">
        <f ca="1">ROUND(C51/C52,3)</f>
        <v>0.96899999999999997</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P33" sqref="P33"/>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2272</v>
      </c>
      <c r="B1" s="1352"/>
      <c r="C1" s="1353"/>
      <c r="D1" s="1351"/>
      <c r="E1" s="3034"/>
      <c r="F1" s="3034"/>
      <c r="G1" s="2897"/>
      <c r="H1" s="3034"/>
      <c r="I1" s="3034"/>
      <c r="J1" s="3034"/>
      <c r="K1" s="3035" t="e">
        <f>MATCH(C1,'数据-取费表'!A6:A16,0)+5</f>
        <v>#N/A</v>
      </c>
    </row>
    <row r="2" spans="1:33" ht="18" customHeight="1">
      <c r="A2" s="207" t="s">
        <v>2140</v>
      </c>
      <c r="B2" s="210">
        <f ca="1">C32</f>
        <v>123189</v>
      </c>
      <c r="C2" s="282" t="s">
        <v>2273</v>
      </c>
      <c r="D2" s="282"/>
      <c r="E2" s="3034"/>
      <c r="F2" s="3034"/>
      <c r="G2" s="3034"/>
      <c r="H2" s="3034"/>
      <c r="I2" s="3034"/>
      <c r="J2" s="3034"/>
      <c r="K2" s="3034"/>
    </row>
    <row r="3" spans="1:33" ht="18" customHeight="1" thickBot="1">
      <c r="A3" s="209" t="s">
        <v>2142</v>
      </c>
      <c r="B3" s="210">
        <f ca="1">ROUND(B2*10000/IF(C1="",'数据-汇总表'!E3,INDIRECT("'数据-取费表'!K"&amp;$K$1)),0)</f>
        <v>1724</v>
      </c>
      <c r="C3" s="282" t="s">
        <v>2274</v>
      </c>
      <c r="D3" s="282"/>
      <c r="E3" s="3034"/>
      <c r="F3" s="3034"/>
      <c r="G3" s="3034"/>
      <c r="H3" s="3034"/>
      <c r="I3" s="3034"/>
      <c r="J3" s="3034"/>
      <c r="K3" s="3034"/>
    </row>
    <row r="4" spans="1:33" s="893" customFormat="1" ht="16.5" customHeight="1">
      <c r="A4" s="890" t="s">
        <v>2275</v>
      </c>
      <c r="B4" s="891"/>
      <c r="C4" s="933">
        <f>SUM(C8:K8)</f>
        <v>427036</v>
      </c>
      <c r="D4" s="891"/>
      <c r="E4" s="891"/>
      <c r="F4" s="891"/>
      <c r="G4" s="891"/>
      <c r="H4" s="891"/>
      <c r="I4" s="891"/>
      <c r="J4" s="891"/>
      <c r="K4" s="892"/>
    </row>
    <row r="5" spans="1:33" s="897" customFormat="1" ht="15">
      <c r="A5" s="894" t="s">
        <v>2276</v>
      </c>
      <c r="B5" s="895" t="s">
        <v>2277</v>
      </c>
      <c r="C5" s="2047" t="s">
        <v>3854</v>
      </c>
      <c r="D5" s="2047" t="s">
        <v>3326</v>
      </c>
      <c r="E5" s="2047" t="s">
        <v>3324</v>
      </c>
      <c r="F5" s="2047" t="s">
        <v>3395</v>
      </c>
      <c r="G5" s="2047" t="s">
        <v>3397</v>
      </c>
      <c r="H5" s="2047" t="s">
        <v>1343</v>
      </c>
      <c r="I5" s="2047" t="s">
        <v>3862</v>
      </c>
      <c r="J5" s="2047" t="s">
        <v>3840</v>
      </c>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2278</v>
      </c>
      <c r="C6" s="899">
        <v>8000</v>
      </c>
      <c r="D6" s="899">
        <f>C6*1.2</f>
        <v>9600</v>
      </c>
      <c r="E6" s="899">
        <f>C6*1.4</f>
        <v>11200</v>
      </c>
      <c r="F6" s="899">
        <v>3500</v>
      </c>
      <c r="G6" s="899">
        <f>F6</f>
        <v>3500</v>
      </c>
      <c r="H6" s="899">
        <f>C6*1.5</f>
        <v>12000</v>
      </c>
      <c r="I6" s="899">
        <v>0</v>
      </c>
      <c r="J6" s="899">
        <v>0</v>
      </c>
      <c r="K6" s="900"/>
      <c r="L6" s="901">
        <f>L8*10000/L7</f>
        <v>8107.7108386247046</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2279</v>
      </c>
      <c r="B7" s="136" t="s">
        <v>2280</v>
      </c>
      <c r="C7" s="283">
        <f>SUMIF('数据-汇总表'!$C19:$C33,假设开发法!C5,'数据-汇总表'!$E19:$E33)</f>
        <v>468536.51999999996</v>
      </c>
      <c r="D7" s="283">
        <f>SUMIF('数据-汇总表'!$C19:$C33,假设开发法!D5,'数据-汇总表'!$E19:$E33)</f>
        <v>5483.52</v>
      </c>
      <c r="E7" s="283">
        <f>SUMIF('数据-汇总表'!$C19:$C33,假设开发法!E5,'数据-汇总表'!$E19:$E33)</f>
        <v>28565.589999999989</v>
      </c>
      <c r="F7" s="283">
        <f>SUMIF('数据-汇总表'!$C19:$C33,假设开发法!F5,'数据-汇总表'!$E19:$E33)</f>
        <v>8063.96</v>
      </c>
      <c r="G7" s="283">
        <f>SUMIF('数据-汇总表'!$C19:$C33,假设开发法!G5,'数据-汇总表'!$E19:$E33)</f>
        <v>8395.68</v>
      </c>
      <c r="H7" s="283">
        <f>SUMIF('数据-汇总表'!$C19:$C33,假设开发法!H5,'数据-汇总表'!$E19:$E33)</f>
        <v>7658.2699999999995</v>
      </c>
      <c r="I7" s="283">
        <f>SUMIF('数据-汇总表'!$C19:$C33,假设开发法!I5,'数据-汇总表'!$E19:$E33)</f>
        <v>31222.400000000001</v>
      </c>
      <c r="J7" s="283">
        <f>SUMIF('数据-汇总表'!$C19:$C33,假设开发法!J5,'数据-汇总表'!$E19:$E33)</f>
        <v>151491.65</v>
      </c>
      <c r="K7" s="284">
        <f>SUMIF('数据-汇总表'!$C19:$C33,假设开发法!K5,'数据-汇总表'!$E19:$E33)</f>
        <v>0</v>
      </c>
      <c r="L7" s="4111">
        <f>SUM(C7:H7)</f>
        <v>526703.53999999992</v>
      </c>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2281</v>
      </c>
      <c r="B8" s="169" t="s">
        <v>2282</v>
      </c>
      <c r="C8" s="934">
        <f t="shared" ref="C8:J8" si="0">ROUND(C6*C7/10000,0)</f>
        <v>374829</v>
      </c>
      <c r="D8" s="934">
        <f t="shared" si="0"/>
        <v>5264</v>
      </c>
      <c r="E8" s="934">
        <f t="shared" si="0"/>
        <v>31993</v>
      </c>
      <c r="F8" s="934">
        <f t="shared" si="0"/>
        <v>2822</v>
      </c>
      <c r="G8" s="934">
        <f t="shared" si="0"/>
        <v>2938</v>
      </c>
      <c r="H8" s="934">
        <f t="shared" si="0"/>
        <v>9190</v>
      </c>
      <c r="I8" s="934">
        <f t="shared" si="0"/>
        <v>0</v>
      </c>
      <c r="J8" s="934">
        <f t="shared" si="0"/>
        <v>0</v>
      </c>
      <c r="K8" s="935"/>
      <c r="L8" s="4111">
        <f>SUM(C8:H8)</f>
        <v>427036</v>
      </c>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2283</v>
      </c>
      <c r="B9" s="891"/>
      <c r="C9" s="891"/>
      <c r="D9" s="891"/>
      <c r="E9" s="891"/>
      <c r="F9" s="891"/>
      <c r="G9" s="891"/>
      <c r="H9" s="891"/>
      <c r="I9" s="891"/>
      <c r="J9" s="891"/>
      <c r="K9" s="892"/>
    </row>
    <row r="10" spans="1:33" s="907" customFormat="1" ht="13.5" customHeight="1">
      <c r="A10" s="894" t="s">
        <v>2284</v>
      </c>
      <c r="B10" s="8" t="s">
        <v>2285</v>
      </c>
      <c r="C10" s="903" t="s">
        <v>2286</v>
      </c>
      <c r="D10" s="904" t="s">
        <v>2287</v>
      </c>
      <c r="E10" s="904" t="s">
        <v>2288</v>
      </c>
      <c r="F10" s="904" t="s">
        <v>2289</v>
      </c>
      <c r="G10" s="8"/>
      <c r="H10" s="905"/>
      <c r="I10" s="905"/>
      <c r="J10" s="905"/>
      <c r="K10" s="906"/>
    </row>
    <row r="11" spans="1:33" s="912" customFormat="1" ht="13.5" customHeight="1">
      <c r="A11" s="908" t="s">
        <v>1300</v>
      </c>
      <c r="B11" s="909" t="s">
        <v>2290</v>
      </c>
      <c r="C11" s="285">
        <f ca="1">IF(C1="",'数据-取费表'!P16,INDIRECT("'数据-取费表'!p"&amp;$K$1)+INDIRECT("'数据-取费表'!ar"&amp;$K$1))</f>
        <v>155006</v>
      </c>
      <c r="D11" s="910"/>
      <c r="E11" s="335"/>
      <c r="F11" s="911">
        <f ca="1">1-IF('数据-取费表'!B24=0,1,IF(C1="",'数据-取费表'!N16,INDIRECT("'数据-取费表'!n"&amp;$K$1)))</f>
        <v>0.95</v>
      </c>
      <c r="G11" s="8"/>
      <c r="H11" s="905"/>
      <c r="I11" s="905"/>
      <c r="J11" s="905"/>
      <c r="K11" s="906"/>
    </row>
    <row r="12" spans="1:33" s="912" customFormat="1" ht="13.5" customHeight="1">
      <c r="A12" s="908" t="s">
        <v>1301</v>
      </c>
      <c r="B12" s="909" t="s">
        <v>2291</v>
      </c>
      <c r="C12" s="24">
        <f ca="1">ROUND(C11*F12,0)</f>
        <v>4650</v>
      </c>
      <c r="D12" s="910"/>
      <c r="E12" s="335"/>
      <c r="F12" s="913">
        <f>'数据-取费表'!B33</f>
        <v>0.03</v>
      </c>
      <c r="G12" s="8" t="s">
        <v>2292</v>
      </c>
      <c r="H12" s="905"/>
      <c r="I12" s="905"/>
      <c r="J12" s="905"/>
      <c r="K12" s="906"/>
    </row>
    <row r="13" spans="1:33" s="912" customFormat="1" ht="13.5" customHeight="1">
      <c r="A13" s="908" t="s">
        <v>1302</v>
      </c>
      <c r="B13" s="909" t="s">
        <v>2293</v>
      </c>
      <c r="C13" s="24">
        <f ca="1">ROUND(IF(C1="",SUMIF('数据-取费表'!C:C,"住宅",'数据-取费表'!P:P)*F13,IF(INDIRECT("'数据-取费表'!c"&amp;$K$1)="住宅",INDIRECT("'数据-取费表'!P"&amp;$K$1)*F13,0)),0)</f>
        <v>5671</v>
      </c>
      <c r="D13" s="954"/>
      <c r="E13" s="335"/>
      <c r="F13" s="913">
        <f>'数据-取费表'!B34</f>
        <v>0.05</v>
      </c>
      <c r="G13" s="8" t="s">
        <v>2294</v>
      </c>
      <c r="H13" s="905"/>
      <c r="I13" s="905"/>
      <c r="J13" s="905"/>
      <c r="K13" s="906"/>
    </row>
    <row r="14" spans="1:33" s="914" customFormat="1" ht="13.5" customHeight="1">
      <c r="A14" s="908" t="s">
        <v>1303</v>
      </c>
      <c r="B14" s="909" t="s">
        <v>2295</v>
      </c>
      <c r="C14" s="24">
        <f ca="1">ROUND(D14*E14*F11/10000,0)</f>
        <v>13573</v>
      </c>
      <c r="D14" s="954">
        <f ca="1">IF(C1="",'数据-汇总表'!E3,INDIRECT("'数据-取费表'!K"&amp;$K$1)+INDIRECT("'数据-取费表'!S"&amp;$K$1))</f>
        <v>714394.25</v>
      </c>
      <c r="E14" s="24">
        <f>'数据-取费表'!B35</f>
        <v>200</v>
      </c>
      <c r="F14" s="913"/>
      <c r="G14" s="8" t="s">
        <v>2296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2297</v>
      </c>
      <c r="C15" s="920">
        <f ca="1">ROUND(C11*F15,0)</f>
        <v>2325</v>
      </c>
      <c r="D15" s="915"/>
      <c r="E15" s="920"/>
      <c r="F15" s="921">
        <f>'数据-取费表'!B36</f>
        <v>1.4999999999999999E-2</v>
      </c>
      <c r="G15" s="136" t="s">
        <v>2298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2299</v>
      </c>
      <c r="C16" s="920">
        <f ca="1">SUM(C11:C15)</f>
        <v>181225</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2300</v>
      </c>
      <c r="C17" s="24">
        <f ca="1">ROUND(D17*E17/10000,0)</f>
        <v>10716</v>
      </c>
      <c r="D17" s="954">
        <f ca="1">D14</f>
        <v>714394.25</v>
      </c>
      <c r="E17" s="24">
        <f>'数据-取费表'!B32</f>
        <v>150</v>
      </c>
      <c r="F17" s="915"/>
      <c r="G17" s="136" t="s">
        <v>2301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2302</v>
      </c>
      <c r="C18" s="24">
        <f ca="1">C19+C20-IF(C1="",'数据-取费表'!B29,IF(G18="已全部缴纳",C19+C20,H18))</f>
        <v>2145</v>
      </c>
      <c r="D18" s="954"/>
      <c r="E18" s="24"/>
      <c r="F18" s="913"/>
      <c r="G18" s="2049"/>
      <c r="H18" s="1348"/>
      <c r="I18" s="2050" t="s">
        <v>2303</v>
      </c>
      <c r="J18" s="916"/>
      <c r="K18" s="917"/>
    </row>
    <row r="19" spans="1:33" s="912" customFormat="1" ht="13.5" customHeight="1">
      <c r="A19" s="908" t="s">
        <v>805</v>
      </c>
      <c r="B19" s="909" t="s">
        <v>2304</v>
      </c>
      <c r="C19" s="24">
        <f ca="1">ROUND(D19*E19/10000,0)</f>
        <v>1723</v>
      </c>
      <c r="D19" s="954">
        <f ca="1">IF(C1="",'数据-汇总表'!E5,IF(INDIRECT("'数据-取费表'!c"&amp;$K$1)="住宅",INDIRECT("'数据-取费表'!k"&amp;$K$1),0))</f>
        <v>519045.26999999996</v>
      </c>
      <c r="E19" s="24">
        <f>'数据-取费表'!B27</f>
        <v>33.200000000000003</v>
      </c>
      <c r="F19" s="913"/>
      <c r="G19" s="15"/>
      <c r="H19" s="1350"/>
      <c r="I19" s="918"/>
      <c r="J19" s="918"/>
      <c r="K19" s="919"/>
    </row>
    <row r="20" spans="1:33" s="912" customFormat="1" ht="13.5" customHeight="1">
      <c r="A20" s="908" t="s">
        <v>806</v>
      </c>
      <c r="B20" s="909" t="s">
        <v>2305</v>
      </c>
      <c r="C20" s="24">
        <f ca="1">ROUND(D20*E20/10000,0)</f>
        <v>422</v>
      </c>
      <c r="D20" s="954">
        <f ca="1">IF(C1="",'数据-汇总表'!E6,IF(INDIRECT("'数据-取费表'!c"&amp;$K$1)="住宅",INDIRECT("'数据-取费表'!s"&amp;$K$1),INDIRECT("'数据-取费表'!k"&amp;$K$1)+INDIRECT("'数据-取费表'!s"&amp;$K$1)))</f>
        <v>195348.98000000004</v>
      </c>
      <c r="E20" s="24">
        <f>'数据-取费表'!B28</f>
        <v>21.6</v>
      </c>
      <c r="F20" s="913"/>
      <c r="G20" s="15"/>
      <c r="H20" s="918"/>
      <c r="I20" s="918"/>
      <c r="J20" s="918"/>
      <c r="K20" s="919"/>
    </row>
    <row r="21" spans="1:33" s="912" customFormat="1" ht="13.5" customHeight="1">
      <c r="A21" s="898" t="s">
        <v>802</v>
      </c>
      <c r="B21" s="922" t="s">
        <v>2306</v>
      </c>
      <c r="C21" s="923">
        <f ca="1">C16+C17+C18</f>
        <v>194086</v>
      </c>
      <c r="D21" s="924"/>
      <c r="E21" s="287"/>
      <c r="F21" s="287"/>
      <c r="G21" s="136" t="s">
        <v>2307</v>
      </c>
      <c r="H21" s="916"/>
      <c r="I21" s="916"/>
      <c r="J21" s="916"/>
      <c r="K21" s="917"/>
    </row>
    <row r="22" spans="1:33" s="912" customFormat="1" ht="13.5" customHeight="1">
      <c r="A22" s="898" t="s">
        <v>2279</v>
      </c>
      <c r="B22" s="922" t="s">
        <v>2308</v>
      </c>
      <c r="C22" s="923">
        <f ca="1">ROUND(C21*F22,0)</f>
        <v>3882</v>
      </c>
      <c r="D22" s="287"/>
      <c r="E22" s="287"/>
      <c r="F22" s="925">
        <f>'数据-取费表'!B37</f>
        <v>0.02</v>
      </c>
      <c r="G22" s="8" t="s">
        <v>2309</v>
      </c>
      <c r="H22" s="905"/>
      <c r="I22" s="905"/>
      <c r="J22" s="905"/>
      <c r="K22" s="906"/>
    </row>
    <row r="23" spans="1:33" s="912" customFormat="1" ht="13.5" customHeight="1">
      <c r="A23" s="898" t="s">
        <v>2281</v>
      </c>
      <c r="B23" s="922" t="s">
        <v>2310</v>
      </c>
      <c r="C23" s="923">
        <f ca="1">ROUND(C4*F23*F11,0)</f>
        <v>8114</v>
      </c>
      <c r="D23" s="287"/>
      <c r="E23" s="287"/>
      <c r="F23" s="925">
        <f>'数据-取费表'!B38</f>
        <v>0.02</v>
      </c>
      <c r="G23" s="8" t="s">
        <v>2311</v>
      </c>
      <c r="H23" s="905"/>
      <c r="I23" s="905"/>
      <c r="J23" s="905"/>
      <c r="K23" s="906"/>
    </row>
    <row r="24" spans="1:33" s="912" customFormat="1" ht="13.5" customHeight="1">
      <c r="A24" s="898" t="s">
        <v>2312</v>
      </c>
      <c r="B24" s="922" t="s">
        <v>2313</v>
      </c>
      <c r="C24" s="286">
        <f>ROUND(F24/(1+'数据-取费表'!C42),4)</f>
        <v>3.8600000000000002E-2</v>
      </c>
      <c r="D24" s="287" t="s">
        <v>15</v>
      </c>
      <c r="E24" s="287"/>
      <c r="F24" s="925">
        <f>IF(项目基本情况!B8="出让",0,'数据-取费表'!B48+'数据-取费表'!B49)</f>
        <v>4.0500000000000001E-2</v>
      </c>
      <c r="G24" s="8" t="s">
        <v>2314</v>
      </c>
      <c r="H24" s="927"/>
      <c r="I24" s="927"/>
      <c r="J24" s="927"/>
      <c r="K24" s="928"/>
    </row>
    <row r="25" spans="1:33" s="912" customFormat="1" ht="13.5" customHeight="1">
      <c r="A25" s="898" t="s">
        <v>2315</v>
      </c>
      <c r="B25" s="924" t="s">
        <v>2316</v>
      </c>
      <c r="C25" s="1265">
        <f ca="1">C27</f>
        <v>13833</v>
      </c>
      <c r="D25" s="286">
        <f ca="1">C26</f>
        <v>0.14410000000000001</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2317</v>
      </c>
      <c r="C26" s="1266">
        <f ca="1">ROUND(IF('数据-取费表'!B22&lt;=1,(1+C24)*F25*'数据-取费表'!B24,(1+C24)*(POWER((1+F25),'数据-取费表'!B24)-1)),4)</f>
        <v>0.14410000000000001</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2318</v>
      </c>
      <c r="C27" s="1267">
        <f ca="1">ROUND(IF('数据-取费表'!B22&lt;=1,(C21+C22+C23)*F25*'数据-取费表'!B24/2,(C21+C22+C23)*(POWER((1+F25),'数据-取费表'!B24/2)-1)),0)</f>
        <v>13833</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2319</v>
      </c>
      <c r="B28" s="2052" t="s">
        <v>2320</v>
      </c>
      <c r="C28" s="293">
        <f ca="1">C30</f>
        <v>24730</v>
      </c>
      <c r="D28" s="286">
        <f ca="1">C29</f>
        <v>0.1163</v>
      </c>
      <c r="E28" s="288" t="s">
        <v>15</v>
      </c>
      <c r="F28" s="294">
        <f ca="1">IF(C1="",'数据-取费表'!Q16,INDIRECT("'数据-取费表'!q"&amp;$K$1))</f>
        <v>0.12</v>
      </c>
      <c r="G28" s="926"/>
      <c r="H28" s="927"/>
      <c r="I28" s="927"/>
      <c r="J28" s="927"/>
      <c r="K28" s="928"/>
    </row>
    <row r="29" spans="1:33" s="297" customFormat="1" ht="13.5" customHeight="1">
      <c r="A29" s="908" t="s">
        <v>803</v>
      </c>
      <c r="B29" s="931" t="s">
        <v>2321</v>
      </c>
      <c r="C29" s="290">
        <f ca="1">ROUND((1+C24)*F28*'数据-取费表'!B24/'数据-取费表'!B20,4)</f>
        <v>0.1163</v>
      </c>
      <c r="D29" s="290"/>
      <c r="E29" s="291"/>
      <c r="F29" s="296"/>
      <c r="G29" s="136" t="s">
        <v>2322</v>
      </c>
      <c r="H29" s="916"/>
      <c r="I29" s="916"/>
      <c r="J29" s="916"/>
      <c r="K29" s="917"/>
    </row>
    <row r="30" spans="1:33" s="297" customFormat="1" ht="13.5" customHeight="1">
      <c r="A30" s="908" t="s">
        <v>804</v>
      </c>
      <c r="B30" s="931" t="s">
        <v>2323</v>
      </c>
      <c r="C30" s="298">
        <f ca="1">ROUND((C21+C22+C23)*F28,0)</f>
        <v>24730</v>
      </c>
      <c r="D30" s="290"/>
      <c r="E30" s="291"/>
      <c r="F30" s="296"/>
      <c r="G30" s="136"/>
      <c r="H30" s="916"/>
      <c r="I30" s="916"/>
      <c r="J30" s="916"/>
      <c r="K30" s="917"/>
    </row>
    <row r="31" spans="1:33" s="912" customFormat="1" ht="13.5" customHeight="1" thickBot="1">
      <c r="A31" s="2053" t="s">
        <v>2324</v>
      </c>
      <c r="B31" s="941" t="s">
        <v>2325</v>
      </c>
      <c r="C31" s="942">
        <f>ROUND(C4*F31/(1+'数据-取费表'!C42),0)</f>
        <v>22369</v>
      </c>
      <c r="D31" s="943"/>
      <c r="E31" s="944"/>
      <c r="F31" s="945">
        <f>'数据-取费表'!B41</f>
        <v>5.5000000000000007E-2</v>
      </c>
      <c r="G31" s="946" t="s">
        <v>2326</v>
      </c>
      <c r="H31" s="947"/>
      <c r="I31" s="947"/>
      <c r="J31" s="947"/>
      <c r="K31" s="948"/>
    </row>
    <row r="32" spans="1:33" s="907" customFormat="1" ht="13.5" customHeight="1" thickBot="1">
      <c r="A32" s="936" t="s">
        <v>2327</v>
      </c>
      <c r="B32" s="937"/>
      <c r="C32" s="938">
        <f ca="1">ROUND((C4-C21-C22-C23-C25-C28-C31)/(1+C24+D25+D28),0)</f>
        <v>123189</v>
      </c>
      <c r="D32" s="937"/>
      <c r="E32" s="937"/>
      <c r="F32" s="937"/>
      <c r="G32" s="939" t="s">
        <v>2328</v>
      </c>
      <c r="H32" s="937"/>
      <c r="I32" s="937"/>
      <c r="J32" s="937"/>
      <c r="K32" s="94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t="e">
        <f ca="1">J53</f>
        <v>#N/A</v>
      </c>
      <c r="G1" s="1563"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t="e">
        <f ca="1">C6+C10+C12</f>
        <v>#N/A</v>
      </c>
      <c r="D5" s="1549" t="s">
        <v>1367</v>
      </c>
      <c r="E5" s="1202"/>
      <c r="F5" s="1203"/>
      <c r="G5" s="1569"/>
      <c r="H5" s="305">
        <v>1</v>
      </c>
      <c r="I5" s="306" t="s">
        <v>1366</v>
      </c>
      <c r="J5" s="1201" t="e">
        <f ca="1">J6+J10+J12</f>
        <v>#N/A</v>
      </c>
      <c r="K5" s="1549" t="s">
        <v>1367</v>
      </c>
      <c r="L5" s="1202"/>
      <c r="M5" s="1203"/>
    </row>
    <row r="6" spans="1:37" ht="18" customHeight="1">
      <c r="A6" s="1200" t="s">
        <v>1003</v>
      </c>
      <c r="B6" s="4009" t="s">
        <v>1368</v>
      </c>
      <c r="C6" s="1205" t="e">
        <f ca="1">ROUND(F6*F8*F7*(1-F9)/10000,0)</f>
        <v>#N/A</v>
      </c>
      <c r="D6" s="160" t="s">
        <v>2840</v>
      </c>
      <c r="E6" s="308" t="s">
        <v>1370</v>
      </c>
      <c r="F6" s="309" t="e">
        <f ca="1">INDIRECT("'数据-取费表'!u"&amp;$G$1)</f>
        <v>#N/A</v>
      </c>
      <c r="G6" s="1569"/>
      <c r="H6" s="1200" t="s">
        <v>1003</v>
      </c>
      <c r="I6" s="4009" t="s">
        <v>1368</v>
      </c>
      <c r="J6" s="307" t="e">
        <f ca="1">ROUND(M6*M8*M7*(1-M9)/10000,0)</f>
        <v>#N/A</v>
      </c>
      <c r="K6" s="160" t="s">
        <v>2839</v>
      </c>
      <c r="L6" s="308" t="s">
        <v>1370</v>
      </c>
      <c r="M6" s="309" t="e">
        <f ca="1">INDIRECT("'数据-取费表'!z"&amp;$G$1)</f>
        <v>#N/A</v>
      </c>
    </row>
    <row r="7" spans="1:37" ht="18" customHeight="1">
      <c r="A7" s="1204"/>
      <c r="B7" s="4010"/>
      <c r="C7" s="1206"/>
      <c r="D7" s="313"/>
      <c r="E7" s="1207" t="s">
        <v>1371</v>
      </c>
      <c r="F7" s="309" t="e">
        <f ca="1">IF(INDIRECT("'数据-取费表'!ah"&amp;$G$1)="",INDIRECT("'数据-取费表'!k"&amp;$G$1),INDIRECT("'数据-取费表'!ah"&amp;$G$1))</f>
        <v>#N/A</v>
      </c>
      <c r="G7" s="1569"/>
      <c r="H7" s="310"/>
      <c r="I7" s="4010"/>
      <c r="J7" s="312"/>
      <c r="K7" s="313"/>
      <c r="L7" s="308" t="s">
        <v>1371</v>
      </c>
      <c r="M7" s="309" t="e">
        <f ca="1">F7</f>
        <v>#N/A</v>
      </c>
    </row>
    <row r="8" spans="1:37" ht="18" customHeight="1">
      <c r="A8" s="310"/>
      <c r="B8" s="4010"/>
      <c r="C8" s="312"/>
      <c r="D8" s="313"/>
      <c r="E8" s="308" t="s">
        <v>1372</v>
      </c>
      <c r="F8" s="309" t="e">
        <f ca="1">INDIRECT("'数据-取费表'!ai"&amp;$G$1)</f>
        <v>#N/A</v>
      </c>
      <c r="G8" s="1569"/>
      <c r="H8" s="310"/>
      <c r="I8" s="4010"/>
      <c r="J8" s="312"/>
      <c r="K8" s="313"/>
      <c r="L8" s="308" t="s">
        <v>1372</v>
      </c>
      <c r="M8" s="309" t="e">
        <f ca="1">INDIRECT("'数据-取费表'!ai"&amp;$G$1)</f>
        <v>#N/A</v>
      </c>
    </row>
    <row r="9" spans="1:37" ht="18" customHeight="1">
      <c r="A9" s="310"/>
      <c r="B9" s="4011"/>
      <c r="C9" s="312"/>
      <c r="D9" s="313"/>
      <c r="E9" s="308" t="s">
        <v>1373</v>
      </c>
      <c r="F9" s="318" t="e">
        <f ca="1">INDIRECT("'数据-取费表'!w"&amp;$G$1)</f>
        <v>#N/A</v>
      </c>
      <c r="G9" s="1569"/>
      <c r="H9" s="310"/>
      <c r="I9" s="4011"/>
      <c r="J9" s="312"/>
      <c r="K9" s="313"/>
      <c r="L9" s="319" t="s">
        <v>1373</v>
      </c>
      <c r="M9" s="320" t="e">
        <f ca="1">INDIRECT("'数据-取费表'!ab"&amp;$G$1)</f>
        <v>#N/A</v>
      </c>
    </row>
    <row r="10" spans="1:37" ht="18" customHeight="1">
      <c r="A10" s="1200" t="s">
        <v>1007</v>
      </c>
      <c r="B10" s="1550" t="s">
        <v>1374</v>
      </c>
      <c r="C10" s="322">
        <f ca="1">ROUND(IF(F10="押一",C6/12*F11,IF(F10="押二",C6/12*2*F11,IF(F10="押三",C6/12*3*F11,C11*F11))),0)</f>
        <v>0</v>
      </c>
      <c r="D10" s="1551" t="s">
        <v>2848</v>
      </c>
      <c r="E10" s="319" t="s">
        <v>1375</v>
      </c>
      <c r="F10" s="1275"/>
      <c r="G10" s="1569"/>
      <c r="H10" s="1200" t="s">
        <v>1007</v>
      </c>
      <c r="I10" s="1550" t="s">
        <v>1374</v>
      </c>
      <c r="J10" s="307" t="e">
        <f ca="1">ROUND(IF(M10="押一",J6/12*M11,IF(M10="押二",J6/12*2*M11,IF(M10="押三",J6/12*3*M11,J11*M11))),0)</f>
        <v>#N/A</v>
      </c>
      <c r="K10" s="1551" t="s">
        <v>2847</v>
      </c>
      <c r="L10" s="319" t="s">
        <v>1375</v>
      </c>
      <c r="M10" s="1275" t="s">
        <v>1376</v>
      </c>
    </row>
    <row r="11" spans="1:37" ht="18" customHeight="1">
      <c r="A11" s="314"/>
      <c r="B11" s="1552" t="s">
        <v>1353</v>
      </c>
      <c r="C11" s="1089"/>
      <c r="D11" s="1553"/>
      <c r="E11" s="319" t="s">
        <v>1377</v>
      </c>
      <c r="F11" s="320">
        <f ca="1">'数据-取费表'!B39</f>
        <v>1.4999999999999999E-2</v>
      </c>
      <c r="G11" s="1569"/>
      <c r="H11" s="1208"/>
      <c r="I11" s="1552" t="s">
        <v>1353</v>
      </c>
      <c r="J11" s="1089"/>
      <c r="K11" s="693"/>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8" t="s">
        <v>1382</v>
      </c>
      <c r="C14" s="324" t="e">
        <f ca="1">INDIRECT("'数据-取费表'!m"&amp;$G$1)+INDIRECT("'数据-取费表'!t"&amp;$G$1)</f>
        <v>#N/A</v>
      </c>
      <c r="D14" s="1530" t="s">
        <v>1383</v>
      </c>
      <c r="E14" s="1527"/>
      <c r="F14" s="325"/>
      <c r="G14" s="1569"/>
      <c r="H14" s="1112" t="s">
        <v>1003</v>
      </c>
      <c r="I14" s="308" t="s">
        <v>1384</v>
      </c>
      <c r="J14" s="24" t="e">
        <f ca="1">C29</f>
        <v>#N/A</v>
      </c>
      <c r="K14" s="15"/>
      <c r="L14" s="916"/>
      <c r="M14" s="917"/>
    </row>
    <row r="15" spans="1:37" s="1582" customFormat="1" ht="18" customHeight="1" thickBot="1">
      <c r="A15" s="1112" t="s">
        <v>1004</v>
      </c>
      <c r="B15" s="308" t="s">
        <v>1385</v>
      </c>
      <c r="C15" s="24" t="e">
        <f ca="1">ROUND(C14*F15,0)</f>
        <v>#N/A</v>
      </c>
      <c r="D15" s="326" t="s">
        <v>1386</v>
      </c>
      <c r="E15" s="326" t="s">
        <v>1387</v>
      </c>
      <c r="F15" s="327">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t="e">
        <f ca="1">ROUND(INDIRECT("'数据-取费表'!m"&amp;$G$1)*F16,0)</f>
        <v>#N/A</v>
      </c>
      <c r="D16" s="308" t="s">
        <v>1386</v>
      </c>
      <c r="E16" s="308" t="s">
        <v>1387</v>
      </c>
      <c r="F16" s="328" t="e">
        <f ca="1">IF(INDIRECT("'数据-取费表'!c"&amp;$G$1)="住宅",'数据-取费表'!B34,0)</f>
        <v>#N/A</v>
      </c>
      <c r="G16" s="1569"/>
      <c r="H16" s="1238" t="s">
        <v>998</v>
      </c>
      <c r="I16" s="1239" t="s">
        <v>1389</v>
      </c>
      <c r="J16" s="316" t="e">
        <f ca="1">ROUND(J17+J22+J23+J24,0)</f>
        <v>#N/A</v>
      </c>
      <c r="K16" s="1246" t="s">
        <v>1390</v>
      </c>
      <c r="L16" s="1247"/>
      <c r="M16" s="1203"/>
    </row>
    <row r="17" spans="1:37" s="1582" customFormat="1" ht="18" customHeight="1">
      <c r="A17" s="1112" t="s">
        <v>1355</v>
      </c>
      <c r="B17" s="308" t="s">
        <v>1391</v>
      </c>
      <c r="C17" s="24" t="e">
        <f ca="1">ROUND(F17*(F43+INDIRECT("'数据-取费表'!S"&amp;$G$1))/10000,0)</f>
        <v>#N/A</v>
      </c>
      <c r="D17" s="308" t="s">
        <v>1392</v>
      </c>
      <c r="E17" s="308" t="s">
        <v>1393</v>
      </c>
      <c r="F17" s="26">
        <f>'数据-取费表'!B35</f>
        <v>200</v>
      </c>
      <c r="G17" s="1581"/>
      <c r="H17" s="1112" t="s">
        <v>1003</v>
      </c>
      <c r="I17" s="308"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t="e">
        <f ca="1">ROUND(C14*F18,0)</f>
        <v>#N/A</v>
      </c>
      <c r="D18" s="308" t="s">
        <v>1386</v>
      </c>
      <c r="E18" s="308" t="s">
        <v>1387</v>
      </c>
      <c r="F18" s="328">
        <f>'数据-取费表'!B36</f>
        <v>1.4999999999999999E-2</v>
      </c>
      <c r="G18" s="1581"/>
      <c r="H18" s="1112" t="s">
        <v>1002</v>
      </c>
      <c r="I18" s="308" t="s">
        <v>1398</v>
      </c>
      <c r="J18" s="24" t="e">
        <f ca="1">ROUND(J6*M18/(1+'数据-取费表'!C42),2)</f>
        <v>#N/A</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t="e">
        <f ca="1">SUM(C14:C18)</f>
        <v>#N/A</v>
      </c>
      <c r="D19" s="136" t="s">
        <v>1401</v>
      </c>
      <c r="E19" s="1545"/>
      <c r="F19" s="26"/>
      <c r="G19" s="1569"/>
      <c r="H19" s="1112" t="s">
        <v>1004</v>
      </c>
      <c r="I19" s="308" t="s">
        <v>1402</v>
      </c>
      <c r="J19" s="24" t="e">
        <f ca="1">IF(K19="按租金收入计税",ROUND(J6*M19/(1+'数据-取费表'!C42),2),ROUND(C29*M19*0.7,2))</f>
        <v>#N/A</v>
      </c>
      <c r="K19" s="1555" t="s">
        <v>1403</v>
      </c>
      <c r="L19" s="308" t="s">
        <v>1387</v>
      </c>
      <c r="M19" s="328">
        <f>IF(K19="按租金收入计税",'数据-取费表'!B51,'数据-取费表'!B50)</f>
        <v>1.2E-2</v>
      </c>
    </row>
    <row r="20" spans="1:37" s="1582" customFormat="1" ht="18" customHeight="1">
      <c r="A20" s="1112" t="s">
        <v>1007</v>
      </c>
      <c r="B20" s="308" t="s">
        <v>1404</v>
      </c>
      <c r="C20" s="24" t="e">
        <f ca="1">ROUND(C19*F20,0)</f>
        <v>#N/A</v>
      </c>
      <c r="D20" s="329" t="s">
        <v>1405</v>
      </c>
      <c r="E20" s="308" t="s">
        <v>1387</v>
      </c>
      <c r="F20" s="328">
        <f>'数据-取费表'!B37</f>
        <v>0.02</v>
      </c>
      <c r="G20" s="1581"/>
      <c r="H20" s="1112" t="s">
        <v>1354</v>
      </c>
      <c r="I20" s="160" t="s">
        <v>1406</v>
      </c>
      <c r="J20" s="25" t="e">
        <f ca="1">ROUND(M20*M21/10000,2)</f>
        <v>#N/A</v>
      </c>
      <c r="K20" s="330" t="s">
        <v>1407</v>
      </c>
      <c r="L20" s="308" t="s">
        <v>1408</v>
      </c>
      <c r="M20" s="331">
        <f>'数据-取费表'!B52</f>
        <v>6</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18</v>
      </c>
      <c r="D21" s="329" t="s">
        <v>1410</v>
      </c>
      <c r="E21" s="308" t="s">
        <v>1411</v>
      </c>
      <c r="F21" s="328">
        <f>'数据-取费表'!B38</f>
        <v>0.02</v>
      </c>
      <c r="G21" s="1581"/>
      <c r="H21" s="332"/>
      <c r="I21" s="317"/>
      <c r="J21" s="29"/>
      <c r="K21" s="333"/>
      <c r="L21" s="308" t="s">
        <v>1412</v>
      </c>
      <c r="M21" s="309"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t="e">
        <f ca="1">ROUND(J14*M22,1)</f>
        <v>#N/A</v>
      </c>
      <c r="K22" s="1529" t="s">
        <v>1415</v>
      </c>
      <c r="L22" s="308" t="s">
        <v>1387</v>
      </c>
      <c r="M22" s="334" t="e">
        <f ca="1">INDIRECT("'数据-取费表'!Ak"&amp;$G$1)</f>
        <v>#N/A</v>
      </c>
    </row>
    <row r="23" spans="1:37" s="1582" customFormat="1" ht="18" customHeight="1">
      <c r="A23" s="1112"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1"/>
      <c r="H23" s="1112" t="s">
        <v>1043</v>
      </c>
      <c r="I23" s="308" t="s">
        <v>1418</v>
      </c>
      <c r="J23" s="24" t="e">
        <f ca="1">ROUND(J13*M23,1)</f>
        <v>#N/A</v>
      </c>
      <c r="K23" s="1529" t="s">
        <v>1419</v>
      </c>
      <c r="L23" s="308" t="s">
        <v>1420</v>
      </c>
      <c r="M23" s="336"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t="e">
        <f ca="1">ROUND(J5*M24,1)</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8" t="s">
        <v>1426</v>
      </c>
      <c r="C25" s="24"/>
      <c r="D25" s="136" t="s">
        <v>1427</v>
      </c>
      <c r="E25" s="1545"/>
      <c r="F25" s="26"/>
      <c r="G25" s="1569"/>
      <c r="H25" s="1238" t="s">
        <v>999</v>
      </c>
      <c r="I25" s="1253" t="s">
        <v>1428</v>
      </c>
      <c r="J25" s="316" t="e">
        <f ca="1">J5-J16</f>
        <v>#N/A</v>
      </c>
      <c r="K25" s="1254" t="s">
        <v>1429</v>
      </c>
      <c r="L25" s="1255"/>
      <c r="M25" s="1256"/>
    </row>
    <row r="26" spans="1:37">
      <c r="A26" s="1112" t="s">
        <v>1002</v>
      </c>
      <c r="B26" s="308" t="s">
        <v>1430</v>
      </c>
      <c r="C26" s="24" t="e">
        <f ca="1">ROUND((C19+C20)*F26,0)</f>
        <v>#N/A</v>
      </c>
      <c r="D26" s="329" t="s">
        <v>1431</v>
      </c>
      <c r="E26" s="319" t="s">
        <v>1432</v>
      </c>
      <c r="F26" s="318" t="e">
        <f ca="1">INDIRECT("'数据-取费表'!q"&amp;$G$1)</f>
        <v>#N/A</v>
      </c>
      <c r="G26" s="1569"/>
      <c r="H26" s="305" t="s">
        <v>1000</v>
      </c>
      <c r="I26" s="306" t="s">
        <v>1433</v>
      </c>
      <c r="J26" s="307" t="e">
        <f ca="1">IF(J5&lt;&gt;0,ROUND(J25*(1-((1+M28)/(1+M26))^M27)/(M26-M28),0),0)</f>
        <v>#N/A</v>
      </c>
      <c r="K26" s="330" t="s">
        <v>1434</v>
      </c>
      <c r="L26" s="308" t="s">
        <v>1435</v>
      </c>
      <c r="M26" s="318" t="e">
        <f ca="1">INDIRECT("'数据-取费表'!I"&amp;$G$1)</f>
        <v>#N/A</v>
      </c>
    </row>
    <row r="27" spans="1:37" ht="18" customHeight="1">
      <c r="A27" s="1112" t="s">
        <v>1004</v>
      </c>
      <c r="B27" s="308" t="s">
        <v>1436</v>
      </c>
      <c r="C27" s="24" t="e">
        <f ca="1">ROUND(F21*F26,4)</f>
        <v>#N/A</v>
      </c>
      <c r="D27" s="329" t="s">
        <v>1437</v>
      </c>
      <c r="E27" s="326"/>
      <c r="F27" s="327"/>
      <c r="G27" s="1569"/>
      <c r="H27" s="310"/>
      <c r="I27" s="311"/>
      <c r="J27" s="312"/>
      <c r="K27" s="338" t="s">
        <v>1438</v>
      </c>
      <c r="L27" s="308" t="s">
        <v>1439</v>
      </c>
      <c r="M27" s="339" t="e">
        <f ca="1">INDIRECT("'数据-取费表'!ag"&amp;$G$1)</f>
        <v>#N/A</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40" t="s">
        <v>1001</v>
      </c>
      <c r="I29" s="341" t="s">
        <v>1444</v>
      </c>
      <c r="J29" s="342" t="e">
        <f ca="1">ROUND(J26/(1+F40)^F41,0)</f>
        <v>#N/A</v>
      </c>
      <c r="K29" s="343" t="s">
        <v>1445</v>
      </c>
      <c r="L29" s="344"/>
      <c r="M29" s="345"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t="e">
        <f ca="1">ROUND(C31+C36+C37+C38,0)</f>
        <v>#N/A</v>
      </c>
      <c r="D30" s="1246" t="s">
        <v>1390</v>
      </c>
      <c r="E30" s="1247"/>
      <c r="F30" s="1203"/>
      <c r="G30" s="1569"/>
      <c r="H30" s="2923"/>
      <c r="I30" s="1583"/>
      <c r="J30" s="1584"/>
      <c r="K30" s="2699"/>
      <c r="L30" s="2924"/>
      <c r="M30" s="2925"/>
    </row>
    <row r="31" spans="1:37" ht="18" customHeight="1">
      <c r="A31" s="1112" t="s">
        <v>1003</v>
      </c>
      <c r="B31" s="308"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3043</v>
      </c>
      <c r="I31" s="1583"/>
      <c r="J31" s="1584"/>
      <c r="K31" s="2699"/>
      <c r="L31" s="2924"/>
      <c r="M31" s="2925"/>
    </row>
    <row r="32" spans="1:37" ht="18" customHeight="1">
      <c r="A32" s="1112" t="s">
        <v>1002</v>
      </c>
      <c r="B32" s="308" t="s">
        <v>1398</v>
      </c>
      <c r="C32" s="24" t="e">
        <f ca="1">IF(项目基本情况!B11="自然人","——",ROUND(C6*F32/(1+'数据-取费表'!C42),2))</f>
        <v>#N/A</v>
      </c>
      <c r="D32" s="1529" t="s">
        <v>1399</v>
      </c>
      <c r="E32" s="308" t="s">
        <v>1387</v>
      </c>
      <c r="F32" s="337">
        <f>'数据-取费表'!B41</f>
        <v>5.5000000000000007E-2</v>
      </c>
      <c r="G32" s="1569"/>
      <c r="H32" s="2923"/>
      <c r="I32" s="1583"/>
      <c r="J32" s="1584"/>
      <c r="K32" s="2699"/>
      <c r="L32" s="2924"/>
      <c r="M32" s="2925"/>
    </row>
    <row r="33" spans="1:18" ht="18" customHeight="1">
      <c r="A33" s="1112" t="s">
        <v>1004</v>
      </c>
      <c r="B33" s="308" t="s">
        <v>1402</v>
      </c>
      <c r="C33" s="24" t="e">
        <f ca="1">IF(项目基本情况!B11="自然人","——",IF(D33="按租金收入计税",ROUND(C6*F33/(1+'数据-取费表'!C42),2),IF(D33="按房产原值计税",ROUND(C29*F33*0.7,2),INDIRECT("'数据-取费表'!Aj"&amp;$G$1))))</f>
        <v>#N/A</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0" t="s">
        <v>1354</v>
      </c>
      <c r="B34" s="160" t="s">
        <v>1406</v>
      </c>
      <c r="C34" s="25" t="e">
        <f ca="1">IF(项目基本情况!B11="自然人","——",ROUND(F34*F35/10000,2))</f>
        <v>#N/A</v>
      </c>
      <c r="D34" s="330" t="s">
        <v>1407</v>
      </c>
      <c r="E34" s="308" t="s">
        <v>1408</v>
      </c>
      <c r="F34" s="331">
        <f>'数据-取费表'!B52</f>
        <v>6</v>
      </c>
      <c r="G34" s="1569"/>
      <c r="H34" s="2923"/>
      <c r="I34" s="1583"/>
      <c r="J34" s="1584"/>
      <c r="K34" s="2928"/>
      <c r="L34" s="2929"/>
      <c r="M34" s="2929"/>
    </row>
    <row r="35" spans="1:18" ht="18" customHeight="1">
      <c r="A35" s="1262"/>
      <c r="B35" s="1260"/>
      <c r="C35" s="29"/>
      <c r="D35" s="333"/>
      <c r="E35" s="308" t="s">
        <v>1412</v>
      </c>
      <c r="F35" s="309" t="e">
        <f ca="1">INDIRECT("'数据-取费表'!r"&amp;$G$1)</f>
        <v>#N/A</v>
      </c>
      <c r="G35" s="1569"/>
      <c r="H35" s="2923"/>
      <c r="I35" s="1583"/>
      <c r="J35" s="1584"/>
      <c r="K35" s="2927"/>
      <c r="L35" s="2926"/>
      <c r="M35" s="2926"/>
    </row>
    <row r="36" spans="1:18" ht="18" customHeight="1">
      <c r="A36" s="1261" t="s">
        <v>1007</v>
      </c>
      <c r="B36" s="308" t="s">
        <v>1414</v>
      </c>
      <c r="C36" s="24" t="e">
        <f ca="1">ROUND(C29*F36,1)</f>
        <v>#N/A</v>
      </c>
      <c r="D36" s="1529" t="s">
        <v>1447</v>
      </c>
      <c r="E36" s="308" t="s">
        <v>1387</v>
      </c>
      <c r="F36" s="334" t="e">
        <f ca="1">INDIRECT("'数据-取费表'!Ak"&amp;$G$1)</f>
        <v>#N/A</v>
      </c>
      <c r="G36" s="1569"/>
      <c r="H36" s="2926"/>
      <c r="I36" s="1583"/>
      <c r="J36" s="1584"/>
      <c r="K36" s="2768"/>
      <c r="L36" s="2926"/>
      <c r="M36" s="2926"/>
    </row>
    <row r="37" spans="1:18" ht="18" customHeight="1">
      <c r="A37" s="1112" t="s">
        <v>1043</v>
      </c>
      <c r="B37" s="308" t="s">
        <v>1418</v>
      </c>
      <c r="C37" s="24" t="e">
        <f ca="1">ROUND(C13*F37,1)</f>
        <v>#N/A</v>
      </c>
      <c r="D37" s="1529" t="s">
        <v>1419</v>
      </c>
      <c r="E37" s="308" t="s">
        <v>1420</v>
      </c>
      <c r="F37" s="336"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6" t="e">
        <f ca="1">C5-C30</f>
        <v>#N/A</v>
      </c>
      <c r="D39" s="1254" t="s">
        <v>1449</v>
      </c>
      <c r="E39" s="1255"/>
      <c r="F39" s="1256"/>
      <c r="G39" s="1569"/>
      <c r="H39" s="2926"/>
      <c r="I39" s="1583"/>
      <c r="J39" s="1584"/>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69"/>
      <c r="H40" s="1646"/>
      <c r="I40" s="1583"/>
      <c r="J40" s="1584"/>
      <c r="K40" s="2930"/>
      <c r="L40" s="1646"/>
      <c r="M40" s="1646"/>
    </row>
    <row r="41" spans="1:18" ht="18" customHeight="1">
      <c r="A41" s="310"/>
      <c r="B41" s="311"/>
      <c r="C41" s="312"/>
      <c r="D41" s="338" t="s">
        <v>1451</v>
      </c>
      <c r="E41" s="308" t="s">
        <v>1439</v>
      </c>
      <c r="F41" s="339" t="e">
        <f ca="1">IF(INDIRECT("'数据-取费表'!af"&amp;$G$1)=0,INDIRECT("'数据-取费表'!ae"&amp;$G$1),INDIRECT("'数据-取费表'!af"&amp;$G$1))</f>
        <v>#N/A</v>
      </c>
      <c r="G41" s="1569"/>
      <c r="H41" s="1352"/>
      <c r="I41" s="1583"/>
      <c r="J41" s="1584"/>
      <c r="K41" s="2768"/>
      <c r="L41" s="1352"/>
      <c r="M41" s="1352"/>
    </row>
    <row r="42" spans="1:18" ht="18" customHeight="1">
      <c r="A42" s="314"/>
      <c r="B42" s="315"/>
      <c r="C42" s="316"/>
      <c r="D42" s="333"/>
      <c r="E42" s="308" t="s">
        <v>1442</v>
      </c>
      <c r="F42" s="318" t="e">
        <f ca="1">INDIRECT("'数据-取费表'!v"&amp;$G$1)</f>
        <v>#N/A</v>
      </c>
      <c r="G42" s="1569"/>
      <c r="H42" s="1352"/>
      <c r="I42" s="1583"/>
      <c r="J42" s="1584"/>
      <c r="K42" s="2768"/>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1"/>
      <c r="I47" s="1599" t="s">
        <v>1491</v>
      </c>
      <c r="J47" s="1600"/>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6" t="s">
        <v>1366</v>
      </c>
      <c r="C48" s="1544" t="e">
        <f ca="1">C49+C53+C55</f>
        <v>#N/A</v>
      </c>
      <c r="D48" s="1271"/>
      <c r="E48" s="1272"/>
      <c r="F48" s="1092"/>
      <c r="G48" s="731"/>
      <c r="H48" s="732"/>
      <c r="I48" s="1606" t="s">
        <v>1495</v>
      </c>
      <c r="J48" s="1607"/>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2841</v>
      </c>
      <c r="E49" s="1557" t="s">
        <v>1456</v>
      </c>
      <c r="F49" s="1190"/>
      <c r="G49" s="1610"/>
      <c r="H49" s="732"/>
      <c r="I49" s="1606" t="s">
        <v>1499</v>
      </c>
      <c r="J49" s="1611"/>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2"/>
      <c r="I50" s="1606" t="s">
        <v>1502</v>
      </c>
      <c r="J50" s="1614">
        <f>SUMPRODUCT((I63:I65=J47)*(J62:L62=J48)*(J63:L65))</f>
        <v>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9" t="e">
        <f ca="1">F8</f>
        <v>#N/A</v>
      </c>
      <c r="I51" s="1617" t="s">
        <v>1505</v>
      </c>
      <c r="J51" s="1618">
        <f>IF(J49="",J50,J49+J50-YEAR('数据-取费表'!B2))</f>
        <v>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24.75" thickBot="1">
      <c r="A53" s="1313" t="s">
        <v>1105</v>
      </c>
      <c r="B53" s="1558" t="s">
        <v>1374</v>
      </c>
      <c r="C53" s="322">
        <f ca="1">ROUND(IF(F53="押一",C49/12*F11,IF(F53="押二",C49/12*2*F11,IF(F53="押三",C49/12*3*F11,C54*F11))),0)</f>
        <v>0</v>
      </c>
      <c r="D53" s="1551" t="s">
        <v>2847</v>
      </c>
      <c r="E53" s="319" t="s">
        <v>1375</v>
      </c>
      <c r="F53" s="1275"/>
      <c r="I53" s="1624" t="s">
        <v>1512</v>
      </c>
      <c r="J53" s="2387" t="e">
        <f ca="1">IF(M47="住宅",IF(D1="——",MAX(J51,L48),MAX(J51,L48-'数据-取费表'!B24)),IF(D1="——",MIN(J51,L48),MIN(J51,L48-'数据-取费表'!B24)))</f>
        <v>#N/A</v>
      </c>
      <c r="K53" s="4007" t="s">
        <v>1513</v>
      </c>
      <c r="L53" s="4008"/>
      <c r="O53" s="1603" t="s">
        <v>1014</v>
      </c>
      <c r="P53" s="1604" t="s">
        <v>1514</v>
      </c>
      <c r="Q53" s="1605" t="e">
        <f ca="1">Q47+Q48</f>
        <v>#N/A</v>
      </c>
      <c r="R53" s="1605" t="s">
        <v>1015</v>
      </c>
    </row>
    <row r="54" spans="1:18" s="1569" customFormat="1" ht="13.5" thickBot="1">
      <c r="A54" s="1314"/>
      <c r="B54" s="1552" t="s">
        <v>1353</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8" t="e">
        <f ca="1">C13</f>
        <v>#N/A</v>
      </c>
      <c r="D56" s="1632"/>
      <c r="E56" s="1633"/>
      <c r="F56" s="1625"/>
      <c r="I56" s="1634" t="s">
        <v>1519</v>
      </c>
      <c r="J56" s="1635"/>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4"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1" t="s">
        <v>998</v>
      </c>
      <c r="B58" s="1088" t="s">
        <v>1389</v>
      </c>
      <c r="C58" s="322"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7">
        <f t="shared" ref="F60:F66" si="0">F32</f>
        <v>5.5000000000000007E-2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IF(项目基本情况!B11="自然人","——",IF(D61="按租金收入计税",ROUND(C48*F61,2),IF(D61="按房产原值计税",ROUND(C57*F61*0.7,2),INDIRECT("'数据-取费表'!Aj"&amp;$G$1))))</f>
        <v>#N/A</v>
      </c>
      <c r="D61" s="1555" t="s">
        <v>1403</v>
      </c>
      <c r="E61" s="1080" t="s">
        <v>1459</v>
      </c>
      <c r="F61" s="328">
        <f t="shared" si="0"/>
        <v>1.2E-2</v>
      </c>
      <c r="I61" s="1646"/>
      <c r="J61" s="1646"/>
      <c r="K61" s="1646"/>
      <c r="L61" s="1646"/>
      <c r="O61" s="1613" t="s">
        <v>1013</v>
      </c>
      <c r="P61" s="1604" t="str">
        <f>K59</f>
        <v>建设期及建筑物耐用年限下的土地年期修正系数Kn</v>
      </c>
      <c r="Q61" s="1605" t="e">
        <f ca="1">L59</f>
        <v>#N/A</v>
      </c>
      <c r="R61" s="1605" t="s">
        <v>1534</v>
      </c>
    </row>
    <row r="62" spans="1:18" s="1569" customFormat="1" ht="13.5" thickBot="1">
      <c r="A62" s="1112" t="s">
        <v>1460</v>
      </c>
      <c r="B62" s="1079" t="s">
        <v>1461</v>
      </c>
      <c r="C62" s="25" t="e">
        <f ca="1">IF(项目基本情况!B11="自然人","——",ROUND(F62*F63/10000,2))</f>
        <v>#N/A</v>
      </c>
      <c r="D62" s="1095" t="s">
        <v>1462</v>
      </c>
      <c r="E62" s="1080" t="s">
        <v>1463</v>
      </c>
      <c r="F62" s="331">
        <f t="shared" si="0"/>
        <v>6</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2"/>
      <c r="B63" s="1086"/>
      <c r="C63" s="29"/>
      <c r="D63" s="1096"/>
      <c r="E63" s="1080" t="s">
        <v>1464</v>
      </c>
      <c r="F63" s="309"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ROUND(C57*F64,1)</f>
        <v>#N/A</v>
      </c>
      <c r="D64" s="1094" t="s">
        <v>1467</v>
      </c>
      <c r="E64" s="1080" t="s">
        <v>1459</v>
      </c>
      <c r="F64" s="334"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1420</v>
      </c>
      <c r="F65" s="336"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ROUND(C48*F66,1)</f>
        <v>#N/A</v>
      </c>
      <c r="D66" s="1094" t="s">
        <v>1470</v>
      </c>
      <c r="E66" s="1080" t="s">
        <v>1387</v>
      </c>
      <c r="F66" s="318" t="e">
        <f t="shared" ca="1" si="0"/>
        <v>#N/A</v>
      </c>
      <c r="O66" s="1603" t="s">
        <v>1009</v>
      </c>
      <c r="P66" s="1604" t="s">
        <v>1523</v>
      </c>
      <c r="Q66" s="1605" t="e">
        <f ca="1">L60</f>
        <v>#N/A</v>
      </c>
      <c r="R66" s="1605" t="s">
        <v>1546</v>
      </c>
    </row>
    <row r="67" spans="1:18" s="1569" customFormat="1" ht="16.5" thickBot="1">
      <c r="A67" s="1087" t="s">
        <v>999</v>
      </c>
      <c r="B67" s="1097" t="s">
        <v>1428</v>
      </c>
      <c r="C67" s="322"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7" t="e">
        <f ca="1">ROUND(C67*(1-((1+F70)/(1+F68))^F69)/(F68-F70),0)</f>
        <v>#N/A</v>
      </c>
      <c r="D68" s="1095" t="s">
        <v>1434</v>
      </c>
      <c r="E68" s="1080" t="s">
        <v>1435</v>
      </c>
      <c r="F68" s="318" t="e">
        <f ca="1">F40</f>
        <v>#N/A</v>
      </c>
      <c r="O68" s="1613" t="s">
        <v>1011</v>
      </c>
      <c r="P68" s="1652" t="s">
        <v>1548</v>
      </c>
      <c r="Q68" s="1605" t="e">
        <f ca="1">ROUND(Q69-Q70*Q71,0)</f>
        <v>#N/A</v>
      </c>
      <c r="R68" s="1605" t="s">
        <v>1019</v>
      </c>
    </row>
    <row r="69" spans="1:18" s="1569" customFormat="1" ht="13.5" thickBot="1">
      <c r="A69" s="1081"/>
      <c r="B69" s="1082"/>
      <c r="C69" s="312"/>
      <c r="D69" s="1100" t="s">
        <v>1438</v>
      </c>
      <c r="E69" s="1080" t="s">
        <v>1439</v>
      </c>
      <c r="F69" s="339" t="e">
        <f ca="1">F41</f>
        <v>#N/A</v>
      </c>
      <c r="O69" s="1613" t="s">
        <v>1016</v>
      </c>
      <c r="P69" s="1652" t="s">
        <v>1549</v>
      </c>
      <c r="Q69" s="1605" t="e">
        <f ca="1">C39</f>
        <v>#N/A</v>
      </c>
      <c r="R69" s="1605" t="s">
        <v>1494</v>
      </c>
    </row>
    <row r="70" spans="1:18" s="1569" customFormat="1" ht="13.5" thickBot="1">
      <c r="A70" s="1084"/>
      <c r="B70" s="1085"/>
      <c r="C70" s="316"/>
      <c r="D70" s="1096"/>
      <c r="E70" s="1080" t="s">
        <v>1442</v>
      </c>
      <c r="F70" s="1184"/>
      <c r="O70" s="1613" t="s">
        <v>1017</v>
      </c>
      <c r="P70" s="1652" t="s">
        <v>1550</v>
      </c>
      <c r="Q70" s="1605" t="e">
        <f ca="1">C13</f>
        <v>#N/A</v>
      </c>
      <c r="R70" s="1605" t="s">
        <v>1494</v>
      </c>
    </row>
    <row r="71" spans="1:18" s="1569" customFormat="1" ht="13.5" thickBot="1">
      <c r="A71" s="1101" t="s">
        <v>1001</v>
      </c>
      <c r="B71" s="1102" t="s">
        <v>1452</v>
      </c>
      <c r="C71" s="342" t="e">
        <f ca="1">ROUND(C68*10000/F71,0)</f>
        <v>#N/A</v>
      </c>
      <c r="D71" s="1103" t="s">
        <v>1453</v>
      </c>
      <c r="E71" s="1104" t="s">
        <v>1454</v>
      </c>
      <c r="F71" s="345" t="e">
        <f ca="1">F43</f>
        <v>#N/A</v>
      </c>
      <c r="O71" s="1613" t="s">
        <v>1018</v>
      </c>
      <c r="P71" s="1652" t="s">
        <v>1551</v>
      </c>
      <c r="Q71" s="1616" t="e">
        <f ca="1">C76</f>
        <v>#N/A</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#N/A</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#N/A</v>
      </c>
      <c r="R74" s="1605" t="s">
        <v>1534</v>
      </c>
    </row>
    <row r="75" spans="1:18" ht="13.5" thickBot="1">
      <c r="A75" s="1569"/>
      <c r="B75" s="346" t="s">
        <v>1471</v>
      </c>
      <c r="C75" s="347" t="e">
        <f ca="1">ROUND(C13*C76,0)</f>
        <v>#N/A</v>
      </c>
      <c r="D75" s="1569"/>
      <c r="E75" s="1569"/>
      <c r="F75" s="1569"/>
      <c r="K75" s="1587"/>
      <c r="L75" s="1569"/>
      <c r="O75" s="1603" t="s">
        <v>1014</v>
      </c>
      <c r="P75" s="1604" t="s">
        <v>1514</v>
      </c>
      <c r="Q75" s="1605" t="e">
        <f ca="1">Q65+Q66</f>
        <v>#N/A</v>
      </c>
      <c r="R75" s="1605" t="s">
        <v>1015</v>
      </c>
    </row>
    <row r="76" spans="1:18">
      <c r="B76" s="348" t="s">
        <v>1472</v>
      </c>
      <c r="C76" s="349" t="e">
        <f ca="1">INDIRECT("'数据-取费表'!j"&amp;$G$1)</f>
        <v>#N/A</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679"/>
      <c r="B4" s="3499" t="s">
        <v>1595</v>
      </c>
      <c r="C4" s="3499"/>
      <c r="D4" s="3499"/>
      <c r="E4" s="1679"/>
    </row>
    <row r="5" spans="1:5" ht="16.5" thickTop="1">
      <c r="A5" s="1677"/>
      <c r="B5" s="3497" t="s">
        <v>1587</v>
      </c>
      <c r="C5" s="1680" t="s">
        <v>1588</v>
      </c>
      <c r="D5" s="958">
        <f ca="1">结果表!H101</f>
        <v>133435</v>
      </c>
      <c r="E5" s="1677"/>
    </row>
    <row r="6" spans="1:5" ht="15.75">
      <c r="A6" s="1677"/>
      <c r="B6" s="3497"/>
      <c r="C6" s="1680" t="s">
        <v>1589</v>
      </c>
      <c r="D6" s="958" t="str">
        <f ca="1">NUMBERSTRING(INT(D5*10000),2)&amp;"元整"</f>
        <v>壹拾叁亿叁仟肆佰叁拾伍万元整</v>
      </c>
      <c r="E6" s="1677"/>
    </row>
    <row r="7" spans="1:5" ht="15.75">
      <c r="A7" s="1677"/>
      <c r="B7" s="3502"/>
      <c r="C7" s="1681" t="s">
        <v>1590</v>
      </c>
      <c r="D7" s="959">
        <f ca="1">结果表!H102</f>
        <v>1868</v>
      </c>
      <c r="E7" s="1677"/>
    </row>
    <row r="8" spans="1:5" ht="15.75">
      <c r="A8" s="1677"/>
      <c r="B8" s="3503" t="str">
        <f>结果表!E103</f>
        <v>2.估价师知悉的法定优先受偿款</v>
      </c>
      <c r="C8" s="1682" t="s">
        <v>1591</v>
      </c>
      <c r="D8" s="959">
        <f>结果表!H103</f>
        <v>0</v>
      </c>
      <c r="E8" s="1677"/>
    </row>
    <row r="9" spans="1:5" ht="15.75">
      <c r="A9" s="1677"/>
      <c r="B9" s="3505"/>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496" t="str">
        <f>结果表!E107</f>
        <v>3.房地产抵押价值</v>
      </c>
      <c r="C13" s="1685" t="s">
        <v>1588</v>
      </c>
      <c r="D13" s="961">
        <f ca="1">结果表!H107</f>
        <v>133435</v>
      </c>
      <c r="E13" s="1677"/>
    </row>
    <row r="14" spans="1:5" ht="15.75">
      <c r="A14" s="1677"/>
      <c r="B14" s="3497"/>
      <c r="C14" s="1680" t="s">
        <v>1589</v>
      </c>
      <c r="D14" s="958" t="str">
        <f ca="1">NUMBERSTRING(INT(D13*10000),2)&amp;"元整"</f>
        <v>壹拾叁亿叁仟肆佰叁拾伍万元整</v>
      </c>
      <c r="E14" s="1677"/>
    </row>
    <row r="15" spans="1:5" ht="15">
      <c r="A15" s="1677"/>
      <c r="B15" s="3502"/>
      <c r="C15" s="1681" t="s">
        <v>1599</v>
      </c>
      <c r="D15" s="967">
        <f ca="1">结果表!H108</f>
        <v>1868</v>
      </c>
      <c r="E15" s="1677"/>
    </row>
    <row r="16" spans="1:5" ht="15">
      <c r="A16" s="1677"/>
      <c r="B16" s="3503" t="str">
        <f>结果表!E109</f>
        <v>——</v>
      </c>
      <c r="C16" s="1685" t="s">
        <v>1600</v>
      </c>
      <c r="D16" s="1686" t="str">
        <f>结果表!H109</f>
        <v>——</v>
      </c>
      <c r="E16" s="1677"/>
    </row>
    <row r="17" spans="1:5" ht="15.75">
      <c r="A17" s="1677"/>
      <c r="B17" s="3504"/>
      <c r="C17" s="1680" t="s">
        <v>1601</v>
      </c>
      <c r="D17" s="958" t="e">
        <f>NUMBERSTRING(INT(D16*10000),2)&amp;"元整"</f>
        <v>#VALUE!</v>
      </c>
      <c r="E17" s="1677"/>
    </row>
    <row r="18" spans="1:5" ht="15">
      <c r="A18" s="1677"/>
      <c r="B18" s="3505"/>
      <c r="C18" s="1681" t="s">
        <v>1590</v>
      </c>
      <c r="D18" s="967" t="str">
        <f>结果表!H110</f>
        <v>——</v>
      </c>
      <c r="E18" s="1677"/>
    </row>
    <row r="19" spans="1:5" ht="15.75">
      <c r="A19" s="1677"/>
      <c r="B19" s="3496" t="str">
        <f>结果表!E111</f>
        <v>——</v>
      </c>
      <c r="C19" s="1685" t="s">
        <v>1588</v>
      </c>
      <c r="D19" s="959" t="str">
        <f>结果表!H111</f>
        <v>——</v>
      </c>
      <c r="E19" s="1677"/>
    </row>
    <row r="20" spans="1:5" ht="15.75">
      <c r="A20" s="1677"/>
      <c r="B20" s="3497"/>
      <c r="C20" s="1680" t="s">
        <v>1601</v>
      </c>
      <c r="D20" s="958" t="e">
        <f>NUMBERSTRING(INT(D19*10000),2)&amp;"元整"</f>
        <v>#VALUE!</v>
      </c>
      <c r="E20" s="1677"/>
    </row>
    <row r="21" spans="1:5" ht="15.75" thickBot="1">
      <c r="A21" s="1677"/>
      <c r="B21" s="3498"/>
      <c r="C21" s="1687" t="s">
        <v>1599</v>
      </c>
      <c r="D21" s="968"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t="e">
        <f ca="1">J53</f>
        <v>#N/A</v>
      </c>
      <c r="G1" s="1563"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#N/A</v>
      </c>
      <c r="C2" s="1572" t="s">
        <v>1556</v>
      </c>
      <c r="D2" s="1656" t="e">
        <f ca="1">C40+J29+L46</f>
        <v>#N/A</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t="e">
        <f ca="1">C6+C10+C12</f>
        <v>#N/A</v>
      </c>
      <c r="D5" s="1549" t="s">
        <v>1566</v>
      </c>
      <c r="E5" s="1202"/>
      <c r="F5" s="1203"/>
      <c r="G5" s="1569"/>
      <c r="H5" s="305">
        <v>1</v>
      </c>
      <c r="I5" s="306" t="s">
        <v>1565</v>
      </c>
      <c r="J5" s="1201" t="e">
        <f ca="1">J6+J10+J12</f>
        <v>#N/A</v>
      </c>
      <c r="K5" s="1549" t="s">
        <v>1566</v>
      </c>
      <c r="L5" s="1202"/>
      <c r="M5" s="1203"/>
    </row>
    <row r="6" spans="1:37" ht="18" customHeight="1">
      <c r="A6" s="1200" t="s">
        <v>1003</v>
      </c>
      <c r="B6" s="4009" t="s">
        <v>1368</v>
      </c>
      <c r="C6" s="1205" t="e">
        <f ca="1">ROUND(F6*F8*F7*(1-F9),0)</f>
        <v>#N/A</v>
      </c>
      <c r="D6" s="160" t="s">
        <v>2837</v>
      </c>
      <c r="E6" s="308" t="s">
        <v>1370</v>
      </c>
      <c r="F6" s="309" t="e">
        <f ca="1">INDIRECT("'数据-取费表'!u"&amp;$G$1)</f>
        <v>#N/A</v>
      </c>
      <c r="G6" s="1569"/>
      <c r="H6" s="1200" t="s">
        <v>1003</v>
      </c>
      <c r="I6" s="4009" t="s">
        <v>1368</v>
      </c>
      <c r="J6" s="307" t="e">
        <f ca="1">ROUND(M6*M8*M7*(1-M9),0)</f>
        <v>#N/A</v>
      </c>
      <c r="K6" s="1561" t="s">
        <v>2838</v>
      </c>
      <c r="L6" s="308" t="s">
        <v>1370</v>
      </c>
      <c r="M6" s="309" t="e">
        <f ca="1">INDIRECT("'数据-取费表'!z"&amp;$G$1)</f>
        <v>#N/A</v>
      </c>
    </row>
    <row r="7" spans="1:37" ht="18" customHeight="1">
      <c r="A7" s="1204"/>
      <c r="B7" s="4010"/>
      <c r="C7" s="1206"/>
      <c r="D7" s="313"/>
      <c r="E7" s="1207" t="s">
        <v>1371</v>
      </c>
      <c r="F7" s="309" t="e">
        <f ca="1">IF(INDIRECT("'数据-取费表'!ah"&amp;$G$1)="",INDIRECT("'数据-取费表'!k"&amp;$G$1),INDIRECT("'数据-取费表'!ah"&amp;$G$1))</f>
        <v>#N/A</v>
      </c>
      <c r="G7" s="1569"/>
      <c r="H7" s="310"/>
      <c r="I7" s="4010"/>
      <c r="J7" s="312"/>
      <c r="K7" s="313"/>
      <c r="L7" s="308" t="s">
        <v>1371</v>
      </c>
      <c r="M7" s="309" t="e">
        <f ca="1">F7</f>
        <v>#N/A</v>
      </c>
    </row>
    <row r="8" spans="1:37" ht="18" customHeight="1">
      <c r="A8" s="310"/>
      <c r="B8" s="4010"/>
      <c r="C8" s="312"/>
      <c r="D8" s="313"/>
      <c r="E8" s="308" t="s">
        <v>1372</v>
      </c>
      <c r="F8" s="309" t="e">
        <f ca="1">INDIRECT("'数据-取费表'!ai"&amp;$G$1)</f>
        <v>#N/A</v>
      </c>
      <c r="G8" s="1569"/>
      <c r="H8" s="310"/>
      <c r="I8" s="4010"/>
      <c r="J8" s="312"/>
      <c r="K8" s="313"/>
      <c r="L8" s="308" t="s">
        <v>1372</v>
      </c>
      <c r="M8" s="309" t="e">
        <f ca="1">INDIRECT("'数据-取费表'!ai"&amp;$G$1)</f>
        <v>#N/A</v>
      </c>
    </row>
    <row r="9" spans="1:37" ht="18" customHeight="1">
      <c r="A9" s="310"/>
      <c r="B9" s="4011"/>
      <c r="C9" s="312"/>
      <c r="D9" s="313"/>
      <c r="E9" s="308" t="s">
        <v>1373</v>
      </c>
      <c r="F9" s="318" t="e">
        <f ca="1">INDIRECT("'数据-取费表'!w"&amp;$G$1)</f>
        <v>#N/A</v>
      </c>
      <c r="G9" s="1569"/>
      <c r="H9" s="310"/>
      <c r="I9" s="4011"/>
      <c r="J9" s="312"/>
      <c r="K9" s="313"/>
      <c r="L9" s="319" t="s">
        <v>1373</v>
      </c>
      <c r="M9" s="320" t="e">
        <f ca="1">INDIRECT("'数据-取费表'!ab"&amp;$G$1)</f>
        <v>#N/A</v>
      </c>
    </row>
    <row r="10" spans="1:37" ht="18" customHeight="1">
      <c r="A10" s="1200" t="s">
        <v>1007</v>
      </c>
      <c r="B10" s="1550" t="s">
        <v>1374</v>
      </c>
      <c r="C10" s="322">
        <f ca="1">ROUND(IF(F10="押一",C6/12*F11,IF(F10="押二",C6/12*2*F11,IF(F10="押三",C6/12*3*F11,C11*F11))),0)</f>
        <v>0</v>
      </c>
      <c r="D10" s="1551" t="s">
        <v>2847</v>
      </c>
      <c r="E10" s="319" t="s">
        <v>1375</v>
      </c>
      <c r="F10" s="1275"/>
      <c r="G10" s="1569"/>
      <c r="H10" s="1200" t="s">
        <v>1007</v>
      </c>
      <c r="I10" s="1550" t="s">
        <v>1374</v>
      </c>
      <c r="J10" s="307">
        <f ca="1">ROUND(IF(M10="押一",J6/12*M11,IF(M10="押二",J6/12*2*M11,IF(M10="押三",J6/12*3*M11,J11*M11))),0)</f>
        <v>0</v>
      </c>
      <c r="K10" s="1562" t="s">
        <v>2849</v>
      </c>
      <c r="L10" s="319" t="s">
        <v>1375</v>
      </c>
      <c r="M10" s="1275"/>
    </row>
    <row r="11" spans="1:37" ht="18" customHeight="1">
      <c r="A11" s="314"/>
      <c r="B11" s="1552" t="s">
        <v>1567</v>
      </c>
      <c r="C11" s="1089"/>
      <c r="D11" s="313"/>
      <c r="E11" s="319" t="s">
        <v>1377</v>
      </c>
      <c r="F11" s="320">
        <f ca="1">'数据-取费表'!B39</f>
        <v>1.4999999999999999E-2</v>
      </c>
      <c r="G11" s="1569"/>
      <c r="H11" s="1208"/>
      <c r="I11" s="1552" t="s">
        <v>1568</v>
      </c>
      <c r="J11" s="1089"/>
      <c r="K11" s="693"/>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8" t="s">
        <v>1382</v>
      </c>
      <c r="C14" s="324" t="e">
        <f ca="1">ROUND(INDIRECT("'数据-取费表'!l"&amp;$G$1)*F43+'数据-取费表'!L14*INDIRECT("'数据-取费表'!S"&amp;$G$1),0)</f>
        <v>#N/A</v>
      </c>
      <c r="D14" s="1530" t="s">
        <v>1383</v>
      </c>
      <c r="E14" s="1527"/>
      <c r="F14" s="325"/>
      <c r="G14" s="1569"/>
      <c r="H14" s="1112" t="s">
        <v>1003</v>
      </c>
      <c r="I14" s="308" t="s">
        <v>1384</v>
      </c>
      <c r="J14" s="24" t="e">
        <f ca="1">C29</f>
        <v>#N/A</v>
      </c>
      <c r="K14" s="15"/>
      <c r="L14" s="916"/>
      <c r="M14" s="917"/>
    </row>
    <row r="15" spans="1:37" s="1582" customFormat="1" ht="18" customHeight="1" thickBot="1">
      <c r="A15" s="1112" t="s">
        <v>1004</v>
      </c>
      <c r="B15" s="308" t="s">
        <v>1385</v>
      </c>
      <c r="C15" s="24" t="e">
        <f ca="1">ROUND(C14*F15,0)</f>
        <v>#N/A</v>
      </c>
      <c r="D15" s="326" t="s">
        <v>1386</v>
      </c>
      <c r="E15" s="326" t="s">
        <v>1387</v>
      </c>
      <c r="F15" s="327">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t="e">
        <f ca="1">ROUND(INDIRECT("'数据-取费表'!l"&amp;$G$1)*F43*F16,0)</f>
        <v>#N/A</v>
      </c>
      <c r="D16" s="308" t="s">
        <v>1386</v>
      </c>
      <c r="E16" s="308" t="s">
        <v>1387</v>
      </c>
      <c r="F16" s="328" t="e">
        <f ca="1">IF(INDIRECT("'数据-取费表'!c"&amp;$G$1)="住宅",'数据-取费表'!B34,0)</f>
        <v>#N/A</v>
      </c>
      <c r="G16" s="1569"/>
      <c r="H16" s="1238" t="s">
        <v>998</v>
      </c>
      <c r="I16" s="1239" t="s">
        <v>1389</v>
      </c>
      <c r="J16" s="316" t="e">
        <f ca="1">ROUND(J17+J22+J23+J24,0)</f>
        <v>#N/A</v>
      </c>
      <c r="K16" s="1246" t="s">
        <v>1390</v>
      </c>
      <c r="L16" s="1247"/>
      <c r="M16" s="1203"/>
    </row>
    <row r="17" spans="1:37" s="1582" customFormat="1" ht="18" customHeight="1">
      <c r="A17" s="1112" t="s">
        <v>1355</v>
      </c>
      <c r="B17" s="308" t="s">
        <v>1391</v>
      </c>
      <c r="C17" s="24" t="e">
        <f ca="1">ROUND(F17*(F43+INDIRECT("'数据-取费表'!S"&amp;$G$1)),0)</f>
        <v>#N/A</v>
      </c>
      <c r="D17" s="308" t="s">
        <v>1392</v>
      </c>
      <c r="E17" s="308" t="s">
        <v>1393</v>
      </c>
      <c r="F17" s="26">
        <f>'数据-取费表'!B35</f>
        <v>200</v>
      </c>
      <c r="G17" s="1581"/>
      <c r="H17" s="1112" t="s">
        <v>1003</v>
      </c>
      <c r="I17" s="308"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t="e">
        <f ca="1">ROUND(C14*F18,0)</f>
        <v>#N/A</v>
      </c>
      <c r="D18" s="308" t="s">
        <v>1386</v>
      </c>
      <c r="E18" s="308" t="s">
        <v>1387</v>
      </c>
      <c r="F18" s="328">
        <f>'数据-取费表'!B36</f>
        <v>1.4999999999999999E-2</v>
      </c>
      <c r="G18" s="1581"/>
      <c r="H18" s="1112" t="s">
        <v>1002</v>
      </c>
      <c r="I18" s="308" t="s">
        <v>1398</v>
      </c>
      <c r="J18" s="24" t="e">
        <f ca="1">ROUND(J6*M18/(1+'数据-取费表'!C42),0)</f>
        <v>#N/A</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t="e">
        <f ca="1">SUM(C14:C18)</f>
        <v>#N/A</v>
      </c>
      <c r="D19" s="136" t="s">
        <v>1401</v>
      </c>
      <c r="E19" s="1545"/>
      <c r="F19" s="26"/>
      <c r="G19" s="1569"/>
      <c r="H19" s="1112" t="s">
        <v>1004</v>
      </c>
      <c r="I19" s="308" t="s">
        <v>1402</v>
      </c>
      <c r="J19" s="24" t="e">
        <f ca="1">IF(K19="按租金收入计税",ROUND(J6*M19/(1+'数据-取费表'!C42),0),ROUND(C29*M19*0.7,0))</f>
        <v>#N/A</v>
      </c>
      <c r="K19" s="1555" t="s">
        <v>1403</v>
      </c>
      <c r="L19" s="308" t="s">
        <v>1387</v>
      </c>
      <c r="M19" s="328">
        <f>IF(K19="按租金收入计税",'数据-取费表'!B51,'数据-取费表'!B50)</f>
        <v>1.2E-2</v>
      </c>
    </row>
    <row r="20" spans="1:37" s="1582" customFormat="1" ht="18" customHeight="1">
      <c r="A20" s="1112" t="s">
        <v>1007</v>
      </c>
      <c r="B20" s="308" t="s">
        <v>1404</v>
      </c>
      <c r="C20" s="24" t="e">
        <f ca="1">ROUND(C19*F20,0)</f>
        <v>#N/A</v>
      </c>
      <c r="D20" s="329" t="s">
        <v>1405</v>
      </c>
      <c r="E20" s="308" t="s">
        <v>1387</v>
      </c>
      <c r="F20" s="328">
        <f>'数据-取费表'!B37</f>
        <v>0.02</v>
      </c>
      <c r="G20" s="1581"/>
      <c r="H20" s="1112" t="s">
        <v>1354</v>
      </c>
      <c r="I20" s="160" t="s">
        <v>1406</v>
      </c>
      <c r="J20" s="25" t="e">
        <f ca="1">ROUND(M20*M21,0)</f>
        <v>#N/A</v>
      </c>
      <c r="K20" s="330" t="s">
        <v>1407</v>
      </c>
      <c r="L20" s="308" t="s">
        <v>1408</v>
      </c>
      <c r="M20" s="331">
        <f>'数据-取费表'!B52</f>
        <v>6</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v>
      </c>
      <c r="D21" s="329" t="s">
        <v>1410</v>
      </c>
      <c r="E21" s="308" t="s">
        <v>1411</v>
      </c>
      <c r="F21" s="328">
        <f>'数据-取费表'!B38</f>
        <v>0.02</v>
      </c>
      <c r="G21" s="1581"/>
      <c r="H21" s="332"/>
      <c r="I21" s="317"/>
      <c r="J21" s="29"/>
      <c r="K21" s="333"/>
      <c r="L21" s="308" t="s">
        <v>1412</v>
      </c>
      <c r="M21" s="309"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t="e">
        <f ca="1">ROUND(J14*M22,0)</f>
        <v>#N/A</v>
      </c>
      <c r="K22" s="1529" t="s">
        <v>1415</v>
      </c>
      <c r="L22" s="308" t="s">
        <v>1387</v>
      </c>
      <c r="M22" s="334" t="e">
        <f ca="1">INDIRECT("'数据-取费表'!Ak"&amp;$G$1)</f>
        <v>#N/A</v>
      </c>
    </row>
    <row r="23" spans="1:37" s="1582" customFormat="1" ht="18" customHeight="1">
      <c r="A23" s="1112"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1"/>
      <c r="H23" s="1112" t="s">
        <v>1043</v>
      </c>
      <c r="I23" s="308" t="s">
        <v>1418</v>
      </c>
      <c r="J23" s="24" t="e">
        <f ca="1">ROUND(J13*M23,0)</f>
        <v>#N/A</v>
      </c>
      <c r="K23" s="1529" t="s">
        <v>1419</v>
      </c>
      <c r="L23" s="308" t="s">
        <v>1420</v>
      </c>
      <c r="M23" s="336"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t="e">
        <f ca="1">ROUND(J5*M24,0)</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8" t="s">
        <v>1426</v>
      </c>
      <c r="C25" s="24"/>
      <c r="D25" s="136" t="s">
        <v>1427</v>
      </c>
      <c r="E25" s="1545"/>
      <c r="F25" s="26"/>
      <c r="G25" s="1569"/>
      <c r="H25" s="1238" t="s">
        <v>999</v>
      </c>
      <c r="I25" s="1253" t="s">
        <v>1428</v>
      </c>
      <c r="J25" s="316" t="e">
        <f ca="1">J5-J16</f>
        <v>#N/A</v>
      </c>
      <c r="K25" s="1254" t="s">
        <v>1429</v>
      </c>
      <c r="L25" s="1255"/>
      <c r="M25" s="1256"/>
    </row>
    <row r="26" spans="1:37" ht="18" customHeight="1">
      <c r="A26" s="1112" t="s">
        <v>1002</v>
      </c>
      <c r="B26" s="308" t="s">
        <v>1430</v>
      </c>
      <c r="C26" s="24" t="e">
        <f ca="1">ROUND((C19+C20)*F26,0)</f>
        <v>#N/A</v>
      </c>
      <c r="D26" s="329" t="s">
        <v>1431</v>
      </c>
      <c r="E26" s="319" t="s">
        <v>1432</v>
      </c>
      <c r="F26" s="318" t="e">
        <f ca="1">INDIRECT("'数据-取费表'!q"&amp;$G$1)</f>
        <v>#N/A</v>
      </c>
      <c r="G26" s="1569"/>
      <c r="H26" s="305" t="s">
        <v>1000</v>
      </c>
      <c r="I26" s="306" t="s">
        <v>1433</v>
      </c>
      <c r="J26" s="307" t="e">
        <f ca="1">IF(J5&lt;&gt;0,ROUND(J25*(1-((1+M28)/(1+M26))^M27)/(M26-M28),0),0)</f>
        <v>#N/A</v>
      </c>
      <c r="K26" s="330" t="s">
        <v>1434</v>
      </c>
      <c r="L26" s="308" t="s">
        <v>1435</v>
      </c>
      <c r="M26" s="318" t="e">
        <f ca="1">INDIRECT("'数据-取费表'!I"&amp;$G$1)</f>
        <v>#N/A</v>
      </c>
    </row>
    <row r="27" spans="1:37" ht="18" customHeight="1">
      <c r="A27" s="1112" t="s">
        <v>1004</v>
      </c>
      <c r="B27" s="308" t="s">
        <v>1436</v>
      </c>
      <c r="C27" s="24" t="e">
        <f ca="1">ROUND(F21*F26,4)</f>
        <v>#N/A</v>
      </c>
      <c r="D27" s="329" t="s">
        <v>1437</v>
      </c>
      <c r="E27" s="326"/>
      <c r="F27" s="327"/>
      <c r="G27" s="1569"/>
      <c r="H27" s="310"/>
      <c r="I27" s="311"/>
      <c r="J27" s="312"/>
      <c r="K27" s="338" t="s">
        <v>1438</v>
      </c>
      <c r="L27" s="308" t="s">
        <v>1439</v>
      </c>
      <c r="M27" s="339" t="e">
        <f ca="1">INDIRECT("'数据-取费表'!ag"&amp;$G$1)</f>
        <v>#N/A</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40" t="s">
        <v>1001</v>
      </c>
      <c r="I29" s="341" t="s">
        <v>1444</v>
      </c>
      <c r="J29" s="342" t="e">
        <f ca="1">ROUND(J26/(1+F40)^F41,0)</f>
        <v>#N/A</v>
      </c>
      <c r="K29" s="343" t="s">
        <v>1445</v>
      </c>
      <c r="L29" s="344"/>
      <c r="M29" s="345"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t="e">
        <f ca="1">ROUND(C31+C36+C37+C38,0)</f>
        <v>#N/A</v>
      </c>
      <c r="D30" s="1246" t="s">
        <v>1390</v>
      </c>
      <c r="E30" s="1247"/>
      <c r="F30" s="1203"/>
      <c r="G30" s="1569"/>
      <c r="H30" s="2923"/>
      <c r="I30" s="1583"/>
      <c r="J30" s="1584"/>
      <c r="K30" s="2699"/>
      <c r="L30" s="2924"/>
      <c r="M30" s="2925"/>
    </row>
    <row r="31" spans="1:37" ht="18" customHeight="1">
      <c r="A31" s="1112" t="s">
        <v>1003</v>
      </c>
      <c r="B31" s="308"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3043</v>
      </c>
      <c r="I31" s="1583"/>
      <c r="J31" s="1584"/>
      <c r="K31" s="2699"/>
      <c r="L31" s="2924"/>
      <c r="M31" s="2925"/>
    </row>
    <row r="32" spans="1:37" ht="18" customHeight="1">
      <c r="A32" s="1112" t="s">
        <v>1002</v>
      </c>
      <c r="B32" s="308" t="s">
        <v>1398</v>
      </c>
      <c r="C32" s="24" t="e">
        <f ca="1">IF(项目基本情况!B11="自然人","——",ROUND(C6*F32/(1+'数据-取费表'!C42),0))</f>
        <v>#N/A</v>
      </c>
      <c r="D32" s="1529" t="s">
        <v>1399</v>
      </c>
      <c r="E32" s="308" t="s">
        <v>1387</v>
      </c>
      <c r="F32" s="337">
        <f>'数据-取费表'!B41</f>
        <v>5.5000000000000007E-2</v>
      </c>
      <c r="G32" s="1569"/>
      <c r="H32" s="2923"/>
      <c r="I32" s="1583"/>
      <c r="J32" s="1584"/>
      <c r="K32" s="2699"/>
      <c r="L32" s="2924"/>
      <c r="M32" s="2925"/>
    </row>
    <row r="33" spans="1:18" ht="18" customHeight="1">
      <c r="A33" s="1112" t="s">
        <v>1004</v>
      </c>
      <c r="B33" s="308" t="s">
        <v>1402</v>
      </c>
      <c r="C33" s="24" t="e">
        <f ca="1">IF(项目基本情况!B11="自然人","——",IF(D33="按租金收入计税",ROUND(C6*F33/(1+'数据-取费表'!C42),0),IF(D33="按房产原值计税",ROUND(C29*F33*0.7,0),INDIRECT("'数据-取费表'!Aj"&amp;$G$1))))</f>
        <v>#N/A</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0" t="s">
        <v>1354</v>
      </c>
      <c r="B34" s="160" t="s">
        <v>1406</v>
      </c>
      <c r="C34" s="25" t="e">
        <f ca="1">IF(项目基本情况!B11="自然人","——",ROUND(F34*F35,))</f>
        <v>#N/A</v>
      </c>
      <c r="D34" s="330" t="s">
        <v>1407</v>
      </c>
      <c r="E34" s="308" t="s">
        <v>1408</v>
      </c>
      <c r="F34" s="331">
        <f>'数据-取费表'!B52</f>
        <v>6</v>
      </c>
      <c r="G34" s="1569"/>
      <c r="H34" s="2923"/>
      <c r="I34" s="1583"/>
      <c r="J34" s="1584"/>
      <c r="K34" s="2928"/>
      <c r="L34" s="2929"/>
      <c r="M34" s="2929"/>
    </row>
    <row r="35" spans="1:18" ht="18" customHeight="1">
      <c r="A35" s="1262"/>
      <c r="B35" s="1260"/>
      <c r="C35" s="29"/>
      <c r="D35" s="333"/>
      <c r="E35" s="308" t="s">
        <v>1412</v>
      </c>
      <c r="F35" s="309" t="e">
        <f ca="1">INDIRECT("'数据-取费表'!r"&amp;$G$1)</f>
        <v>#N/A</v>
      </c>
      <c r="G35" s="1569"/>
      <c r="H35" s="2923"/>
      <c r="I35" s="1583"/>
      <c r="J35" s="1584"/>
      <c r="K35" s="2927"/>
      <c r="L35" s="2926"/>
      <c r="M35" s="2926"/>
    </row>
    <row r="36" spans="1:18" ht="18" customHeight="1">
      <c r="A36" s="1261" t="s">
        <v>1007</v>
      </c>
      <c r="B36" s="308" t="s">
        <v>1414</v>
      </c>
      <c r="C36" s="24" t="e">
        <f ca="1">ROUND(C29*F36,0)</f>
        <v>#N/A</v>
      </c>
      <c r="D36" s="1529" t="s">
        <v>1447</v>
      </c>
      <c r="E36" s="308" t="s">
        <v>1387</v>
      </c>
      <c r="F36" s="334" t="e">
        <f ca="1">INDIRECT("'数据-取费表'!Ak"&amp;$G$1)</f>
        <v>#N/A</v>
      </c>
      <c r="G36" s="1569"/>
      <c r="H36" s="2926"/>
      <c r="I36" s="1583"/>
      <c r="J36" s="1584"/>
      <c r="K36" s="2768"/>
      <c r="L36" s="2926"/>
      <c r="M36" s="2926"/>
    </row>
    <row r="37" spans="1:18" ht="18" customHeight="1">
      <c r="A37" s="1112" t="s">
        <v>1043</v>
      </c>
      <c r="B37" s="308" t="s">
        <v>1418</v>
      </c>
      <c r="C37" s="24" t="e">
        <f ca="1">ROUND(C13*F37,0)</f>
        <v>#N/A</v>
      </c>
      <c r="D37" s="1529" t="s">
        <v>1419</v>
      </c>
      <c r="E37" s="308" t="s">
        <v>1420</v>
      </c>
      <c r="F37" s="336"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6" t="e">
        <f ca="1">C5-C30</f>
        <v>#N/A</v>
      </c>
      <c r="D39" s="1254" t="s">
        <v>1449</v>
      </c>
      <c r="E39" s="1255"/>
      <c r="F39" s="1256"/>
      <c r="G39" s="1569"/>
      <c r="H39" s="2926"/>
      <c r="I39" s="1583"/>
      <c r="J39" s="1584"/>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69"/>
      <c r="H40" s="1646"/>
      <c r="I40" s="1583"/>
      <c r="J40" s="1584"/>
      <c r="K40" s="2930"/>
      <c r="L40" s="1646"/>
      <c r="M40" s="1646"/>
    </row>
    <row r="41" spans="1:18" ht="18" customHeight="1">
      <c r="A41" s="310"/>
      <c r="B41" s="311"/>
      <c r="C41" s="312"/>
      <c r="D41" s="338" t="s">
        <v>1451</v>
      </c>
      <c r="E41" s="308" t="s">
        <v>1439</v>
      </c>
      <c r="F41" s="339" t="e">
        <f ca="1">IF(INDIRECT("'数据-取费表'!af"&amp;$G$1)=0,INDIRECT("'数据-取费表'!ae"&amp;$G$1),INDIRECT("'数据-取费表'!af"&amp;$G$1))</f>
        <v>#N/A</v>
      </c>
      <c r="G41" s="1569"/>
      <c r="H41" s="1352"/>
      <c r="I41" s="1583"/>
      <c r="J41" s="1584"/>
      <c r="K41" s="2768"/>
      <c r="L41" s="1352"/>
      <c r="M41" s="1352"/>
    </row>
    <row r="42" spans="1:18" ht="18" customHeight="1">
      <c r="A42" s="314"/>
      <c r="B42" s="315"/>
      <c r="C42" s="316"/>
      <c r="D42" s="333"/>
      <c r="E42" s="308" t="s">
        <v>1442</v>
      </c>
      <c r="F42" s="318" t="e">
        <f ca="1">INDIRECT("'数据-取费表'!v"&amp;$G$1)</f>
        <v>#N/A</v>
      </c>
      <c r="G42" s="1569"/>
      <c r="H42" s="1352"/>
      <c r="I42" s="1583"/>
      <c r="J42" s="1584"/>
      <c r="K42" s="2768"/>
      <c r="L42" s="1352"/>
      <c r="M42" s="1352"/>
    </row>
    <row r="43" spans="1:18" ht="18" customHeight="1" thickBot="1">
      <c r="A43" s="340" t="s">
        <v>1001</v>
      </c>
      <c r="B43" s="341" t="s">
        <v>1452</v>
      </c>
      <c r="C43" s="342" t="e">
        <f ca="1">ROUND(C40/F43,0)</f>
        <v>#N/A</v>
      </c>
      <c r="D43" s="343" t="s">
        <v>1453</v>
      </c>
      <c r="E43" s="344" t="s">
        <v>1454</v>
      </c>
      <c r="F43" s="345"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#N/A</v>
      </c>
      <c r="D45" s="1658" t="s">
        <v>1569</v>
      </c>
      <c r="E45" s="1585"/>
      <c r="F45" s="1585"/>
      <c r="O45" s="1588" t="s">
        <v>1484</v>
      </c>
      <c r="P45" s="1646"/>
      <c r="Q45" s="1646"/>
      <c r="R45" s="1646"/>
    </row>
    <row r="46" spans="1:18" s="1569" customFormat="1" ht="13.5" thickBot="1">
      <c r="A46" s="1589" t="s">
        <v>1485</v>
      </c>
      <c r="C46" s="1590" t="e">
        <f ca="1">ROUND(C45/10000,0)</f>
        <v>#N/A</v>
      </c>
      <c r="D46" s="1591" t="str">
        <f>C2</f>
        <v>万元</v>
      </c>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1"/>
      <c r="I47" s="1599" t="s">
        <v>1491</v>
      </c>
      <c r="J47" s="1600"/>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6" t="s">
        <v>1366</v>
      </c>
      <c r="C48" s="1544" t="e">
        <f ca="1">C49+C53+C55</f>
        <v>#N/A</v>
      </c>
      <c r="D48" s="1271"/>
      <c r="E48" s="1272"/>
      <c r="F48" s="1092"/>
      <c r="G48" s="731"/>
      <c r="H48" s="732"/>
      <c r="I48" s="1606" t="s">
        <v>1495</v>
      </c>
      <c r="J48" s="1607"/>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ROUND(F49*F51*F50*(1-F52),0)</f>
        <v>#N/A</v>
      </c>
      <c r="D49" s="1185" t="s">
        <v>1369</v>
      </c>
      <c r="E49" s="1557" t="s">
        <v>1456</v>
      </c>
      <c r="F49" s="1190"/>
      <c r="G49" s="1610"/>
      <c r="H49" s="732"/>
      <c r="I49" s="1606" t="s">
        <v>1499</v>
      </c>
      <c r="J49" s="1611"/>
      <c r="K49" s="1608" t="s">
        <v>1500</v>
      </c>
      <c r="L49" s="1612"/>
      <c r="O49" s="1613" t="s">
        <v>1010</v>
      </c>
      <c r="P49" s="1604" t="s">
        <v>1501</v>
      </c>
      <c r="Q49" s="1605" t="e">
        <f ca="1">C29</f>
        <v>#N/A</v>
      </c>
      <c r="R49" s="1605" t="s">
        <v>1494</v>
      </c>
    </row>
    <row r="50" spans="1:18" s="1569" customFormat="1" ht="13.5" thickBot="1">
      <c r="A50" s="1106"/>
      <c r="B50" s="1109"/>
      <c r="C50" s="1110"/>
      <c r="D50" s="1083"/>
      <c r="E50" s="1186" t="s">
        <v>1371</v>
      </c>
      <c r="F50" s="1187" t="e">
        <f ca="1">F7</f>
        <v>#N/A</v>
      </c>
      <c r="H50" s="732"/>
      <c r="I50" s="1606" t="s">
        <v>1502</v>
      </c>
      <c r="J50" s="1614">
        <f>SUMPRODUCT((I63:I65=J47)*(J62:L62=J48)*(J63:L65))</f>
        <v>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9" t="e">
        <f ca="1">F8</f>
        <v>#N/A</v>
      </c>
      <c r="I51" s="1617" t="s">
        <v>1505</v>
      </c>
      <c r="J51" s="1618">
        <f>IF(J49="",J50,J49+J50-YEAR('数据-取费表'!B2))</f>
        <v>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30.75" customHeight="1" thickBot="1">
      <c r="A53" s="1270" t="s">
        <v>1105</v>
      </c>
      <c r="B53" s="329" t="s">
        <v>1374</v>
      </c>
      <c r="C53" s="322">
        <f ca="1">ROUND(IF(F53="押一",C49/12*F11,IF(F53="押二",C49/12*2*F11,IF(F53="押三",C49/12*3*F11,C54*F11))),0)</f>
        <v>0</v>
      </c>
      <c r="D53" s="1551" t="s">
        <v>2850</v>
      </c>
      <c r="E53" s="319" t="s">
        <v>1375</v>
      </c>
      <c r="F53" s="1275"/>
      <c r="I53" s="1624" t="s">
        <v>1512</v>
      </c>
      <c r="J53" s="2387" t="e">
        <f ca="1">IF(M47="住宅",IF(D1="——",MAX(J51,L48),MAX(J51,L48-'数据-取费表'!B24)),IF(D1="——",MIN(J51,L48),MIN(J51,L48-'数据-取费表'!B24)))</f>
        <v>#N/A</v>
      </c>
      <c r="K53" s="4007" t="s">
        <v>1513</v>
      </c>
      <c r="L53" s="4008"/>
      <c r="O53" s="1603" t="s">
        <v>1014</v>
      </c>
      <c r="P53" s="1604" t="s">
        <v>1514</v>
      </c>
      <c r="Q53" s="1605" t="e">
        <f ca="1">Q47+Q48</f>
        <v>#N/A</v>
      </c>
      <c r="R53" s="1605" t="s">
        <v>1015</v>
      </c>
    </row>
    <row r="54" spans="1:18" s="1569" customFormat="1" ht="13.5" thickBot="1">
      <c r="A54" s="1105"/>
      <c r="B54" s="1659" t="s">
        <v>1568</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c r="O55" s="1596" t="s">
        <v>1487</v>
      </c>
      <c r="P55" s="1597" t="s">
        <v>1488</v>
      </c>
      <c r="Q55" s="1598" t="s">
        <v>1489</v>
      </c>
      <c r="R55" s="1598" t="s">
        <v>1490</v>
      </c>
    </row>
    <row r="56" spans="1:18" s="1569" customFormat="1" ht="36" customHeight="1" thickTop="1" thickBot="1">
      <c r="A56" s="1087">
        <v>2</v>
      </c>
      <c r="B56" s="1088" t="s">
        <v>1379</v>
      </c>
      <c r="C56" s="238" t="e">
        <f ca="1">C13</f>
        <v>#N/A</v>
      </c>
      <c r="D56" s="1632"/>
      <c r="E56" s="1633"/>
      <c r="F56" s="1625"/>
      <c r="I56" s="1634" t="s">
        <v>1519</v>
      </c>
      <c r="J56" s="1635"/>
      <c r="K56" s="1606" t="s">
        <v>1520</v>
      </c>
      <c r="L56" s="1609" t="e">
        <f ca="1">IF(L48&lt;J51,"——",L48-J51)</f>
        <v>#N/A</v>
      </c>
      <c r="O56" s="1603" t="s">
        <v>1008</v>
      </c>
      <c r="P56" s="1604" t="s">
        <v>1493</v>
      </c>
      <c r="Q56" s="1605" t="e">
        <f ca="1">C40+J29</f>
        <v>#N/A</v>
      </c>
      <c r="R56" s="1605" t="s">
        <v>1494</v>
      </c>
    </row>
    <row r="57" spans="1:18" s="1569" customFormat="1" ht="24.75" thickBot="1">
      <c r="A57" s="1636"/>
      <c r="B57" s="1080" t="s">
        <v>1443</v>
      </c>
      <c r="C57" s="244" t="e">
        <f ca="1">C29</f>
        <v>#N/A</v>
      </c>
      <c r="D57" s="1637"/>
      <c r="E57" s="1638"/>
      <c r="F57" s="1639"/>
      <c r="I57" s="1640" t="s">
        <v>1521</v>
      </c>
      <c r="J57" s="1641" t="e">
        <f ca="1">IF(OR(M47="住宅",J51&lt;L48,J56="是"),"——",J51-L48)</f>
        <v>#N/A</v>
      </c>
      <c r="K57" s="1606" t="s">
        <v>1570</v>
      </c>
      <c r="L57" s="1609" t="e">
        <f ca="1">IF(L48&lt;J51,"——",IF(L55="比较法",L49,IF(L55="基准地价",L50,L51)))</f>
        <v>#N/A</v>
      </c>
      <c r="O57" s="1603" t="s">
        <v>1009</v>
      </c>
      <c r="P57" s="1604" t="s">
        <v>1571</v>
      </c>
      <c r="Q57" s="1605" t="e">
        <f ca="1">L60</f>
        <v>#N/A</v>
      </c>
      <c r="R57" s="1605" t="s">
        <v>1572</v>
      </c>
    </row>
    <row r="58" spans="1:18" s="1569" customFormat="1" ht="24.75" thickBot="1">
      <c r="A58" s="321" t="s">
        <v>998</v>
      </c>
      <c r="B58" s="1088" t="s">
        <v>1389</v>
      </c>
      <c r="C58" s="322" t="e">
        <f ca="1">ROUND(C59+C64+C65+C66,0)</f>
        <v>#N/A</v>
      </c>
      <c r="D58" s="1090" t="s">
        <v>1390</v>
      </c>
      <c r="E58" s="1091"/>
      <c r="F58" s="1092"/>
      <c r="I58" s="1640" t="s">
        <v>1525</v>
      </c>
      <c r="J58" s="1642" t="e">
        <f ca="1">IF(J55&lt;0.4,0.4,J55)</f>
        <v>#N/A</v>
      </c>
      <c r="K58" s="1619" t="s">
        <v>1573</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IF(项目基本情况!B11="自然人","——",ROUND(C48*F60/(1+'数据-取费表'!C42),0))</f>
        <v>#N/A</v>
      </c>
      <c r="D60" s="1094" t="s">
        <v>1399</v>
      </c>
      <c r="E60" s="1080" t="s">
        <v>1387</v>
      </c>
      <c r="F60" s="337">
        <f t="shared" ref="F60:F66" si="0">F32</f>
        <v>5.5000000000000007E-2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IF(项目基本情况!B11="自然人","——",IF(D61="按租金收入计税",ROUND(C48*F61,0),IF(D61="按房产原值计税",ROUND(C57*F61*0.7,0),INDIRECT("'数据-取费表'!Aj"&amp;$G$1))))</f>
        <v>#N/A</v>
      </c>
      <c r="D61" s="1555" t="s">
        <v>1403</v>
      </c>
      <c r="E61" s="1080" t="s">
        <v>1459</v>
      </c>
      <c r="F61" s="328">
        <f t="shared" si="0"/>
        <v>1.2E-2</v>
      </c>
      <c r="I61" s="1646"/>
      <c r="J61" s="1646"/>
      <c r="K61" s="1646"/>
      <c r="L61" s="1646"/>
      <c r="O61" s="1613" t="s">
        <v>1013</v>
      </c>
      <c r="P61" s="1604" t="str">
        <f>K59</f>
        <v>建设期及建筑物耐用年限下的土地年期修正系数Kn</v>
      </c>
      <c r="Q61" s="1605" t="e">
        <f ca="1">L59</f>
        <v>#N/A</v>
      </c>
      <c r="R61" s="1605" t="s">
        <v>1534</v>
      </c>
    </row>
    <row r="62" spans="1:18" s="1569" customFormat="1" ht="13.5" thickBot="1">
      <c r="A62" s="1112" t="s">
        <v>1460</v>
      </c>
      <c r="B62" s="1079" t="s">
        <v>1461</v>
      </c>
      <c r="C62" s="25" t="e">
        <f ca="1">IF(项目基本情况!B11="自然人","——",ROUND(F62*F63,0))</f>
        <v>#N/A</v>
      </c>
      <c r="D62" s="1095" t="s">
        <v>1462</v>
      </c>
      <c r="E62" s="1080" t="s">
        <v>1463</v>
      </c>
      <c r="F62" s="331">
        <f t="shared" si="0"/>
        <v>6</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2"/>
      <c r="B63" s="1086"/>
      <c r="C63" s="29"/>
      <c r="D63" s="1096"/>
      <c r="E63" s="1080" t="s">
        <v>1464</v>
      </c>
      <c r="F63" s="309"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ROUND(C57*F64,0)</f>
        <v>#N/A</v>
      </c>
      <c r="D64" s="1094" t="s">
        <v>1467</v>
      </c>
      <c r="E64" s="1080" t="s">
        <v>1459</v>
      </c>
      <c r="F64" s="334"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ROUND(C56*F65,0)</f>
        <v>#N/A</v>
      </c>
      <c r="D65" s="1094" t="s">
        <v>1419</v>
      </c>
      <c r="E65" s="1080" t="s">
        <v>1420</v>
      </c>
      <c r="F65" s="336"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ROUND(C48*F66,0)</f>
        <v>#N/A</v>
      </c>
      <c r="D66" s="1094" t="s">
        <v>1470</v>
      </c>
      <c r="E66" s="1080" t="s">
        <v>1387</v>
      </c>
      <c r="F66" s="318" t="e">
        <f t="shared" ca="1" si="0"/>
        <v>#N/A</v>
      </c>
      <c r="O66" s="1603" t="s">
        <v>1009</v>
      </c>
      <c r="P66" s="1604" t="s">
        <v>1523</v>
      </c>
      <c r="Q66" s="1605" t="e">
        <f ca="1">L60</f>
        <v>#N/A</v>
      </c>
      <c r="R66" s="1605" t="s">
        <v>1546</v>
      </c>
    </row>
    <row r="67" spans="1:18" s="1569" customFormat="1" ht="16.5" thickBot="1">
      <c r="A67" s="1087" t="s">
        <v>999</v>
      </c>
      <c r="B67" s="1097" t="s">
        <v>1428</v>
      </c>
      <c r="C67" s="322"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7" t="e">
        <f ca="1">ROUND(C67*(1-((1+F70)/(1+F68))^F69)/(F68-F70),0)</f>
        <v>#N/A</v>
      </c>
      <c r="D68" s="1095" t="s">
        <v>1434</v>
      </c>
      <c r="E68" s="1080" t="s">
        <v>1435</v>
      </c>
      <c r="F68" s="318" t="e">
        <f ca="1">F40</f>
        <v>#N/A</v>
      </c>
      <c r="O68" s="1613" t="s">
        <v>1011</v>
      </c>
      <c r="P68" s="1652" t="s">
        <v>1548</v>
      </c>
      <c r="Q68" s="1605" t="e">
        <f ca="1">ROUND(Q69-Q70*Q71,0)</f>
        <v>#N/A</v>
      </c>
      <c r="R68" s="1605" t="s">
        <v>1019</v>
      </c>
    </row>
    <row r="69" spans="1:18" s="1569" customFormat="1" ht="13.5" thickBot="1">
      <c r="A69" s="1081"/>
      <c r="B69" s="1082"/>
      <c r="C69" s="312"/>
      <c r="D69" s="1100" t="s">
        <v>1438</v>
      </c>
      <c r="E69" s="1080" t="s">
        <v>1439</v>
      </c>
      <c r="F69" s="339" t="e">
        <f ca="1">F41</f>
        <v>#N/A</v>
      </c>
      <c r="O69" s="1613" t="s">
        <v>1016</v>
      </c>
      <c r="P69" s="1652" t="s">
        <v>1549</v>
      </c>
      <c r="Q69" s="1605" t="e">
        <f ca="1">C39</f>
        <v>#N/A</v>
      </c>
      <c r="R69" s="1605" t="s">
        <v>1494</v>
      </c>
    </row>
    <row r="70" spans="1:18" s="1569" customFormat="1" ht="13.5" thickBot="1">
      <c r="A70" s="1084"/>
      <c r="B70" s="1085"/>
      <c r="C70" s="316"/>
      <c r="D70" s="1096"/>
      <c r="E70" s="1080" t="s">
        <v>1442</v>
      </c>
      <c r="F70" s="1184" t="e">
        <f ca="1">F42</f>
        <v>#N/A</v>
      </c>
      <c r="O70" s="1613" t="s">
        <v>1017</v>
      </c>
      <c r="P70" s="1652" t="s">
        <v>1550</v>
      </c>
      <c r="Q70" s="1605" t="e">
        <f ca="1">C13</f>
        <v>#N/A</v>
      </c>
      <c r="R70" s="1605" t="s">
        <v>1494</v>
      </c>
    </row>
    <row r="71" spans="1:18" s="1569" customFormat="1" ht="13.5" thickBot="1">
      <c r="A71" s="1101" t="s">
        <v>1001</v>
      </c>
      <c r="B71" s="1102" t="s">
        <v>1452</v>
      </c>
      <c r="C71" s="342" t="e">
        <f ca="1">ROUND(C68/F71,0)</f>
        <v>#N/A</v>
      </c>
      <c r="D71" s="1103" t="s">
        <v>1453</v>
      </c>
      <c r="E71" s="1104" t="s">
        <v>1454</v>
      </c>
      <c r="F71" s="345" t="e">
        <f ca="1">F43</f>
        <v>#N/A</v>
      </c>
      <c r="O71" s="1613" t="s">
        <v>1018</v>
      </c>
      <c r="P71" s="1652" t="s">
        <v>1551</v>
      </c>
      <c r="Q71" s="1616" t="e">
        <f ca="1">C76</f>
        <v>#N/A</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#N/A</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#N/A</v>
      </c>
      <c r="R74" s="1605" t="s">
        <v>1534</v>
      </c>
    </row>
    <row r="75" spans="1:18" ht="13.5" thickBot="1">
      <c r="A75" s="1569"/>
      <c r="B75" s="346" t="s">
        <v>1471</v>
      </c>
      <c r="C75" s="347" t="e">
        <f ca="1">ROUND(C13*C76,0)</f>
        <v>#N/A</v>
      </c>
      <c r="D75" s="1569"/>
      <c r="E75" s="1569"/>
      <c r="F75" s="1569"/>
      <c r="K75" s="1587"/>
      <c r="L75" s="1569"/>
      <c r="O75" s="1603" t="s">
        <v>1014</v>
      </c>
      <c r="P75" s="1604" t="s">
        <v>1514</v>
      </c>
      <c r="Q75" s="1605" t="e">
        <f ca="1">Q65+Q66</f>
        <v>#N/A</v>
      </c>
      <c r="R75" s="1605" t="s">
        <v>1015</v>
      </c>
    </row>
    <row r="76" spans="1:18">
      <c r="B76" s="348" t="s">
        <v>1472</v>
      </c>
      <c r="C76" s="349" t="e">
        <f ca="1">INDIRECT("'数据-取费表'!j"&amp;$G$1)</f>
        <v>#N/A</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2336</v>
      </c>
      <c r="B1" s="2055"/>
      <c r="C1" s="2055"/>
      <c r="D1" s="2055"/>
      <c r="E1" s="2056"/>
      <c r="F1" s="2933"/>
      <c r="G1" s="1675"/>
      <c r="H1" s="1675"/>
      <c r="I1" s="1675"/>
      <c r="J1" s="1675"/>
      <c r="K1" s="1675"/>
      <c r="L1" s="1675"/>
      <c r="M1" s="1675"/>
      <c r="N1" s="1675"/>
      <c r="O1" s="1675"/>
      <c r="P1" s="1675"/>
      <c r="Q1" s="1675"/>
      <c r="R1" s="1675"/>
      <c r="S1" s="1675"/>
    </row>
    <row r="2" spans="1:22" ht="15.75">
      <c r="A2" s="2057" t="s">
        <v>2140</v>
      </c>
      <c r="B2" s="2058">
        <f ca="1">SUMIF(B6:B13,"&lt;&gt;#ref!",B6:B13)</f>
        <v>0</v>
      </c>
      <c r="C2" s="2059" t="s">
        <v>2329</v>
      </c>
      <c r="D2" s="2060" t="s">
        <v>2330</v>
      </c>
      <c r="E2" s="2831">
        <f>SUM(E6:E13)</f>
        <v>0</v>
      </c>
      <c r="F2" s="2933"/>
      <c r="G2" s="1675"/>
      <c r="H2" s="1675"/>
      <c r="I2" s="1675"/>
      <c r="J2" s="1675"/>
      <c r="K2" s="1675"/>
      <c r="L2" s="1675"/>
      <c r="M2" s="1675"/>
      <c r="N2" s="1675"/>
      <c r="O2" s="1675"/>
      <c r="P2" s="1675"/>
      <c r="Q2" s="1675"/>
      <c r="R2" s="1675"/>
      <c r="S2" s="1675"/>
    </row>
    <row r="3" spans="1:22" ht="15.75">
      <c r="A3" s="2057" t="s">
        <v>1360</v>
      </c>
      <c r="B3" s="2825" t="e">
        <f ca="1">ROUND(B2*10000/E2,0)</f>
        <v>#DIV/0!</v>
      </c>
      <c r="C3" s="2059" t="s">
        <v>2337</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2331</v>
      </c>
      <c r="B5" s="4012" t="s">
        <v>2332</v>
      </c>
      <c r="C5" s="4013"/>
      <c r="D5" s="2934"/>
      <c r="E5" s="2061" t="s">
        <v>2333</v>
      </c>
      <c r="F5" s="2062" t="s">
        <v>2334</v>
      </c>
      <c r="G5" s="1675"/>
      <c r="H5" s="1675"/>
      <c r="I5" s="1675"/>
      <c r="J5" s="1675"/>
      <c r="K5" s="1675"/>
      <c r="L5" s="1675"/>
      <c r="M5" s="1675"/>
      <c r="N5" s="1675"/>
      <c r="O5" s="1675"/>
      <c r="P5" s="1675"/>
      <c r="Q5" s="1675"/>
      <c r="R5" s="1675"/>
      <c r="S5" s="1675"/>
    </row>
    <row r="6" spans="1:22">
      <c r="A6" s="2828">
        <f>'数据-取费表'!AN6</f>
        <v>0</v>
      </c>
      <c r="B6" s="2826" t="e">
        <f ca="1">IF(F6="是",'数据-取费表'!AO6,0)</f>
        <v>#REF!</v>
      </c>
      <c r="C6" s="2059" t="s">
        <v>2329</v>
      </c>
      <c r="D6" s="2935"/>
      <c r="E6" s="2830">
        <f>IF(OR(A6=0,F6="否"),0,'数据-取费表'!K6+'数据-取费表'!S6)</f>
        <v>0</v>
      </c>
      <c r="F6" s="2063" t="s">
        <v>2335</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2329</v>
      </c>
      <c r="D7" s="2935"/>
      <c r="E7" s="2830">
        <f>IF(OR(A7=0,F7="否"),0,'数据-取费表'!K7+'数据-取费表'!S7)</f>
        <v>0</v>
      </c>
      <c r="F7" s="2063" t="s">
        <v>2335</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2329</v>
      </c>
      <c r="D8" s="2935"/>
      <c r="E8" s="2830">
        <f>IF(OR(A8=0,F8="否"),0,'数据-取费表'!K8+'数据-取费表'!S8)</f>
        <v>0</v>
      </c>
      <c r="F8" s="2063" t="s">
        <v>2335</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2329</v>
      </c>
      <c r="D9" s="2935"/>
      <c r="E9" s="2830">
        <f>IF(OR(A9=0,F9="否"),0,'数据-取费表'!K9+'数据-取费表'!S9)</f>
        <v>0</v>
      </c>
      <c r="F9" s="2063" t="s">
        <v>2335</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2329</v>
      </c>
      <c r="D10" s="2935"/>
      <c r="E10" s="2830">
        <f>IF(OR(A10=0,F10="否"),0,'数据-取费表'!K10+'数据-取费表'!S10)</f>
        <v>0</v>
      </c>
      <c r="F10" s="2063" t="s">
        <v>2335</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2329</v>
      </c>
      <c r="D11" s="2935"/>
      <c r="E11" s="2830">
        <f>IF(OR(A11=0,F11="否"),0,'数据-取费表'!K11+'数据-取费表'!S11)</f>
        <v>0</v>
      </c>
      <c r="F11" s="2063" t="s">
        <v>2335</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2329</v>
      </c>
      <c r="D12" s="2935"/>
      <c r="E12" s="2830">
        <f>IF(OR(A12=0,F12="否"),0,'数据-取费表'!K12+'数据-取费表'!S12)</f>
        <v>0</v>
      </c>
      <c r="F12" s="2063" t="s">
        <v>2335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2329</v>
      </c>
      <c r="D13" s="2936"/>
      <c r="E13" s="2830">
        <f>IF(OR(A13=0,F13="否"),0,'数据-取费表'!K13+'数据-取费表'!S13)</f>
        <v>0</v>
      </c>
      <c r="F13" s="2063" t="s">
        <v>2335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014" t="s">
        <v>1044</v>
      </c>
      <c r="B1" s="4015"/>
      <c r="C1" s="4016"/>
      <c r="D1" s="4017">
        <f>SUM(I10,I15,I20,I21,I23)</f>
        <v>0</v>
      </c>
      <c r="E1" s="4017"/>
      <c r="F1" s="4017"/>
      <c r="G1" s="4017"/>
      <c r="H1" s="4017"/>
      <c r="I1" s="4018"/>
    </row>
    <row r="2" spans="1:9">
      <c r="A2" s="4019" t="s">
        <v>1045</v>
      </c>
      <c r="B2" s="4020" t="s">
        <v>1046</v>
      </c>
      <c r="C2" s="4020"/>
      <c r="D2" s="1210" t="s">
        <v>1047</v>
      </c>
      <c r="E2" s="1210" t="s">
        <v>1048</v>
      </c>
      <c r="F2" s="1210" t="s">
        <v>1049</v>
      </c>
      <c r="G2" s="1210" t="s">
        <v>1050</v>
      </c>
      <c r="H2" s="1210" t="s">
        <v>1051</v>
      </c>
      <c r="I2" s="1211" t="s">
        <v>1052</v>
      </c>
    </row>
    <row r="3" spans="1:9">
      <c r="A3" s="4019"/>
      <c r="B3" s="4020" t="s">
        <v>1053</v>
      </c>
      <c r="C3" s="4020"/>
      <c r="D3" s="1212"/>
      <c r="E3" s="1210"/>
      <c r="F3" s="1213"/>
      <c r="G3" s="1213"/>
      <c r="H3" s="1214"/>
      <c r="I3" s="1215">
        <f>ROUND(D3*E3*F3*G3*H3/10000,0)</f>
        <v>0</v>
      </c>
    </row>
    <row r="4" spans="1:9">
      <c r="A4" s="4019"/>
      <c r="B4" s="4020" t="s">
        <v>1054</v>
      </c>
      <c r="C4" s="4020"/>
      <c r="D4" s="1212"/>
      <c r="E4" s="1210"/>
      <c r="F4" s="1213"/>
      <c r="G4" s="1213"/>
      <c r="H4" s="1214"/>
      <c r="I4" s="1215">
        <f t="shared" ref="I4:I9" si="0">ROUND(D4*E4*F4*G4*H4/10000,0)</f>
        <v>0</v>
      </c>
    </row>
    <row r="5" spans="1:9">
      <c r="A5" s="4019"/>
      <c r="B5" s="4020" t="s">
        <v>1055</v>
      </c>
      <c r="C5" s="4020"/>
      <c r="D5" s="1212"/>
      <c r="E5" s="1210"/>
      <c r="F5" s="1213"/>
      <c r="G5" s="1213"/>
      <c r="H5" s="1214"/>
      <c r="I5" s="1215">
        <f t="shared" si="0"/>
        <v>0</v>
      </c>
    </row>
    <row r="6" spans="1:9">
      <c r="A6" s="4019"/>
      <c r="B6" s="4020" t="s">
        <v>1056</v>
      </c>
      <c r="C6" s="4020"/>
      <c r="D6" s="1212"/>
      <c r="E6" s="1210"/>
      <c r="F6" s="1213"/>
      <c r="G6" s="1213"/>
      <c r="H6" s="1214"/>
      <c r="I6" s="1215">
        <f t="shared" si="0"/>
        <v>0</v>
      </c>
    </row>
    <row r="7" spans="1:9">
      <c r="A7" s="4019"/>
      <c r="B7" s="4020" t="s">
        <v>1057</v>
      </c>
      <c r="C7" s="4020"/>
      <c r="D7" s="1212"/>
      <c r="E7" s="1210"/>
      <c r="F7" s="1213"/>
      <c r="G7" s="1213"/>
      <c r="H7" s="1214"/>
      <c r="I7" s="1215">
        <f t="shared" si="0"/>
        <v>0</v>
      </c>
    </row>
    <row r="8" spans="1:9">
      <c r="A8" s="4019"/>
      <c r="B8" s="4020" t="s">
        <v>1058</v>
      </c>
      <c r="C8" s="4020"/>
      <c r="D8" s="1212"/>
      <c r="E8" s="1210"/>
      <c r="F8" s="1213"/>
      <c r="G8" s="1213"/>
      <c r="H8" s="1214"/>
      <c r="I8" s="1215">
        <f t="shared" si="0"/>
        <v>0</v>
      </c>
    </row>
    <row r="9" spans="1:9">
      <c r="A9" s="4019"/>
      <c r="B9" s="4020" t="s">
        <v>1059</v>
      </c>
      <c r="C9" s="4020"/>
      <c r="D9" s="1212"/>
      <c r="E9" s="1210"/>
      <c r="F9" s="1213"/>
      <c r="G9" s="1213"/>
      <c r="H9" s="1214"/>
      <c r="I9" s="1215">
        <f t="shared" si="0"/>
        <v>0</v>
      </c>
    </row>
    <row r="10" spans="1:9">
      <c r="A10" s="4019"/>
      <c r="B10" s="4021" t="s">
        <v>1060</v>
      </c>
      <c r="C10" s="4021"/>
      <c r="D10" s="1216"/>
      <c r="E10" s="1216" t="e">
        <f>ROUND(D1*10000/D10/H9,0)</f>
        <v>#DIV/0!</v>
      </c>
      <c r="F10" s="1217"/>
      <c r="G10" s="1217"/>
      <c r="H10" s="1218"/>
      <c r="I10" s="1219">
        <f>SUM(I3:I9)</f>
        <v>0</v>
      </c>
    </row>
    <row r="11" spans="1:9" ht="14.25">
      <c r="A11" s="4019" t="s">
        <v>1061</v>
      </c>
      <c r="B11" s="4020" t="s">
        <v>1062</v>
      </c>
      <c r="C11" s="4020"/>
      <c r="D11" s="1212" t="s">
        <v>1063</v>
      </c>
      <c r="E11" s="1212" t="s">
        <v>1064</v>
      </c>
      <c r="F11" s="1213" t="s">
        <v>1065</v>
      </c>
      <c r="G11" s="1213" t="s">
        <v>1051</v>
      </c>
      <c r="H11" s="1220" t="s">
        <v>1066</v>
      </c>
      <c r="I11" s="1211" t="s">
        <v>1052</v>
      </c>
    </row>
    <row r="12" spans="1:9">
      <c r="A12" s="4019"/>
      <c r="B12" s="4020" t="s">
        <v>1067</v>
      </c>
      <c r="C12" s="4020"/>
      <c r="D12" s="1212"/>
      <c r="E12" s="1212"/>
      <c r="F12" s="1213"/>
      <c r="G12" s="1214"/>
      <c r="H12" s="1221"/>
      <c r="I12" s="1211">
        <f>ROUND(D12*E12*F12*G12/10000,0)</f>
        <v>0</v>
      </c>
    </row>
    <row r="13" spans="1:9">
      <c r="A13" s="4019"/>
      <c r="B13" s="4020" t="s">
        <v>1068</v>
      </c>
      <c r="C13" s="4020"/>
      <c r="D13" s="1212"/>
      <c r="E13" s="1212"/>
      <c r="F13" s="1213"/>
      <c r="G13" s="1214"/>
      <c r="H13" s="1221"/>
      <c r="I13" s="1211">
        <f>ROUND(D13*E13*F13*G13/10000,0)</f>
        <v>0</v>
      </c>
    </row>
    <row r="14" spans="1:9">
      <c r="A14" s="4019"/>
      <c r="B14" s="4020" t="s">
        <v>1069</v>
      </c>
      <c r="C14" s="4020"/>
      <c r="D14" s="1212"/>
      <c r="E14" s="1212"/>
      <c r="F14" s="1213"/>
      <c r="G14" s="1214"/>
      <c r="H14" s="1221"/>
      <c r="I14" s="1211">
        <f>ROUND(D14*E14*F14*G14/10000,0)</f>
        <v>0</v>
      </c>
    </row>
    <row r="15" spans="1:9">
      <c r="A15" s="4019"/>
      <c r="B15" s="4021" t="s">
        <v>1060</v>
      </c>
      <c r="C15" s="4021"/>
      <c r="D15" s="1216"/>
      <c r="E15" s="1216">
        <f>SUM(E12:E14)</f>
        <v>0</v>
      </c>
      <c r="F15" s="1217"/>
      <c r="G15" s="1214"/>
      <c r="H15" s="1221"/>
      <c r="I15" s="1222">
        <f>SUM(I12:I14)</f>
        <v>0</v>
      </c>
    </row>
    <row r="16" spans="1:9" ht="24">
      <c r="A16" s="4019" t="s">
        <v>1070</v>
      </c>
      <c r="B16" s="4020" t="s">
        <v>1071</v>
      </c>
      <c r="C16" s="4020"/>
      <c r="D16" s="1212" t="s">
        <v>1047</v>
      </c>
      <c r="E16" s="1223" t="s">
        <v>1072</v>
      </c>
      <c r="F16" s="1213" t="s">
        <v>1073</v>
      </c>
      <c r="G16" s="1214" t="s">
        <v>1051</v>
      </c>
      <c r="H16" s="1220" t="s">
        <v>1066</v>
      </c>
      <c r="I16" s="1211" t="s">
        <v>1052</v>
      </c>
    </row>
    <row r="17" spans="1:9" ht="14.25">
      <c r="A17" s="4019"/>
      <c r="B17" s="4020" t="s">
        <v>1074</v>
      </c>
      <c r="C17" s="4020"/>
      <c r="D17" s="1212"/>
      <c r="E17" s="1212"/>
      <c r="F17" s="1213"/>
      <c r="G17" s="1214"/>
      <c r="H17" s="1224"/>
      <c r="I17" s="1225">
        <f>ROUND(D17*E17*F17*G17/10000,0)</f>
        <v>0</v>
      </c>
    </row>
    <row r="18" spans="1:9" ht="14.25">
      <c r="A18" s="4019"/>
      <c r="B18" s="4020" t="s">
        <v>1075</v>
      </c>
      <c r="C18" s="4020"/>
      <c r="D18" s="1212"/>
      <c r="E18" s="1212"/>
      <c r="F18" s="1213"/>
      <c r="G18" s="1214"/>
      <c r="H18" s="1224"/>
      <c r="I18" s="1225">
        <f>ROUND(D18*E18*F18*G18/10000,0)</f>
        <v>0</v>
      </c>
    </row>
    <row r="19" spans="1:9" ht="14.25">
      <c r="A19" s="4019"/>
      <c r="B19" s="4020" t="s">
        <v>1076</v>
      </c>
      <c r="C19" s="4020"/>
      <c r="D19" s="1212"/>
      <c r="E19" s="1212"/>
      <c r="F19" s="1213"/>
      <c r="G19" s="1214"/>
      <c r="H19" s="1224"/>
      <c r="I19" s="1225">
        <f>ROUND(D19*E19*F19*G19/10000,0)</f>
        <v>0</v>
      </c>
    </row>
    <row r="20" spans="1:9">
      <c r="A20" s="4019"/>
      <c r="B20" s="4021" t="s">
        <v>1060</v>
      </c>
      <c r="C20" s="4021"/>
      <c r="D20" s="1216">
        <f>SUM(D17:D19)</f>
        <v>0</v>
      </c>
      <c r="E20" s="1216"/>
      <c r="F20" s="1217"/>
      <c r="G20" s="1214"/>
      <c r="H20" s="1221"/>
      <c r="I20" s="1222">
        <f>SUM(I17:I19)</f>
        <v>0</v>
      </c>
    </row>
    <row r="21" spans="1:9">
      <c r="A21" s="4019" t="s">
        <v>1077</v>
      </c>
      <c r="B21" s="4023"/>
      <c r="C21" s="4023"/>
      <c r="D21" s="4023"/>
      <c r="E21" s="4023"/>
      <c r="F21" s="4023"/>
      <c r="G21" s="4023"/>
      <c r="H21" s="1503">
        <v>0.1</v>
      </c>
      <c r="I21" s="1219">
        <f>ROUND(I10*H21,0)</f>
        <v>0</v>
      </c>
    </row>
    <row r="22" spans="1:9" ht="14.25">
      <c r="A22" s="4024" t="s">
        <v>1078</v>
      </c>
      <c r="B22" s="4025"/>
      <c r="C22" s="4026"/>
      <c r="D22" s="1226" t="s">
        <v>1079</v>
      </c>
      <c r="E22" s="1226" t="s">
        <v>1080</v>
      </c>
      <c r="F22" s="1227" t="s">
        <v>1081</v>
      </c>
      <c r="G22" s="1227" t="s">
        <v>1082</v>
      </c>
      <c r="H22" s="1220" t="s">
        <v>1083</v>
      </c>
      <c r="I22" s="1211" t="s">
        <v>1084</v>
      </c>
    </row>
    <row r="23" spans="1:9" ht="14.25" thickBot="1">
      <c r="A23" s="4027"/>
      <c r="B23" s="4028"/>
      <c r="C23" s="4029"/>
      <c r="D23" s="1228"/>
      <c r="E23" s="1228"/>
      <c r="F23" s="1228"/>
      <c r="G23" s="1229"/>
      <c r="H23" s="1230"/>
      <c r="I23" s="1231">
        <f>ROUND(E23*D23*F23*(1-G23)/10000,0)</f>
        <v>0</v>
      </c>
    </row>
    <row r="26" spans="1:9">
      <c r="A26" s="1232" t="s">
        <v>1085</v>
      </c>
      <c r="B26" s="1232"/>
      <c r="C26" s="1232"/>
      <c r="D26" s="1232"/>
      <c r="E26" s="4030">
        <f>C27-C30-C31-C32</f>
        <v>0</v>
      </c>
      <c r="F26" s="4030"/>
      <c r="G26" s="4030"/>
      <c r="H26" s="1500" t="s">
        <v>1306</v>
      </c>
    </row>
    <row r="27" spans="1:9">
      <c r="A27" s="1233">
        <v>1</v>
      </c>
      <c r="B27" s="1234" t="s">
        <v>1086</v>
      </c>
      <c r="C27" s="1234">
        <f>C28+C29</f>
        <v>0</v>
      </c>
      <c r="D27" s="1234"/>
      <c r="E27" s="4031"/>
      <c r="F27" s="4031"/>
      <c r="G27" s="4031"/>
    </row>
    <row r="28" spans="1:9">
      <c r="A28" s="1235" t="s">
        <v>1087</v>
      </c>
      <c r="B28" s="1234" t="s">
        <v>1088</v>
      </c>
      <c r="C28" s="1234"/>
      <c r="D28" s="1234"/>
      <c r="E28" s="4031"/>
      <c r="F28" s="4031"/>
      <c r="G28" s="403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4022"/>
      <c r="F32" s="4022"/>
      <c r="G32" s="4022"/>
    </row>
    <row r="33" spans="1:7" hidden="1">
      <c r="A33" s="4032" t="s">
        <v>1097</v>
      </c>
      <c r="B33" s="4033"/>
      <c r="C33" s="4033"/>
      <c r="D33" s="4034"/>
      <c r="E33" s="4030"/>
      <c r="F33" s="4030"/>
      <c r="G33" s="4030"/>
    </row>
    <row r="34" spans="1:7" hidden="1">
      <c r="A34" s="1237">
        <v>1</v>
      </c>
      <c r="B34" s="1234" t="s">
        <v>1098</v>
      </c>
      <c r="C34" s="1234"/>
      <c r="D34" s="1234"/>
      <c r="E34" s="4031"/>
      <c r="F34" s="4031"/>
      <c r="G34" s="4031"/>
    </row>
    <row r="35" spans="1:7" hidden="1">
      <c r="A35" s="1237">
        <v>2</v>
      </c>
      <c r="B35" s="1234" t="s">
        <v>1099</v>
      </c>
      <c r="C35" s="1234"/>
      <c r="D35" s="1234"/>
      <c r="E35" s="4031"/>
      <c r="F35" s="4031"/>
      <c r="G35" s="4031"/>
    </row>
    <row r="36" spans="1:7" hidden="1">
      <c r="A36" s="1237">
        <v>3</v>
      </c>
      <c r="B36" s="1234" t="s">
        <v>1100</v>
      </c>
      <c r="C36" s="1234"/>
      <c r="D36" s="1234"/>
      <c r="E36" s="4031"/>
      <c r="F36" s="4031"/>
      <c r="G36" s="4031"/>
    </row>
    <row r="37" spans="1:7" hidden="1">
      <c r="A37" s="1237">
        <v>4</v>
      </c>
      <c r="B37" s="1234" t="s">
        <v>1101</v>
      </c>
      <c r="C37" s="1234"/>
      <c r="D37" s="1234"/>
      <c r="E37" s="4031"/>
      <c r="F37" s="4031"/>
      <c r="G37" s="4031"/>
    </row>
    <row r="38" spans="1:7" hidden="1">
      <c r="A38" s="4032" t="s">
        <v>1102</v>
      </c>
      <c r="B38" s="4033"/>
      <c r="C38" s="4033"/>
      <c r="D38" s="4034"/>
      <c r="E38" s="4030"/>
      <c r="F38" s="4030"/>
      <c r="G38" s="40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J25" sqref="J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2338</v>
      </c>
      <c r="B1" s="2065" t="s">
        <v>2339</v>
      </c>
      <c r="C1" s="1405" t="s">
        <v>2340</v>
      </c>
      <c r="D1" s="1392"/>
      <c r="E1" s="2545"/>
      <c r="F1" s="2066" t="s">
        <v>2341</v>
      </c>
      <c r="G1" s="1402" t="s">
        <v>2342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2343</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2344</v>
      </c>
      <c r="D3" s="359">
        <f>IF(D1="",'数据-汇总表'!E3,SUMIF('数据-汇总表'!$C19:$C33,D1,'数据-汇总表'!$E19:$E33))</f>
        <v>714394.25</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1" t="s">
        <v>2345</v>
      </c>
      <c r="B4" s="362"/>
      <c r="C4" s="3979" t="s">
        <v>2346</v>
      </c>
      <c r="D4" s="3980"/>
      <c r="E4" s="3981" t="s">
        <v>2347</v>
      </c>
      <c r="F4" s="3982"/>
      <c r="G4" s="3979" t="s">
        <v>2348</v>
      </c>
      <c r="H4" s="3980"/>
      <c r="I4" s="3979" t="s">
        <v>2349</v>
      </c>
      <c r="J4" s="3980"/>
      <c r="K4" s="2076" t="s">
        <v>2350</v>
      </c>
      <c r="L4" s="2941"/>
      <c r="M4" s="2942"/>
      <c r="N4" s="2942"/>
      <c r="O4" s="2942"/>
      <c r="P4" s="3983" t="s">
        <v>2351</v>
      </c>
      <c r="Q4" s="3984"/>
      <c r="R4" s="3966" t="s">
        <v>2347</v>
      </c>
      <c r="S4" s="3967"/>
      <c r="T4" s="3966" t="s">
        <v>2348</v>
      </c>
      <c r="U4" s="3967"/>
      <c r="V4" s="3991" t="s">
        <v>2349</v>
      </c>
      <c r="W4" s="3991"/>
      <c r="X4" s="1540"/>
      <c r="Y4" s="3966" t="s">
        <v>2351</v>
      </c>
      <c r="Z4" s="3967"/>
      <c r="AA4" s="3961" t="s">
        <v>2347</v>
      </c>
      <c r="AB4" s="3961" t="s">
        <v>2348</v>
      </c>
      <c r="AC4" s="3961" t="s">
        <v>2349</v>
      </c>
    </row>
    <row r="5" spans="1:29" ht="15">
      <c r="A5" s="364"/>
      <c r="B5" s="365"/>
      <c r="C5" s="3972" t="s">
        <v>2352</v>
      </c>
      <c r="D5" s="3973"/>
      <c r="E5" s="3970" t="s">
        <v>2353</v>
      </c>
      <c r="F5" s="3971"/>
      <c r="G5" s="3972" t="s">
        <v>2354</v>
      </c>
      <c r="H5" s="3973"/>
      <c r="I5" s="3972" t="s">
        <v>2355</v>
      </c>
      <c r="J5" s="3973"/>
      <c r="K5" s="2077"/>
      <c r="L5" s="2941"/>
      <c r="M5" s="2942"/>
      <c r="N5" s="2942"/>
      <c r="O5" s="2942"/>
      <c r="P5" s="3985"/>
      <c r="Q5" s="3986"/>
      <c r="R5" s="3968"/>
      <c r="S5" s="3969"/>
      <c r="T5" s="3968"/>
      <c r="U5" s="3969"/>
      <c r="V5" s="3991"/>
      <c r="W5" s="3991"/>
      <c r="X5" s="1540"/>
      <c r="Y5" s="3968"/>
      <c r="Z5" s="3969"/>
      <c r="AA5" s="3962"/>
      <c r="AB5" s="3962"/>
      <c r="AC5" s="3962"/>
    </row>
    <row r="6" spans="1:29" ht="15.75" thickBot="1">
      <c r="A6" s="366"/>
      <c r="B6" s="367"/>
      <c r="C6" s="3974" t="s">
        <v>2356</v>
      </c>
      <c r="D6" s="3975"/>
      <c r="E6" s="3976" t="s">
        <v>2356</v>
      </c>
      <c r="F6" s="3977"/>
      <c r="G6" s="3974" t="s">
        <v>2356</v>
      </c>
      <c r="H6" s="3975"/>
      <c r="I6" s="3974" t="s">
        <v>2356</v>
      </c>
      <c r="J6" s="3975"/>
      <c r="K6" s="2077" t="s">
        <v>2357</v>
      </c>
      <c r="L6" s="2941"/>
      <c r="M6" s="2942"/>
      <c r="N6" s="2942"/>
      <c r="O6" s="2942"/>
      <c r="P6" s="3987"/>
      <c r="Q6" s="3988"/>
      <c r="R6" s="3968"/>
      <c r="S6" s="3969"/>
      <c r="T6" s="3989"/>
      <c r="U6" s="3990"/>
      <c r="V6" s="3991"/>
      <c r="W6" s="3991"/>
      <c r="X6" s="1540"/>
      <c r="Y6" s="3989"/>
      <c r="Z6" s="3990"/>
      <c r="AA6" s="3963"/>
      <c r="AB6" s="3963"/>
      <c r="AC6" s="3963"/>
    </row>
    <row r="7" spans="1:29" s="113" customFormat="1" ht="15.75" thickBot="1">
      <c r="A7" s="368" t="s">
        <v>2358</v>
      </c>
      <c r="B7" s="369"/>
      <c r="C7" s="370">
        <f>'数据-取费表'!B2</f>
        <v>44186</v>
      </c>
      <c r="D7" s="371">
        <v>100</v>
      </c>
      <c r="E7" s="372"/>
      <c r="F7" s="373">
        <f>SUMIF(58:58,YEAR(E7)&amp;"-"&amp;MONTH(E7),59:59)</f>
        <v>0</v>
      </c>
      <c r="G7" s="372"/>
      <c r="H7" s="371">
        <f>SUMIF(58:58,YEAR(G7)&amp;"-"&amp;MONTH(G7),59:59)</f>
        <v>0</v>
      </c>
      <c r="I7" s="372"/>
      <c r="J7" s="371">
        <f>SUMIF(58:58,YEAR(I7)&amp;"-"&amp;MONTH(I7),59:59)</f>
        <v>0</v>
      </c>
      <c r="K7" s="2078"/>
      <c r="L7" s="2943"/>
      <c r="M7" s="2944"/>
      <c r="N7" s="2944"/>
      <c r="O7" s="2944"/>
      <c r="P7" s="3964" t="s">
        <v>2359</v>
      </c>
      <c r="Q7" s="3992"/>
      <c r="R7" s="710" t="s">
        <v>23</v>
      </c>
      <c r="S7" s="711">
        <f t="shared" ref="S7:S15" si="0">F7</f>
        <v>0</v>
      </c>
      <c r="T7" s="710" t="s">
        <v>23</v>
      </c>
      <c r="U7" s="711">
        <f t="shared" ref="U7:U15" si="1">H7</f>
        <v>0</v>
      </c>
      <c r="V7" s="710" t="s">
        <v>23</v>
      </c>
      <c r="W7" s="711">
        <f t="shared" ref="W7:W15" si="2">J7</f>
        <v>0</v>
      </c>
      <c r="X7" s="712"/>
      <c r="Y7" s="3964" t="s">
        <v>2359</v>
      </c>
      <c r="Z7" s="3965"/>
      <c r="AA7" s="713" t="e">
        <f>D7/F7</f>
        <v>#DIV/0!</v>
      </c>
      <c r="AB7" s="713" t="e">
        <f>D7/H7</f>
        <v>#DIV/0!</v>
      </c>
      <c r="AC7" s="713" t="e">
        <f>D7/J7</f>
        <v>#DIV/0!</v>
      </c>
    </row>
    <row r="8" spans="1:29" s="113" customFormat="1" ht="15.75" thickBot="1">
      <c r="A8" s="368" t="s">
        <v>2360</v>
      </c>
      <c r="B8" s="369"/>
      <c r="C8" s="374" t="s">
        <v>2361</v>
      </c>
      <c r="D8" s="371">
        <v>100</v>
      </c>
      <c r="E8" s="2079"/>
      <c r="F8" s="373">
        <f>SUMIF(61:61,E8,62:62)-SUMIF(61:61,C8,62:62)+100</f>
        <v>0</v>
      </c>
      <c r="G8" s="374"/>
      <c r="H8" s="371">
        <f>SUMIF(61:61,G8,62:62)-SUMIF(61:61,C8,62:62)+100</f>
        <v>0</v>
      </c>
      <c r="I8" s="2079"/>
      <c r="J8" s="371">
        <f>SUMIF(61:61,I8,62:62)-SUMIF(61:61,C8,62:62)+100</f>
        <v>0</v>
      </c>
      <c r="K8" s="2078"/>
      <c r="L8" s="2943"/>
      <c r="M8" s="2944"/>
      <c r="N8" s="2944"/>
      <c r="O8" s="2944"/>
      <c r="P8" s="3964" t="s">
        <v>2362</v>
      </c>
      <c r="Q8" s="3965"/>
      <c r="R8" s="710" t="s">
        <v>23</v>
      </c>
      <c r="S8" s="711">
        <f t="shared" si="0"/>
        <v>0</v>
      </c>
      <c r="T8" s="710" t="s">
        <v>23</v>
      </c>
      <c r="U8" s="711">
        <f t="shared" si="1"/>
        <v>0</v>
      </c>
      <c r="V8" s="710" t="s">
        <v>23</v>
      </c>
      <c r="W8" s="711">
        <f t="shared" si="2"/>
        <v>0</v>
      </c>
      <c r="X8" s="712"/>
      <c r="Y8" s="3964" t="s">
        <v>2362</v>
      </c>
      <c r="Z8" s="3965"/>
      <c r="AA8" s="713" t="e">
        <f t="shared" ref="AA8:AA19" si="3">D8/F8</f>
        <v>#DIV/0!</v>
      </c>
      <c r="AB8" s="713" t="e">
        <f t="shared" ref="AB8:AB19" si="4">D8/H8</f>
        <v>#DIV/0!</v>
      </c>
      <c r="AC8" s="713" t="e">
        <f t="shared" ref="AC8:AC19" si="5">D8/J8</f>
        <v>#DIV/0!</v>
      </c>
    </row>
    <row r="9" spans="1:29" s="113" customFormat="1">
      <c r="A9" s="375" t="s">
        <v>2363</v>
      </c>
      <c r="B9" s="67" t="s">
        <v>2364</v>
      </c>
      <c r="C9" s="376"/>
      <c r="D9" s="131">
        <v>100</v>
      </c>
      <c r="E9" s="377"/>
      <c r="F9" s="378">
        <f>SUMIF(63:63,E9,64:64)-SUMIF(63:63,C9,64:64)+100</f>
        <v>100</v>
      </c>
      <c r="G9" s="379"/>
      <c r="H9" s="131">
        <f>SUMIF(63:63,G9,64:64)-SUMIF(63:63,C9,64:64)+100</f>
        <v>100</v>
      </c>
      <c r="I9" s="379"/>
      <c r="J9" s="131">
        <f>SUMIF(63:63,I9,64:64)-SUMIF(63:63,C9,64:64)+100</f>
        <v>100</v>
      </c>
      <c r="K9" s="2078"/>
      <c r="L9" s="2943"/>
      <c r="M9" s="2944"/>
      <c r="N9" s="2944"/>
      <c r="O9" s="2944"/>
      <c r="P9" s="4002"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713">
        <f t="shared" si="5"/>
        <v>1</v>
      </c>
    </row>
    <row r="10" spans="1:29" s="386" customFormat="1" ht="27">
      <c r="A10" s="380"/>
      <c r="B10" s="381" t="s">
        <v>2367</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4002"/>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713">
        <f t="shared" si="5"/>
        <v>1</v>
      </c>
    </row>
    <row r="11" spans="1:29" ht="15">
      <c r="A11" s="387"/>
      <c r="B11" s="381" t="s">
        <v>2368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4002"/>
      <c r="Q11" s="1528" t="str">
        <f t="shared" si="6"/>
        <v>容积率</v>
      </c>
      <c r="R11" s="710" t="s">
        <v>21</v>
      </c>
      <c r="S11" s="711" t="e">
        <f t="shared" si="0"/>
        <v>#N/A</v>
      </c>
      <c r="T11" s="710" t="s">
        <v>21</v>
      </c>
      <c r="U11" s="711" t="e">
        <f t="shared" si="1"/>
        <v>#N/A</v>
      </c>
      <c r="V11" s="710" t="s">
        <v>21</v>
      </c>
      <c r="W11" s="711" t="e">
        <f t="shared" si="2"/>
        <v>#N/A</v>
      </c>
      <c r="X11" s="712"/>
      <c r="Y11" s="3937"/>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4002"/>
      <c r="Q12" s="1528">
        <f t="shared" si="6"/>
        <v>111</v>
      </c>
      <c r="R12" s="710" t="s">
        <v>21</v>
      </c>
      <c r="S12" s="711">
        <f t="shared" si="0"/>
        <v>100</v>
      </c>
      <c r="T12" s="710" t="s">
        <v>21</v>
      </c>
      <c r="U12" s="711">
        <f t="shared" si="1"/>
        <v>100</v>
      </c>
      <c r="V12" s="710" t="s">
        <v>21</v>
      </c>
      <c r="W12" s="711">
        <f t="shared" si="2"/>
        <v>100</v>
      </c>
      <c r="X12" s="712"/>
      <c r="Y12" s="393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4002"/>
      <c r="Q13" s="1528">
        <f t="shared" si="6"/>
        <v>111</v>
      </c>
      <c r="R13" s="710" t="s">
        <v>21</v>
      </c>
      <c r="S13" s="711">
        <f t="shared" si="0"/>
        <v>100</v>
      </c>
      <c r="T13" s="710" t="s">
        <v>21</v>
      </c>
      <c r="U13" s="711">
        <f t="shared" si="1"/>
        <v>100</v>
      </c>
      <c r="V13" s="710" t="s">
        <v>21</v>
      </c>
      <c r="W13" s="711">
        <f t="shared" si="2"/>
        <v>100</v>
      </c>
      <c r="X13" s="712"/>
      <c r="Y13" s="3937"/>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4002"/>
      <c r="Q14" s="1528">
        <f t="shared" si="6"/>
        <v>111</v>
      </c>
      <c r="R14" s="710" t="s">
        <v>21</v>
      </c>
      <c r="S14" s="711">
        <f t="shared" si="0"/>
        <v>100</v>
      </c>
      <c r="T14" s="710" t="s">
        <v>21</v>
      </c>
      <c r="U14" s="711">
        <f t="shared" si="1"/>
        <v>100</v>
      </c>
      <c r="V14" s="710" t="s">
        <v>21</v>
      </c>
      <c r="W14" s="711">
        <f t="shared" si="2"/>
        <v>100</v>
      </c>
      <c r="X14" s="712"/>
      <c r="Y14" s="3937"/>
      <c r="Z14" s="55">
        <f t="shared" si="7"/>
        <v>111</v>
      </c>
      <c r="AA14" s="713">
        <f t="shared" si="3"/>
        <v>1</v>
      </c>
      <c r="AB14" s="713">
        <f t="shared" si="4"/>
        <v>1</v>
      </c>
      <c r="AC14" s="713">
        <f t="shared" si="5"/>
        <v>1</v>
      </c>
    </row>
    <row r="15" spans="1:29" ht="15">
      <c r="A15" s="399" t="s">
        <v>2369</v>
      </c>
      <c r="B15" s="65" t="s">
        <v>1935</v>
      </c>
      <c r="C15" s="2083" t="str">
        <f>估价对象房地状况!C3</f>
        <v>较差</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4041" t="s">
        <v>2370</v>
      </c>
      <c r="Q15" s="1537" t="str">
        <f t="shared" si="6"/>
        <v>居住社区成熟度</v>
      </c>
      <c r="R15" s="714" t="s">
        <v>21</v>
      </c>
      <c r="S15" s="715">
        <f t="shared" si="0"/>
        <v>100</v>
      </c>
      <c r="T15" s="714" t="s">
        <v>21</v>
      </c>
      <c r="U15" s="715">
        <f t="shared" si="1"/>
        <v>100</v>
      </c>
      <c r="V15" s="714" t="s">
        <v>21</v>
      </c>
      <c r="W15" s="715">
        <f t="shared" si="2"/>
        <v>100</v>
      </c>
      <c r="X15" s="1540"/>
      <c r="Y15" s="3993" t="s">
        <v>2370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8"/>
      <c r="M16" s="2942"/>
      <c r="N16" s="2942"/>
      <c r="O16" s="2942"/>
      <c r="P16" s="4042"/>
      <c r="Q16" s="1537"/>
      <c r="R16" s="714"/>
      <c r="S16" s="715"/>
      <c r="T16" s="714"/>
      <c r="U16" s="715"/>
      <c r="V16" s="714"/>
      <c r="W16" s="715"/>
      <c r="X16" s="1540"/>
      <c r="Y16" s="3994"/>
      <c r="Z16" s="1541"/>
      <c r="AA16" s="1538">
        <v>1</v>
      </c>
      <c r="AB16" s="1538">
        <v>1</v>
      </c>
      <c r="AC16" s="1538">
        <v>1</v>
      </c>
    </row>
    <row r="17" spans="1:29" ht="15">
      <c r="A17" s="387"/>
      <c r="B17" s="410" t="s">
        <v>1937</v>
      </c>
      <c r="C17" s="2087" t="str">
        <f>估价对象房地状况!C6</f>
        <v>较差</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4042"/>
      <c r="Q17" s="1537" t="str">
        <f>B17</f>
        <v>交通便捷度</v>
      </c>
      <c r="R17" s="714" t="s">
        <v>21</v>
      </c>
      <c r="S17" s="715">
        <f>F17</f>
        <v>100</v>
      </c>
      <c r="T17" s="714" t="s">
        <v>21</v>
      </c>
      <c r="U17" s="715">
        <f>H17</f>
        <v>100</v>
      </c>
      <c r="V17" s="714" t="s">
        <v>21</v>
      </c>
      <c r="W17" s="715">
        <f>J17</f>
        <v>100</v>
      </c>
      <c r="X17" s="1540"/>
      <c r="Y17" s="3994"/>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8"/>
      <c r="M18" s="2942"/>
      <c r="N18" s="2942"/>
      <c r="O18" s="2942"/>
      <c r="P18" s="4042"/>
      <c r="Q18" s="1537"/>
      <c r="R18" s="714"/>
      <c r="S18" s="715"/>
      <c r="T18" s="714"/>
      <c r="U18" s="715"/>
      <c r="V18" s="714"/>
      <c r="W18" s="715"/>
      <c r="X18" s="1540"/>
      <c r="Y18" s="3994"/>
      <c r="Z18" s="1541"/>
      <c r="AA18" s="1538">
        <v>1</v>
      </c>
      <c r="AB18" s="1538">
        <v>1</v>
      </c>
      <c r="AC18" s="1538">
        <v>1</v>
      </c>
    </row>
    <row r="19" spans="1:29" ht="15">
      <c r="A19" s="387"/>
      <c r="B19" s="410" t="s">
        <v>1936</v>
      </c>
      <c r="C19" s="2087" t="str">
        <f>估价对象房地状况!C7</f>
        <v>较差</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4042"/>
      <c r="Q19" s="1537" t="str">
        <f>B19</f>
        <v>公共配套设施</v>
      </c>
      <c r="R19" s="714" t="s">
        <v>21</v>
      </c>
      <c r="S19" s="715">
        <f>F19</f>
        <v>100</v>
      </c>
      <c r="T19" s="714" t="s">
        <v>21</v>
      </c>
      <c r="U19" s="715">
        <f>H19</f>
        <v>100</v>
      </c>
      <c r="V19" s="714" t="s">
        <v>21</v>
      </c>
      <c r="W19" s="715">
        <f>J19</f>
        <v>100</v>
      </c>
      <c r="X19" s="1540"/>
      <c r="Y19" s="3994"/>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8"/>
      <c r="M20" s="2942"/>
      <c r="N20" s="2942"/>
      <c r="O20" s="2942"/>
      <c r="P20" s="4042"/>
      <c r="Q20" s="1537"/>
      <c r="R20" s="714"/>
      <c r="S20" s="715"/>
      <c r="T20" s="714"/>
      <c r="U20" s="715"/>
      <c r="V20" s="714"/>
      <c r="W20" s="715"/>
      <c r="X20" s="1540"/>
      <c r="Y20" s="3994"/>
      <c r="Z20" s="1541"/>
      <c r="AA20" s="1538">
        <v>1</v>
      </c>
      <c r="AB20" s="1538">
        <v>1</v>
      </c>
      <c r="AC20" s="1538">
        <v>1</v>
      </c>
    </row>
    <row r="21" spans="1:29" ht="15">
      <c r="A21" s="387"/>
      <c r="B21" s="1292" t="s">
        <v>1938</v>
      </c>
      <c r="C21" s="208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4042"/>
      <c r="Q21" s="1537" t="str">
        <f>B21</f>
        <v>基础设施水平</v>
      </c>
      <c r="R21" s="714" t="s">
        <v>17</v>
      </c>
      <c r="S21" s="715">
        <f>F21</f>
        <v>100</v>
      </c>
      <c r="T21" s="714" t="s">
        <v>17</v>
      </c>
      <c r="U21" s="715">
        <f>H21</f>
        <v>100</v>
      </c>
      <c r="V21" s="714" t="s">
        <v>17</v>
      </c>
      <c r="W21" s="715">
        <f>J21</f>
        <v>100</v>
      </c>
      <c r="X21" s="1540"/>
      <c r="Y21" s="3994"/>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48"/>
      <c r="M22" s="2942"/>
      <c r="N22" s="2942"/>
      <c r="O22" s="2942"/>
      <c r="P22" s="4042"/>
      <c r="Q22" s="1537"/>
      <c r="R22" s="714"/>
      <c r="S22" s="715"/>
      <c r="T22" s="714"/>
      <c r="U22" s="715"/>
      <c r="V22" s="714"/>
      <c r="W22" s="715"/>
      <c r="X22" s="1540"/>
      <c r="Y22" s="3994"/>
      <c r="Z22" s="1541"/>
      <c r="AA22" s="1538">
        <v>1</v>
      </c>
      <c r="AB22" s="1538">
        <v>1</v>
      </c>
      <c r="AC22" s="1538">
        <v>1</v>
      </c>
    </row>
    <row r="23" spans="1:29" ht="15">
      <c r="A23" s="387"/>
      <c r="B23" s="410" t="s">
        <v>1939</v>
      </c>
      <c r="C23" s="2087"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4042"/>
      <c r="Q23" s="1537" t="str">
        <f>B23</f>
        <v>自然及人文环境</v>
      </c>
      <c r="R23" s="714" t="s">
        <v>21</v>
      </c>
      <c r="S23" s="715">
        <f>F23</f>
        <v>100</v>
      </c>
      <c r="T23" s="714" t="s">
        <v>21</v>
      </c>
      <c r="U23" s="715">
        <f>H23</f>
        <v>100</v>
      </c>
      <c r="V23" s="714" t="s">
        <v>21</v>
      </c>
      <c r="W23" s="715">
        <f>J23</f>
        <v>100</v>
      </c>
      <c r="X23" s="1540"/>
      <c r="Y23" s="3994"/>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8"/>
      <c r="M24" s="2942"/>
      <c r="N24" s="2942"/>
      <c r="O24" s="2942"/>
      <c r="P24" s="4042"/>
      <c r="Q24" s="1537"/>
      <c r="R24" s="714"/>
      <c r="S24" s="715"/>
      <c r="T24" s="714"/>
      <c r="U24" s="715"/>
      <c r="V24" s="714"/>
      <c r="W24" s="715"/>
      <c r="X24" s="1540"/>
      <c r="Y24" s="3994"/>
      <c r="Z24" s="1541"/>
      <c r="AA24" s="1538">
        <v>1</v>
      </c>
      <c r="AB24" s="1538">
        <v>1</v>
      </c>
      <c r="AC24" s="1538">
        <v>1</v>
      </c>
    </row>
    <row r="25" spans="1:29" ht="15">
      <c r="A25" s="387"/>
      <c r="B25" s="381" t="s">
        <v>2371</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404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994"/>
      <c r="Z25" s="1541" t="str">
        <f>Q25</f>
        <v>楼层-1</v>
      </c>
      <c r="AA25" s="1538">
        <f t="shared" ref="AA25:AA46" si="15">D25/F25</f>
        <v>1</v>
      </c>
      <c r="AB25" s="1538">
        <f t="shared" ref="AB25:AB46" si="16">D25/H25</f>
        <v>1</v>
      </c>
      <c r="AC25" s="1538">
        <f t="shared" ref="AC25:AC46" si="17">D25/J25</f>
        <v>1</v>
      </c>
    </row>
    <row r="26" spans="1:29" ht="15">
      <c r="A26" s="387"/>
      <c r="B26" s="381" t="s">
        <v>2372</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4042"/>
      <c r="Q26" s="1537" t="str">
        <f t="shared" si="11"/>
        <v>朝向</v>
      </c>
      <c r="R26" s="714" t="s">
        <v>21</v>
      </c>
      <c r="S26" s="715">
        <f t="shared" si="12"/>
        <v>100</v>
      </c>
      <c r="T26" s="714" t="s">
        <v>21</v>
      </c>
      <c r="U26" s="715">
        <f t="shared" si="13"/>
        <v>100</v>
      </c>
      <c r="V26" s="714" t="s">
        <v>21</v>
      </c>
      <c r="W26" s="715">
        <f t="shared" si="14"/>
        <v>100</v>
      </c>
      <c r="X26" s="1540"/>
      <c r="Y26" s="3994"/>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4042"/>
      <c r="Q27" s="1528">
        <f t="shared" si="11"/>
        <v>111</v>
      </c>
      <c r="R27" s="710" t="s">
        <v>21</v>
      </c>
      <c r="S27" s="711">
        <f t="shared" si="12"/>
        <v>100</v>
      </c>
      <c r="T27" s="710" t="s">
        <v>21</v>
      </c>
      <c r="U27" s="711">
        <f t="shared" si="13"/>
        <v>100</v>
      </c>
      <c r="V27" s="710" t="s">
        <v>21</v>
      </c>
      <c r="W27" s="711">
        <f t="shared" si="14"/>
        <v>100</v>
      </c>
      <c r="X27" s="712"/>
      <c r="Y27" s="3994"/>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4042"/>
      <c r="Q28" s="1537">
        <f t="shared" si="11"/>
        <v>111</v>
      </c>
      <c r="R28" s="714" t="s">
        <v>21</v>
      </c>
      <c r="S28" s="715">
        <f t="shared" si="12"/>
        <v>100</v>
      </c>
      <c r="T28" s="714" t="s">
        <v>21</v>
      </c>
      <c r="U28" s="715">
        <f t="shared" si="13"/>
        <v>100</v>
      </c>
      <c r="V28" s="714" t="s">
        <v>21</v>
      </c>
      <c r="W28" s="715">
        <f t="shared" si="14"/>
        <v>100</v>
      </c>
      <c r="X28" s="1540"/>
      <c r="Y28" s="3994"/>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4042"/>
      <c r="Q29" s="1537">
        <f t="shared" si="11"/>
        <v>111</v>
      </c>
      <c r="R29" s="714" t="s">
        <v>21</v>
      </c>
      <c r="S29" s="715">
        <f t="shared" si="12"/>
        <v>100</v>
      </c>
      <c r="T29" s="714" t="s">
        <v>21</v>
      </c>
      <c r="U29" s="715">
        <f t="shared" si="13"/>
        <v>100</v>
      </c>
      <c r="V29" s="714" t="s">
        <v>21</v>
      </c>
      <c r="W29" s="715">
        <f t="shared" si="14"/>
        <v>100</v>
      </c>
      <c r="X29" s="1540"/>
      <c r="Y29" s="3994"/>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4042"/>
      <c r="Q30" s="1537">
        <f t="shared" si="11"/>
        <v>111</v>
      </c>
      <c r="R30" s="714" t="s">
        <v>21</v>
      </c>
      <c r="S30" s="715">
        <f t="shared" si="12"/>
        <v>100</v>
      </c>
      <c r="T30" s="714" t="s">
        <v>21</v>
      </c>
      <c r="U30" s="715">
        <f t="shared" si="13"/>
        <v>100</v>
      </c>
      <c r="V30" s="714" t="s">
        <v>21</v>
      </c>
      <c r="W30" s="715">
        <f t="shared" si="14"/>
        <v>100</v>
      </c>
      <c r="X30" s="1540"/>
      <c r="Y30" s="3994"/>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4042"/>
      <c r="Q31" s="1537">
        <f t="shared" si="11"/>
        <v>111</v>
      </c>
      <c r="R31" s="714" t="s">
        <v>21</v>
      </c>
      <c r="S31" s="715">
        <f t="shared" si="12"/>
        <v>100</v>
      </c>
      <c r="T31" s="714" t="s">
        <v>21</v>
      </c>
      <c r="U31" s="715">
        <f t="shared" si="13"/>
        <v>100</v>
      </c>
      <c r="V31" s="714" t="s">
        <v>21</v>
      </c>
      <c r="W31" s="715">
        <f t="shared" si="14"/>
        <v>100</v>
      </c>
      <c r="X31" s="1540"/>
      <c r="Y31" s="3994"/>
      <c r="Z31" s="1541">
        <f t="shared" si="18"/>
        <v>111</v>
      </c>
      <c r="AA31" s="1538">
        <f t="shared" si="15"/>
        <v>1</v>
      </c>
      <c r="AB31" s="1538">
        <f t="shared" si="16"/>
        <v>1</v>
      </c>
      <c r="AC31" s="1538">
        <f t="shared" si="17"/>
        <v>1</v>
      </c>
    </row>
    <row r="32" spans="1:29" ht="15">
      <c r="A32" s="399" t="s">
        <v>2373</v>
      </c>
      <c r="B32" s="67" t="s">
        <v>2374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8"/>
      <c r="M32" s="2942"/>
      <c r="N32" s="2942"/>
      <c r="O32" s="2942"/>
      <c r="P32" s="4037" t="s">
        <v>2375</v>
      </c>
      <c r="Q32" s="1537" t="str">
        <f t="shared" si="11"/>
        <v>建筑类型</v>
      </c>
      <c r="R32" s="714" t="s">
        <v>21</v>
      </c>
      <c r="S32" s="715">
        <f t="shared" si="12"/>
        <v>100</v>
      </c>
      <c r="T32" s="714" t="s">
        <v>21</v>
      </c>
      <c r="U32" s="715">
        <f t="shared" si="13"/>
        <v>100</v>
      </c>
      <c r="V32" s="714" t="s">
        <v>21</v>
      </c>
      <c r="W32" s="715">
        <f t="shared" si="14"/>
        <v>100</v>
      </c>
      <c r="X32" s="1540"/>
      <c r="Y32" s="3996" t="s">
        <v>2375</v>
      </c>
      <c r="Z32" s="1541" t="str">
        <f t="shared" si="18"/>
        <v>建筑类型</v>
      </c>
      <c r="AA32" s="1538">
        <f t="shared" si="15"/>
        <v>1</v>
      </c>
      <c r="AB32" s="1538">
        <f t="shared" si="16"/>
        <v>1</v>
      </c>
      <c r="AC32" s="1538">
        <f t="shared" si="17"/>
        <v>1</v>
      </c>
    </row>
    <row r="33" spans="1:29" s="430" customFormat="1" ht="15">
      <c r="A33" s="427"/>
      <c r="B33" s="381" t="s">
        <v>2376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7"/>
      <c r="M33" s="2949"/>
      <c r="N33" s="2949"/>
      <c r="O33" s="2949"/>
      <c r="P33" s="4038"/>
      <c r="Q33" s="716" t="str">
        <f t="shared" si="11"/>
        <v>项目建筑规模</v>
      </c>
      <c r="R33" s="717" t="s">
        <v>21</v>
      </c>
      <c r="S33" s="718" t="e">
        <f t="shared" si="12"/>
        <v>#N/A</v>
      </c>
      <c r="T33" s="717" t="s">
        <v>21</v>
      </c>
      <c r="U33" s="718" t="e">
        <f t="shared" si="13"/>
        <v>#N/A</v>
      </c>
      <c r="V33" s="717" t="s">
        <v>21</v>
      </c>
      <c r="W33" s="718" t="e">
        <f t="shared" si="14"/>
        <v>#N/A</v>
      </c>
      <c r="X33" s="719"/>
      <c r="Y33" s="3996"/>
      <c r="Z33" s="720" t="str">
        <f t="shared" si="18"/>
        <v>项目建筑规模</v>
      </c>
      <c r="AA33" s="1538" t="e">
        <f t="shared" si="15"/>
        <v>#N/A</v>
      </c>
      <c r="AB33" s="1538" t="e">
        <f t="shared" si="16"/>
        <v>#N/A</v>
      </c>
      <c r="AC33" s="1538" t="e">
        <f t="shared" si="17"/>
        <v>#N/A</v>
      </c>
    </row>
    <row r="34" spans="1:29" ht="15">
      <c r="A34" s="431"/>
      <c r="B34" s="381" t="s">
        <v>2377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8"/>
      <c r="M34" s="2942"/>
      <c r="N34" s="2942"/>
      <c r="O34" s="2942"/>
      <c r="P34" s="4038"/>
      <c r="Q34" s="1537" t="str">
        <f t="shared" si="11"/>
        <v>建筑结构</v>
      </c>
      <c r="R34" s="714" t="s">
        <v>21</v>
      </c>
      <c r="S34" s="715">
        <f t="shared" si="12"/>
        <v>100</v>
      </c>
      <c r="T34" s="714" t="s">
        <v>21</v>
      </c>
      <c r="U34" s="715">
        <f t="shared" si="13"/>
        <v>100</v>
      </c>
      <c r="V34" s="714" t="s">
        <v>21</v>
      </c>
      <c r="W34" s="715">
        <f t="shared" si="14"/>
        <v>100</v>
      </c>
      <c r="X34" s="1540"/>
      <c r="Y34" s="3996"/>
      <c r="Z34" s="1541" t="str">
        <f t="shared" si="18"/>
        <v>建筑结构</v>
      </c>
      <c r="AA34" s="1538">
        <f t="shared" si="15"/>
        <v>1</v>
      </c>
      <c r="AB34" s="1538">
        <f t="shared" si="16"/>
        <v>1</v>
      </c>
      <c r="AC34" s="1538">
        <f t="shared" si="17"/>
        <v>1</v>
      </c>
    </row>
    <row r="35" spans="1:29" ht="15">
      <c r="A35" s="431"/>
      <c r="B35" s="381" t="s">
        <v>2378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8"/>
      <c r="M35" s="2942"/>
      <c r="N35" s="2942"/>
      <c r="O35" s="2942"/>
      <c r="P35" s="4038"/>
      <c r="Q35" s="1537" t="str">
        <f t="shared" si="11"/>
        <v>建筑品质</v>
      </c>
      <c r="R35" s="714" t="s">
        <v>21</v>
      </c>
      <c r="S35" s="715">
        <f t="shared" si="12"/>
        <v>100</v>
      </c>
      <c r="T35" s="714" t="s">
        <v>21</v>
      </c>
      <c r="U35" s="715">
        <f t="shared" si="13"/>
        <v>100</v>
      </c>
      <c r="V35" s="714" t="s">
        <v>21</v>
      </c>
      <c r="W35" s="715">
        <f t="shared" si="14"/>
        <v>100</v>
      </c>
      <c r="X35" s="1540"/>
      <c r="Y35" s="3996"/>
      <c r="Z35" s="1541" t="str">
        <f t="shared" si="18"/>
        <v>建筑品质</v>
      </c>
      <c r="AA35" s="1538">
        <f t="shared" si="15"/>
        <v>1</v>
      </c>
      <c r="AB35" s="1538">
        <f t="shared" si="16"/>
        <v>1</v>
      </c>
      <c r="AC35" s="1538">
        <f t="shared" si="17"/>
        <v>1</v>
      </c>
    </row>
    <row r="36" spans="1:29" ht="15">
      <c r="A36" s="431"/>
      <c r="B36" s="381" t="s">
        <v>2379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8"/>
      <c r="M36" s="2942"/>
      <c r="N36" s="2942"/>
      <c r="O36" s="2942"/>
      <c r="P36" s="4038"/>
      <c r="Q36" s="1537" t="str">
        <f t="shared" si="11"/>
        <v>公共部分装修</v>
      </c>
      <c r="R36" s="714" t="s">
        <v>21</v>
      </c>
      <c r="S36" s="715">
        <f t="shared" si="12"/>
        <v>100</v>
      </c>
      <c r="T36" s="714" t="s">
        <v>21</v>
      </c>
      <c r="U36" s="715">
        <f t="shared" si="13"/>
        <v>100</v>
      </c>
      <c r="V36" s="714" t="s">
        <v>21</v>
      </c>
      <c r="W36" s="715">
        <f t="shared" si="14"/>
        <v>100</v>
      </c>
      <c r="X36" s="1540"/>
      <c r="Y36" s="3996"/>
      <c r="Z36" s="1541" t="str">
        <f t="shared" si="18"/>
        <v>公共部分装修</v>
      </c>
      <c r="AA36" s="1538">
        <f t="shared" si="15"/>
        <v>1</v>
      </c>
      <c r="AB36" s="1538">
        <f t="shared" si="16"/>
        <v>1</v>
      </c>
      <c r="AC36" s="1538">
        <f t="shared" si="17"/>
        <v>1</v>
      </c>
    </row>
    <row r="37" spans="1:29" s="113" customFormat="1" ht="15">
      <c r="A37" s="432"/>
      <c r="B37" s="381" t="s">
        <v>2380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4038"/>
      <c r="Q37" s="1528" t="str">
        <f t="shared" si="11"/>
        <v>成新度</v>
      </c>
      <c r="R37" s="710" t="s">
        <v>21</v>
      </c>
      <c r="S37" s="711" t="e">
        <f t="shared" si="12"/>
        <v>#N/A</v>
      </c>
      <c r="T37" s="710" t="s">
        <v>21</v>
      </c>
      <c r="U37" s="711" t="e">
        <f t="shared" si="13"/>
        <v>#N/A</v>
      </c>
      <c r="V37" s="710" t="s">
        <v>21</v>
      </c>
      <c r="W37" s="711" t="e">
        <f t="shared" si="14"/>
        <v>#N/A</v>
      </c>
      <c r="X37" s="712"/>
      <c r="Y37" s="3996"/>
      <c r="Z37" s="55" t="str">
        <f t="shared" si="18"/>
        <v>成新度</v>
      </c>
      <c r="AA37" s="713" t="e">
        <f t="shared" si="15"/>
        <v>#N/A</v>
      </c>
      <c r="AB37" s="713" t="e">
        <f t="shared" si="16"/>
        <v>#N/A</v>
      </c>
      <c r="AC37" s="713" t="e">
        <f t="shared" si="17"/>
        <v>#N/A</v>
      </c>
    </row>
    <row r="38" spans="1:29" ht="15">
      <c r="A38" s="431"/>
      <c r="B38" s="381" t="s">
        <v>2381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8"/>
      <c r="M38" s="2942"/>
      <c r="N38" s="2942"/>
      <c r="O38" s="2942"/>
      <c r="P38" s="4038" t="s">
        <v>2375</v>
      </c>
      <c r="Q38" s="1537" t="str">
        <f t="shared" si="11"/>
        <v>物业管理</v>
      </c>
      <c r="R38" s="714" t="s">
        <v>21</v>
      </c>
      <c r="S38" s="715">
        <f t="shared" si="12"/>
        <v>100</v>
      </c>
      <c r="T38" s="714" t="s">
        <v>21</v>
      </c>
      <c r="U38" s="715">
        <f t="shared" si="13"/>
        <v>100</v>
      </c>
      <c r="V38" s="714" t="s">
        <v>21</v>
      </c>
      <c r="W38" s="715">
        <f t="shared" si="14"/>
        <v>100</v>
      </c>
      <c r="X38" s="1540"/>
      <c r="Y38" s="3996" t="s">
        <v>2375</v>
      </c>
      <c r="Z38" s="1541" t="str">
        <f t="shared" si="18"/>
        <v>物业管理</v>
      </c>
      <c r="AA38" s="1538">
        <f t="shared" si="15"/>
        <v>1</v>
      </c>
      <c r="AB38" s="1538">
        <f t="shared" si="16"/>
        <v>1</v>
      </c>
      <c r="AC38" s="1538">
        <f t="shared" si="17"/>
        <v>1</v>
      </c>
    </row>
    <row r="39" spans="1:29" ht="15">
      <c r="A39" s="431"/>
      <c r="B39" s="381" t="s">
        <v>2382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8"/>
      <c r="M39" s="2942"/>
      <c r="N39" s="2942"/>
      <c r="O39" s="2942"/>
      <c r="P39" s="4038"/>
      <c r="Q39" s="1537" t="str">
        <f t="shared" si="11"/>
        <v>市政基础设施</v>
      </c>
      <c r="R39" s="714" t="s">
        <v>21</v>
      </c>
      <c r="S39" s="715">
        <f t="shared" si="12"/>
        <v>100</v>
      </c>
      <c r="T39" s="714" t="s">
        <v>21</v>
      </c>
      <c r="U39" s="715">
        <f t="shared" si="13"/>
        <v>100</v>
      </c>
      <c r="V39" s="714" t="s">
        <v>21</v>
      </c>
      <c r="W39" s="715">
        <f t="shared" si="14"/>
        <v>100</v>
      </c>
      <c r="X39" s="1540"/>
      <c r="Y39" s="3996"/>
      <c r="Z39" s="1541" t="str">
        <f t="shared" si="18"/>
        <v>市政基础设施</v>
      </c>
      <c r="AA39" s="1538">
        <f t="shared" si="15"/>
        <v>1</v>
      </c>
      <c r="AB39" s="1538">
        <f t="shared" si="16"/>
        <v>1</v>
      </c>
      <c r="AC39" s="1538">
        <f t="shared" si="17"/>
        <v>1</v>
      </c>
    </row>
    <row r="40" spans="1:29" ht="15">
      <c r="A40" s="431"/>
      <c r="B40" s="381" t="s">
        <v>2383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4038"/>
      <c r="Q40" s="1537" t="str">
        <f t="shared" si="11"/>
        <v>房型</v>
      </c>
      <c r="R40" s="714" t="s">
        <v>21</v>
      </c>
      <c r="S40" s="715">
        <f t="shared" si="12"/>
        <v>100</v>
      </c>
      <c r="T40" s="714" t="s">
        <v>21</v>
      </c>
      <c r="U40" s="715">
        <f t="shared" si="13"/>
        <v>100</v>
      </c>
      <c r="V40" s="714" t="s">
        <v>21</v>
      </c>
      <c r="W40" s="715">
        <f t="shared" si="14"/>
        <v>100</v>
      </c>
      <c r="X40" s="1540"/>
      <c r="Y40" s="3996"/>
      <c r="Z40" s="1541" t="str">
        <f t="shared" si="18"/>
        <v>房型</v>
      </c>
      <c r="AA40" s="1538">
        <f t="shared" si="15"/>
        <v>1</v>
      </c>
      <c r="AB40" s="1538">
        <f t="shared" si="16"/>
        <v>1</v>
      </c>
      <c r="AC40" s="1538">
        <f t="shared" si="17"/>
        <v>1</v>
      </c>
    </row>
    <row r="41" spans="1:29" s="430" customFormat="1" ht="28.5">
      <c r="A41" s="427"/>
      <c r="B41" s="381" t="s">
        <v>2384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7"/>
      <c r="M41" s="2949"/>
      <c r="N41" s="2949"/>
      <c r="O41" s="2949"/>
      <c r="P41" s="4038"/>
      <c r="Q41" s="716" t="str">
        <f t="shared" si="11"/>
        <v>单套/主力户型建筑面积</v>
      </c>
      <c r="R41" s="717" t="s">
        <v>21</v>
      </c>
      <c r="S41" s="718">
        <f t="shared" si="12"/>
        <v>100</v>
      </c>
      <c r="T41" s="717" t="s">
        <v>21</v>
      </c>
      <c r="U41" s="718">
        <f t="shared" si="13"/>
        <v>100</v>
      </c>
      <c r="V41" s="717" t="s">
        <v>21</v>
      </c>
      <c r="W41" s="718">
        <f t="shared" si="14"/>
        <v>100</v>
      </c>
      <c r="X41" s="719"/>
      <c r="Y41" s="3996"/>
      <c r="Z41" s="720" t="str">
        <f t="shared" si="18"/>
        <v>单套/主力户型建筑面积</v>
      </c>
      <c r="AA41" s="1538">
        <f t="shared" si="15"/>
        <v>1</v>
      </c>
      <c r="AB41" s="1538">
        <f t="shared" si="16"/>
        <v>1</v>
      </c>
      <c r="AC41" s="1538">
        <f t="shared" si="17"/>
        <v>1</v>
      </c>
    </row>
    <row r="42" spans="1:29" ht="15">
      <c r="A42" s="431"/>
      <c r="B42" s="381" t="s">
        <v>2385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8"/>
      <c r="M42" s="2942"/>
      <c r="N42" s="2942"/>
      <c r="O42" s="2942"/>
      <c r="P42" s="4038"/>
      <c r="Q42" s="1537" t="str">
        <f t="shared" si="11"/>
        <v>内部装修</v>
      </c>
      <c r="R42" s="714" t="s">
        <v>21</v>
      </c>
      <c r="S42" s="715">
        <f t="shared" si="12"/>
        <v>100</v>
      </c>
      <c r="T42" s="714" t="s">
        <v>21</v>
      </c>
      <c r="U42" s="715">
        <f t="shared" si="13"/>
        <v>100</v>
      </c>
      <c r="V42" s="714" t="s">
        <v>21</v>
      </c>
      <c r="W42" s="715">
        <f t="shared" si="14"/>
        <v>100</v>
      </c>
      <c r="X42" s="1540"/>
      <c r="Y42" s="3996"/>
      <c r="Z42" s="1541" t="str">
        <f t="shared" si="18"/>
        <v>内部装修</v>
      </c>
      <c r="AA42" s="1538">
        <f t="shared" si="15"/>
        <v>1</v>
      </c>
      <c r="AB42" s="1538">
        <f t="shared" si="16"/>
        <v>1</v>
      </c>
      <c r="AC42" s="1538">
        <f t="shared" si="17"/>
        <v>1</v>
      </c>
    </row>
    <row r="43" spans="1:29" ht="15">
      <c r="A43" s="431"/>
      <c r="B43" s="381" t="s">
        <v>2386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4038"/>
      <c r="Q43" s="1537" t="str">
        <f t="shared" si="11"/>
        <v>内部装修维护情况</v>
      </c>
      <c r="R43" s="714" t="s">
        <v>21</v>
      </c>
      <c r="S43" s="715">
        <f t="shared" si="12"/>
        <v>100</v>
      </c>
      <c r="T43" s="714" t="s">
        <v>21</v>
      </c>
      <c r="U43" s="715">
        <f t="shared" si="13"/>
        <v>100</v>
      </c>
      <c r="V43" s="714" t="s">
        <v>21</v>
      </c>
      <c r="W43" s="715">
        <f t="shared" si="14"/>
        <v>100</v>
      </c>
      <c r="X43" s="1540"/>
      <c r="Y43" s="3996"/>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3"/>
      <c r="M44" s="2944"/>
      <c r="N44" s="2944"/>
      <c r="O44" s="2944"/>
      <c r="P44" s="4038"/>
      <c r="Q44" s="1528">
        <f t="shared" si="11"/>
        <v>111</v>
      </c>
      <c r="R44" s="710" t="s">
        <v>21</v>
      </c>
      <c r="S44" s="711">
        <f t="shared" si="12"/>
        <v>100</v>
      </c>
      <c r="T44" s="710" t="s">
        <v>21</v>
      </c>
      <c r="U44" s="711">
        <f t="shared" si="13"/>
        <v>100</v>
      </c>
      <c r="V44" s="710" t="s">
        <v>21</v>
      </c>
      <c r="W44" s="711">
        <f t="shared" si="14"/>
        <v>100</v>
      </c>
      <c r="X44" s="712"/>
      <c r="Y44" s="3996"/>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4038"/>
      <c r="Q45" s="1537">
        <f t="shared" si="11"/>
        <v>111</v>
      </c>
      <c r="R45" s="714" t="s">
        <v>21</v>
      </c>
      <c r="S45" s="715">
        <f t="shared" si="12"/>
        <v>100</v>
      </c>
      <c r="T45" s="714" t="s">
        <v>21</v>
      </c>
      <c r="U45" s="715">
        <f t="shared" si="13"/>
        <v>100</v>
      </c>
      <c r="V45" s="714" t="s">
        <v>21</v>
      </c>
      <c r="W45" s="715">
        <f t="shared" si="14"/>
        <v>100</v>
      </c>
      <c r="X45" s="1540"/>
      <c r="Y45" s="3996"/>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8"/>
      <c r="M46" s="2942"/>
      <c r="N46" s="2942"/>
      <c r="O46" s="2942"/>
      <c r="P46" s="4039"/>
      <c r="Q46" s="1537">
        <f t="shared" si="11"/>
        <v>111</v>
      </c>
      <c r="R46" s="714" t="s">
        <v>20</v>
      </c>
      <c r="S46" s="715">
        <f t="shared" si="12"/>
        <v>100</v>
      </c>
      <c r="T46" s="714" t="s">
        <v>20</v>
      </c>
      <c r="U46" s="715">
        <f t="shared" si="13"/>
        <v>100</v>
      </c>
      <c r="V46" s="714" t="s">
        <v>20</v>
      </c>
      <c r="W46" s="715">
        <f t="shared" si="14"/>
        <v>100</v>
      </c>
      <c r="X46" s="1540"/>
      <c r="Y46" s="4040"/>
      <c r="Z46" s="1541">
        <f t="shared" si="18"/>
        <v>111</v>
      </c>
      <c r="AA46" s="1538">
        <f t="shared" si="15"/>
        <v>1</v>
      </c>
      <c r="AB46" s="1538">
        <f t="shared" si="16"/>
        <v>1</v>
      </c>
      <c r="AC46" s="1538">
        <f t="shared" si="17"/>
        <v>1</v>
      </c>
    </row>
    <row r="47" spans="1:29" ht="15">
      <c r="A47" s="438" t="s">
        <v>2387</v>
      </c>
      <c r="B47" s="439"/>
      <c r="C47" s="1315" t="s">
        <v>19</v>
      </c>
      <c r="D47" s="1316"/>
      <c r="E47" s="1317"/>
      <c r="F47" s="1318"/>
      <c r="G47" s="1319"/>
      <c r="H47" s="1320"/>
      <c r="I47" s="1317"/>
      <c r="J47" s="1320"/>
      <c r="K47" s="2101"/>
      <c r="L47" s="2950"/>
      <c r="M47" s="2951"/>
      <c r="N47" s="2942"/>
      <c r="O47" s="2951"/>
      <c r="P47" s="3978" t="str">
        <f>A47</f>
        <v>成交单价（元/平方米）</v>
      </c>
      <c r="Q47" s="3978"/>
      <c r="R47" s="4036">
        <f>E47</f>
        <v>0</v>
      </c>
      <c r="S47" s="4036"/>
      <c r="T47" s="4036">
        <f>G47</f>
        <v>0</v>
      </c>
      <c r="U47" s="4036"/>
      <c r="V47" s="4036">
        <f>I47</f>
        <v>0</v>
      </c>
      <c r="W47" s="4036"/>
      <c r="X47" s="699"/>
      <c r="Y47" s="721"/>
      <c r="Z47" s="699"/>
      <c r="AA47" s="699"/>
      <c r="AB47" s="699"/>
      <c r="AC47" s="699"/>
    </row>
    <row r="48" spans="1:29" ht="15.75" thickBot="1">
      <c r="A48" s="445" t="s">
        <v>2388</v>
      </c>
      <c r="B48" s="446"/>
      <c r="C48" s="1321" t="e">
        <f>R49</f>
        <v>#DIV/0!</v>
      </c>
      <c r="D48" s="2539" t="s">
        <v>2870</v>
      </c>
      <c r="E48" s="1322" t="e">
        <f>R48</f>
        <v>#DIV/0!</v>
      </c>
      <c r="F48" s="2540"/>
      <c r="G48" s="1321" t="e">
        <f>T48</f>
        <v>#DIV/0!</v>
      </c>
      <c r="H48" s="2540"/>
      <c r="I48" s="1322" t="e">
        <f>V48</f>
        <v>#DIV/0!</v>
      </c>
      <c r="J48" s="2540"/>
      <c r="K48" s="2541">
        <f>F48+H48+J48</f>
        <v>0</v>
      </c>
      <c r="L48" s="2950"/>
      <c r="M48" s="2951"/>
      <c r="N48" s="2951"/>
      <c r="O48" s="2951"/>
      <c r="P48" s="3978" t="str">
        <f>A48</f>
        <v>比较价值（元/平方米）</v>
      </c>
      <c r="Q48" s="3978"/>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699"/>
      <c r="Y48" s="699"/>
      <c r="Z48" s="699"/>
      <c r="AA48" s="699"/>
      <c r="AB48" s="699"/>
      <c r="AC48" s="699"/>
    </row>
    <row r="49" spans="1:29" ht="15.75" thickBot="1">
      <c r="A49" s="449" t="s">
        <v>2389</v>
      </c>
      <c r="B49" s="450"/>
      <c r="C49" s="1323" t="e">
        <f>R49</f>
        <v>#DIV/0!</v>
      </c>
      <c r="D49" s="1324"/>
      <c r="E49" s="1324"/>
      <c r="F49" s="1324"/>
      <c r="G49" s="1324"/>
      <c r="H49" s="1324"/>
      <c r="I49" s="1324"/>
      <c r="J49" s="1324"/>
      <c r="K49" s="2102"/>
      <c r="L49" s="2950"/>
      <c r="M49" s="2951"/>
      <c r="N49" s="2951"/>
      <c r="O49" s="2951"/>
      <c r="P49" s="3998" t="str">
        <f>A49</f>
        <v>估价对象XX用房的比较价值（楼面单价，元/平方米）</v>
      </c>
      <c r="Q49" s="3999"/>
      <c r="R49" s="4035" t="e">
        <f>IF(F1="售价",ROUND(IF(D48="简单平均",AVERAGE(R48:V48),R48*F48+T48*H48+V48*J48),0),ROUND(IF(D48="简单平均",AVERAGE(R48:V48),R48*F48+T48*H48+V48*J48),1))</f>
        <v>#DIV/0!</v>
      </c>
      <c r="S49" s="4035"/>
      <c r="T49" s="4035"/>
      <c r="U49" s="4035"/>
      <c r="V49" s="4035"/>
      <c r="W49" s="403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4"/>
    </row>
    <row r="55" spans="1:29" s="459"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3" t="s">
        <v>2393</v>
      </c>
      <c r="B57" s="699"/>
      <c r="C57" s="704"/>
      <c r="D57" s="704"/>
      <c r="E57" s="704"/>
      <c r="F57" s="705"/>
      <c r="G57" s="705"/>
      <c r="H57" s="704"/>
      <c r="I57" s="704"/>
      <c r="J57" s="704"/>
      <c r="K57" s="1071"/>
      <c r="L57" s="1072"/>
      <c r="M57" s="1070"/>
      <c r="N57" s="1070"/>
      <c r="O57" s="1070"/>
      <c r="P57" s="2105"/>
      <c r="Q57" s="461"/>
    </row>
    <row r="58" spans="1:29" s="465" customFormat="1" ht="15">
      <c r="A58" s="462" t="s">
        <v>2394</v>
      </c>
      <c r="B58" s="463"/>
      <c r="C58" s="1347" t="str">
        <f>YEAR(C7)&amp;"-"&amp;MONTH(C7)</f>
        <v>2020-12</v>
      </c>
      <c r="D58" s="1346">
        <f>EDATE(C58,-1)</f>
        <v>44136</v>
      </c>
      <c r="E58" s="1346">
        <f>EDATE(D58,-1)</f>
        <v>44105</v>
      </c>
      <c r="F58" s="1346">
        <f t="shared" ref="F58:O58" si="19">EDATE(E58,-1)</f>
        <v>44075</v>
      </c>
      <c r="G58" s="1346">
        <f t="shared" si="19"/>
        <v>44044</v>
      </c>
      <c r="H58" s="1346">
        <f t="shared" si="19"/>
        <v>44013</v>
      </c>
      <c r="I58" s="1346">
        <f t="shared" si="19"/>
        <v>43983</v>
      </c>
      <c r="J58" s="1346">
        <f t="shared" si="19"/>
        <v>43952</v>
      </c>
      <c r="K58" s="1346">
        <f t="shared" si="19"/>
        <v>43922</v>
      </c>
      <c r="L58" s="1346">
        <f t="shared" si="19"/>
        <v>43891</v>
      </c>
      <c r="M58" s="1346">
        <f t="shared" si="19"/>
        <v>43862</v>
      </c>
      <c r="N58" s="1346">
        <f t="shared" si="19"/>
        <v>43831</v>
      </c>
      <c r="O58" s="1346">
        <f t="shared" si="19"/>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2395</v>
      </c>
      <c r="B60" s="473"/>
      <c r="C60" s="474"/>
      <c r="D60" s="475"/>
      <c r="E60" s="475"/>
      <c r="F60" s="475"/>
      <c r="G60" s="475"/>
      <c r="H60" s="475"/>
      <c r="I60" s="475"/>
      <c r="J60" s="475"/>
      <c r="K60" s="475"/>
      <c r="L60" s="475"/>
      <c r="M60" s="476"/>
      <c r="N60" s="475"/>
      <c r="O60" s="476"/>
      <c r="P60" s="2107"/>
      <c r="Q60" s="461"/>
    </row>
    <row r="61" spans="1:29" s="113" customFormat="1" ht="15">
      <c r="A61" s="478" t="s">
        <v>2396</v>
      </c>
      <c r="B61" s="467"/>
      <c r="C61" s="479" t="s">
        <v>2397</v>
      </c>
      <c r="D61" s="480"/>
      <c r="E61" s="480"/>
      <c r="F61" s="480"/>
      <c r="G61" s="480"/>
      <c r="H61" s="480"/>
      <c r="I61" s="480"/>
      <c r="J61" s="480"/>
      <c r="K61" s="480"/>
      <c r="L61" s="481"/>
      <c r="M61" s="482"/>
      <c r="N61" s="1062"/>
      <c r="O61" s="1062"/>
      <c r="P61" s="2108"/>
      <c r="Q61" s="461"/>
    </row>
    <row r="62" spans="1:29" s="113" customFormat="1" ht="15.75" thickBot="1">
      <c r="A62" s="478"/>
      <c r="B62" s="467"/>
      <c r="C62" s="468">
        <v>100</v>
      </c>
      <c r="D62" s="469"/>
      <c r="E62" s="469"/>
      <c r="F62" s="469"/>
      <c r="G62" s="469"/>
      <c r="H62" s="469"/>
      <c r="I62" s="469"/>
      <c r="J62" s="469"/>
      <c r="K62" s="469"/>
      <c r="L62" s="469"/>
      <c r="M62" s="471"/>
      <c r="N62" s="1062"/>
      <c r="O62" s="1062"/>
      <c r="P62" s="2107"/>
      <c r="Q62" s="461"/>
    </row>
    <row r="63" spans="1:29">
      <c r="A63" s="484" t="s">
        <v>2398</v>
      </c>
      <c r="B63" s="485" t="s">
        <v>2364</v>
      </c>
      <c r="C63" s="486">
        <f>C9</f>
        <v>0</v>
      </c>
      <c r="D63" s="487"/>
      <c r="E63" s="487"/>
      <c r="F63" s="487"/>
      <c r="G63" s="487"/>
      <c r="H63" s="487"/>
      <c r="I63" s="487"/>
      <c r="J63" s="487"/>
      <c r="K63" s="488"/>
      <c r="L63" s="489"/>
      <c r="M63" s="490"/>
      <c r="N63" s="1063"/>
      <c r="O63" s="1063"/>
      <c r="P63" s="2109"/>
      <c r="Q63" s="461"/>
    </row>
    <row r="64" spans="1:29" ht="15.75" thickBot="1">
      <c r="A64" s="491"/>
      <c r="B64" s="492"/>
      <c r="C64" s="493">
        <v>100</v>
      </c>
      <c r="D64" s="493"/>
      <c r="E64" s="493"/>
      <c r="F64" s="493"/>
      <c r="G64" s="493"/>
      <c r="H64" s="493"/>
      <c r="I64" s="493"/>
      <c r="J64" s="493"/>
      <c r="K64" s="493"/>
      <c r="L64" s="493"/>
      <c r="M64" s="494"/>
      <c r="N64" s="1064"/>
      <c r="O64" s="1064"/>
      <c r="P64" s="2109"/>
      <c r="Q64" s="461"/>
    </row>
    <row r="65" spans="1:17" ht="27.75" thickTop="1">
      <c r="A65" s="491"/>
      <c r="B65" s="495" t="s">
        <v>2367</v>
      </c>
      <c r="C65" s="496" t="s">
        <v>2399</v>
      </c>
      <c r="D65" s="496" t="s">
        <v>2400</v>
      </c>
      <c r="E65" s="496" t="s">
        <v>2401</v>
      </c>
      <c r="F65" s="496" t="s">
        <v>2402</v>
      </c>
      <c r="G65" s="496" t="s">
        <v>2403</v>
      </c>
      <c r="H65" s="496" t="s">
        <v>2404</v>
      </c>
      <c r="I65" s="496" t="s">
        <v>2405</v>
      </c>
      <c r="J65" s="496"/>
      <c r="K65" s="497"/>
      <c r="L65" s="498"/>
      <c r="M65" s="499"/>
      <c r="N65" s="1063"/>
      <c r="O65" s="1063"/>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9"/>
      <c r="Q66" s="461"/>
    </row>
    <row r="67" spans="1:17" ht="15.75" thickTop="1">
      <c r="A67" s="491"/>
      <c r="B67" s="503" t="s">
        <v>2368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9"/>
      <c r="Q67" s="461"/>
    </row>
    <row r="68" spans="1:17" ht="15">
      <c r="A68" s="491"/>
      <c r="B68" s="505"/>
      <c r="C68" s="506"/>
      <c r="D68" s="506"/>
      <c r="E68" s="506"/>
      <c r="F68" s="506"/>
      <c r="G68" s="506"/>
      <c r="H68" s="506"/>
      <c r="I68" s="506"/>
      <c r="J68" s="506"/>
      <c r="K68" s="507"/>
      <c r="L68" s="508"/>
      <c r="M68" s="509"/>
      <c r="N68" s="1063"/>
      <c r="O68" s="1063"/>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9"/>
      <c r="Q69" s="461"/>
    </row>
    <row r="70" spans="1:17" s="430" customFormat="1" ht="15.75" thickTop="1">
      <c r="A70" s="510"/>
      <c r="B70" s="495">
        <f>B12</f>
        <v>111</v>
      </c>
      <c r="C70" s="511"/>
      <c r="D70" s="511"/>
      <c r="E70" s="511"/>
      <c r="F70" s="511"/>
      <c r="G70" s="511"/>
      <c r="H70" s="512"/>
      <c r="I70" s="512"/>
      <c r="J70" s="512"/>
      <c r="K70" s="512"/>
      <c r="L70" s="513"/>
      <c r="M70" s="514"/>
      <c r="N70" s="1065"/>
      <c r="O70" s="1065"/>
      <c r="P70" s="2110"/>
      <c r="Q70" s="516"/>
    </row>
    <row r="71" spans="1:17" s="430" customFormat="1" ht="15.75" thickBot="1">
      <c r="A71" s="510"/>
      <c r="B71" s="500"/>
      <c r="C71" s="517"/>
      <c r="D71" s="493"/>
      <c r="E71" s="493"/>
      <c r="F71" s="493"/>
      <c r="G71" s="493"/>
      <c r="H71" s="493"/>
      <c r="I71" s="493"/>
      <c r="J71" s="493"/>
      <c r="K71" s="493"/>
      <c r="L71" s="493"/>
      <c r="M71" s="494"/>
      <c r="N71" s="1064"/>
      <c r="O71" s="1064"/>
      <c r="P71" s="2110"/>
      <c r="Q71" s="516"/>
    </row>
    <row r="72" spans="1:17" s="430" customFormat="1" ht="15.75" thickTop="1">
      <c r="A72" s="510"/>
      <c r="B72" s="495">
        <f>B13</f>
        <v>111</v>
      </c>
      <c r="C72" s="511"/>
      <c r="D72" s="511"/>
      <c r="E72" s="511"/>
      <c r="F72" s="511"/>
      <c r="G72" s="511"/>
      <c r="H72" s="512"/>
      <c r="I72" s="512"/>
      <c r="J72" s="512"/>
      <c r="K72" s="512"/>
      <c r="L72" s="513"/>
      <c r="M72" s="514"/>
      <c r="N72" s="1065"/>
      <c r="O72" s="1065"/>
      <c r="P72" s="2111"/>
      <c r="Q72" s="518"/>
    </row>
    <row r="73" spans="1:17" s="430" customFormat="1" ht="15.75" thickBot="1">
      <c r="A73" s="510"/>
      <c r="B73" s="500"/>
      <c r="C73" s="517"/>
      <c r="D73" s="517"/>
      <c r="E73" s="517"/>
      <c r="F73" s="517"/>
      <c r="G73" s="517"/>
      <c r="H73" s="519"/>
      <c r="I73" s="519"/>
      <c r="J73" s="519"/>
      <c r="K73" s="519"/>
      <c r="L73" s="519"/>
      <c r="M73" s="520"/>
      <c r="N73" s="1065"/>
      <c r="O73" s="1065"/>
      <c r="P73" s="2110"/>
      <c r="Q73" s="516"/>
    </row>
    <row r="74" spans="1:17" s="430" customFormat="1" ht="15.75" thickTop="1">
      <c r="A74" s="510"/>
      <c r="B74" s="503">
        <f>B14</f>
        <v>111</v>
      </c>
      <c r="C74" s="511"/>
      <c r="D74" s="511"/>
      <c r="E74" s="511"/>
      <c r="F74" s="511"/>
      <c r="G74" s="480"/>
      <c r="H74" s="521"/>
      <c r="I74" s="521"/>
      <c r="J74" s="521"/>
      <c r="K74" s="521"/>
      <c r="L74" s="522"/>
      <c r="M74" s="523"/>
      <c r="N74" s="1065"/>
      <c r="O74" s="1065"/>
      <c r="P74" s="2112"/>
      <c r="Q74" s="516"/>
    </row>
    <row r="75" spans="1:17" s="430" customFormat="1" ht="15.75" thickBot="1">
      <c r="A75" s="525"/>
      <c r="B75" s="526"/>
      <c r="C75" s="527"/>
      <c r="D75" s="527"/>
      <c r="E75" s="527"/>
      <c r="F75" s="527"/>
      <c r="G75" s="527"/>
      <c r="H75" s="528"/>
      <c r="I75" s="528"/>
      <c r="J75" s="528"/>
      <c r="K75" s="528"/>
      <c r="L75" s="528"/>
      <c r="M75" s="529"/>
      <c r="N75" s="1065"/>
      <c r="O75" s="1065"/>
      <c r="P75" s="2110"/>
      <c r="Q75" s="516"/>
    </row>
    <row r="76" spans="1:17">
      <c r="A76" s="484" t="s">
        <v>2369</v>
      </c>
      <c r="B76" s="485" t="s">
        <v>2406</v>
      </c>
      <c r="C76" s="530" t="s">
        <v>2407</v>
      </c>
      <c r="D76" s="530" t="s">
        <v>2408</v>
      </c>
      <c r="E76" s="530" t="s">
        <v>2409</v>
      </c>
      <c r="F76" s="530" t="s">
        <v>2410</v>
      </c>
      <c r="G76" s="530" t="s">
        <v>2411</v>
      </c>
      <c r="H76" s="486"/>
      <c r="I76" s="486"/>
      <c r="J76" s="486"/>
      <c r="K76" s="531"/>
      <c r="L76" s="532"/>
      <c r="M76" s="533"/>
      <c r="N76" s="1063"/>
      <c r="O76" s="1063"/>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9"/>
      <c r="Q77" s="461"/>
    </row>
    <row r="78" spans="1:17" ht="15.75" thickTop="1">
      <c r="A78" s="491"/>
      <c r="B78" s="495" t="s">
        <v>2412</v>
      </c>
      <c r="C78" s="535" t="s">
        <v>2407</v>
      </c>
      <c r="D78" s="535" t="s">
        <v>2408</v>
      </c>
      <c r="E78" s="535" t="s">
        <v>2409</v>
      </c>
      <c r="F78" s="535" t="s">
        <v>2410</v>
      </c>
      <c r="G78" s="535" t="s">
        <v>2411</v>
      </c>
      <c r="H78" s="496"/>
      <c r="I78" s="496"/>
      <c r="J78" s="496"/>
      <c r="K78" s="497"/>
      <c r="L78" s="498"/>
      <c r="M78" s="499"/>
      <c r="N78" s="1063"/>
      <c r="O78" s="1063"/>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9"/>
      <c r="Q79" s="461"/>
    </row>
    <row r="80" spans="1:17" ht="15.75" thickTop="1">
      <c r="A80" s="491"/>
      <c r="B80" s="495" t="s">
        <v>2413</v>
      </c>
      <c r="C80" s="535" t="s">
        <v>2407</v>
      </c>
      <c r="D80" s="535" t="s">
        <v>2408</v>
      </c>
      <c r="E80" s="535" t="s">
        <v>2409</v>
      </c>
      <c r="F80" s="535" t="s">
        <v>2410</v>
      </c>
      <c r="G80" s="535" t="s">
        <v>2411</v>
      </c>
      <c r="H80" s="496"/>
      <c r="I80" s="496"/>
      <c r="J80" s="496"/>
      <c r="K80" s="497"/>
      <c r="L80" s="498"/>
      <c r="M80" s="499"/>
      <c r="N80" s="1063"/>
      <c r="O80" s="1063"/>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9"/>
      <c r="Q81" s="461"/>
    </row>
    <row r="82" spans="1:17" ht="15.75" thickTop="1">
      <c r="A82" s="491"/>
      <c r="B82" s="503" t="s">
        <v>1938</v>
      </c>
      <c r="C82" s="496" t="s">
        <v>2414</v>
      </c>
      <c r="D82" s="496" t="s">
        <v>2415</v>
      </c>
      <c r="E82" s="496" t="s">
        <v>2416</v>
      </c>
      <c r="F82" s="496" t="s">
        <v>2417</v>
      </c>
      <c r="G82" s="496" t="s">
        <v>2418</v>
      </c>
      <c r="H82" s="496"/>
      <c r="I82" s="496"/>
      <c r="J82" s="496"/>
      <c r="K82" s="496"/>
      <c r="L82" s="496"/>
      <c r="M82" s="1290"/>
      <c r="N82" s="1064"/>
      <c r="O82" s="1064"/>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9"/>
      <c r="Q83" s="461"/>
    </row>
    <row r="84" spans="1:17" ht="15.75" thickTop="1">
      <c r="A84" s="491"/>
      <c r="B84" s="495" t="s">
        <v>2419</v>
      </c>
      <c r="C84" s="535" t="s">
        <v>2407</v>
      </c>
      <c r="D84" s="535" t="s">
        <v>2408</v>
      </c>
      <c r="E84" s="535" t="s">
        <v>2409</v>
      </c>
      <c r="F84" s="535" t="s">
        <v>2410</v>
      </c>
      <c r="G84" s="535" t="s">
        <v>2411</v>
      </c>
      <c r="H84" s="496"/>
      <c r="I84" s="496"/>
      <c r="J84" s="496"/>
      <c r="K84" s="497"/>
      <c r="L84" s="498"/>
      <c r="M84" s="499"/>
      <c r="N84" s="1063"/>
      <c r="O84" s="1063"/>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9"/>
      <c r="Q85" s="461"/>
    </row>
    <row r="86" spans="1:17" s="113" customFormat="1" ht="15.75" thickTop="1">
      <c r="A86" s="536"/>
      <c r="B86" s="495" t="s">
        <v>2420</v>
      </c>
      <c r="C86" s="511"/>
      <c r="D86" s="511"/>
      <c r="E86" s="511"/>
      <c r="F86" s="511"/>
      <c r="G86" s="511"/>
      <c r="H86" s="511"/>
      <c r="I86" s="511"/>
      <c r="J86" s="511"/>
      <c r="K86" s="511"/>
      <c r="L86" s="537"/>
      <c r="M86" s="538"/>
      <c r="N86" s="1062"/>
      <c r="O86" s="1062"/>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9"/>
      <c r="Q87" s="461"/>
    </row>
    <row r="88" spans="1:17" s="113" customFormat="1" ht="15.75" thickTop="1">
      <c r="A88" s="536"/>
      <c r="B88" s="495" t="s">
        <v>2421</v>
      </c>
      <c r="C88" s="511"/>
      <c r="D88" s="511"/>
      <c r="E88" s="511"/>
      <c r="F88" s="2114"/>
      <c r="G88" s="511"/>
      <c r="H88" s="511"/>
      <c r="I88" s="511"/>
      <c r="J88" s="511"/>
      <c r="K88" s="511"/>
      <c r="L88" s="511"/>
      <c r="M88" s="538"/>
      <c r="N88" s="1062"/>
      <c r="O88" s="1062"/>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9"/>
      <c r="Q89" s="461"/>
    </row>
    <row r="90" spans="1:17" s="430" customFormat="1" ht="15.75" thickTop="1">
      <c r="A90" s="510"/>
      <c r="B90" s="495">
        <f>B27</f>
        <v>111</v>
      </c>
      <c r="C90" s="511"/>
      <c r="D90" s="511"/>
      <c r="E90" s="511"/>
      <c r="F90" s="511"/>
      <c r="G90" s="511"/>
      <c r="H90" s="512"/>
      <c r="I90" s="512"/>
      <c r="J90" s="512"/>
      <c r="K90" s="512"/>
      <c r="L90" s="513"/>
      <c r="M90" s="514"/>
      <c r="N90" s="1065"/>
      <c r="O90" s="1065"/>
      <c r="P90" s="2110"/>
      <c r="Q90" s="516"/>
    </row>
    <row r="91" spans="1:17" s="430" customFormat="1" ht="15.75" thickBot="1">
      <c r="A91" s="510"/>
      <c r="B91" s="500"/>
      <c r="C91" s="517"/>
      <c r="D91" s="517"/>
      <c r="E91" s="517"/>
      <c r="F91" s="517"/>
      <c r="G91" s="517"/>
      <c r="H91" s="519"/>
      <c r="I91" s="519"/>
      <c r="J91" s="519"/>
      <c r="K91" s="519"/>
      <c r="L91" s="519"/>
      <c r="M91" s="520"/>
      <c r="N91" s="1065"/>
      <c r="O91" s="1065"/>
      <c r="P91" s="2110"/>
      <c r="Q91" s="516"/>
    </row>
    <row r="92" spans="1:17" ht="15.75" thickTop="1">
      <c r="A92" s="491"/>
      <c r="B92" s="495">
        <f>B28</f>
        <v>111</v>
      </c>
      <c r="C92" s="511"/>
      <c r="D92" s="511"/>
      <c r="E92" s="511"/>
      <c r="F92" s="511"/>
      <c r="G92" s="540"/>
      <c r="H92" s="540"/>
      <c r="I92" s="540"/>
      <c r="J92" s="540"/>
      <c r="K92" s="541"/>
      <c r="L92" s="542"/>
      <c r="M92" s="543"/>
      <c r="N92" s="1063"/>
      <c r="O92" s="1063"/>
      <c r="P92" s="2109"/>
      <c r="Q92" s="461"/>
    </row>
    <row r="93" spans="1:17" ht="15.75" thickBot="1">
      <c r="A93" s="491"/>
      <c r="B93" s="500"/>
      <c r="C93" s="517"/>
      <c r="D93" s="493"/>
      <c r="E93" s="493"/>
      <c r="F93" s="493"/>
      <c r="G93" s="493"/>
      <c r="H93" s="493"/>
      <c r="I93" s="493"/>
      <c r="J93" s="493"/>
      <c r="K93" s="493"/>
      <c r="L93" s="493"/>
      <c r="M93" s="494"/>
      <c r="N93" s="1064"/>
      <c r="O93" s="1064"/>
      <c r="P93" s="2109"/>
      <c r="Q93" s="461"/>
    </row>
    <row r="94" spans="1:17" ht="15.75" thickTop="1">
      <c r="A94" s="491"/>
      <c r="B94" s="495">
        <f>B29</f>
        <v>111</v>
      </c>
      <c r="C94" s="511"/>
      <c r="D94" s="511"/>
      <c r="E94" s="511"/>
      <c r="F94" s="511"/>
      <c r="G94" s="540"/>
      <c r="H94" s="540"/>
      <c r="I94" s="540"/>
      <c r="J94" s="540"/>
      <c r="K94" s="541"/>
      <c r="L94" s="542"/>
      <c r="M94" s="543"/>
      <c r="N94" s="1063"/>
      <c r="O94" s="1063"/>
      <c r="P94" s="2109"/>
      <c r="Q94" s="461"/>
    </row>
    <row r="95" spans="1:17" ht="15.75" thickBot="1">
      <c r="A95" s="491"/>
      <c r="B95" s="500"/>
      <c r="C95" s="517"/>
      <c r="D95" s="517"/>
      <c r="E95" s="517"/>
      <c r="F95" s="517"/>
      <c r="G95" s="493"/>
      <c r="H95" s="493"/>
      <c r="I95" s="493"/>
      <c r="J95" s="493"/>
      <c r="K95" s="493"/>
      <c r="L95" s="493"/>
      <c r="M95" s="494"/>
      <c r="N95" s="1064"/>
      <c r="O95" s="1064"/>
      <c r="P95" s="2109"/>
      <c r="Q95" s="461"/>
    </row>
    <row r="96" spans="1:17" ht="15.75" thickTop="1">
      <c r="A96" s="491"/>
      <c r="B96" s="495">
        <f>B30</f>
        <v>111</v>
      </c>
      <c r="C96" s="511"/>
      <c r="D96" s="511"/>
      <c r="E96" s="511"/>
      <c r="F96" s="511"/>
      <c r="G96" s="540"/>
      <c r="H96" s="540"/>
      <c r="I96" s="540"/>
      <c r="J96" s="540"/>
      <c r="K96" s="541"/>
      <c r="L96" s="542"/>
      <c r="M96" s="543"/>
      <c r="N96" s="1063"/>
      <c r="O96" s="1063"/>
      <c r="P96" s="2109"/>
      <c r="Q96" s="461"/>
    </row>
    <row r="97" spans="1:17" ht="15.75" thickBot="1">
      <c r="A97" s="491"/>
      <c r="B97" s="500"/>
      <c r="C97" s="527"/>
      <c r="D97" s="527"/>
      <c r="E97" s="527"/>
      <c r="F97" s="527"/>
      <c r="G97" s="493"/>
      <c r="H97" s="493"/>
      <c r="I97" s="493"/>
      <c r="J97" s="493"/>
      <c r="K97" s="493"/>
      <c r="L97" s="493"/>
      <c r="M97" s="494"/>
      <c r="N97" s="1064"/>
      <c r="O97" s="1064"/>
      <c r="P97" s="2109"/>
      <c r="Q97" s="461"/>
    </row>
    <row r="98" spans="1:17" ht="15.75" thickTop="1">
      <c r="A98" s="491"/>
      <c r="B98" s="503">
        <f>B31</f>
        <v>111</v>
      </c>
      <c r="C98" s="544"/>
      <c r="D98" s="544"/>
      <c r="E98" s="544"/>
      <c r="F98" s="544"/>
      <c r="G98" s="544"/>
      <c r="H98" s="544"/>
      <c r="I98" s="544"/>
      <c r="J98" s="544"/>
      <c r="K98" s="545"/>
      <c r="L98" s="546"/>
      <c r="M98" s="547"/>
      <c r="N98" s="1063"/>
      <c r="O98" s="1063"/>
      <c r="P98" s="2109"/>
      <c r="Q98" s="461"/>
    </row>
    <row r="99" spans="1:17" ht="15.75" thickBot="1">
      <c r="A99" s="2115"/>
      <c r="B99" s="526"/>
      <c r="C99" s="548"/>
      <c r="D99" s="548"/>
      <c r="E99" s="548"/>
      <c r="F99" s="548"/>
      <c r="G99" s="548"/>
      <c r="H99" s="548"/>
      <c r="I99" s="548"/>
      <c r="J99" s="548"/>
      <c r="K99" s="548"/>
      <c r="L99" s="548"/>
      <c r="M99" s="549"/>
      <c r="N99" s="1064"/>
      <c r="O99" s="1064"/>
      <c r="P99" s="2109"/>
      <c r="Q99" s="461"/>
    </row>
    <row r="100" spans="1:17">
      <c r="A100" s="484" t="s">
        <v>2373</v>
      </c>
      <c r="B100" s="485" t="s">
        <v>2422</v>
      </c>
      <c r="C100" s="487"/>
      <c r="D100" s="487"/>
      <c r="E100" s="487"/>
      <c r="F100" s="487"/>
      <c r="G100" s="487"/>
      <c r="H100" s="487"/>
      <c r="I100" s="487"/>
      <c r="J100" s="487"/>
      <c r="K100" s="488"/>
      <c r="L100" s="489"/>
      <c r="M100" s="490"/>
      <c r="N100" s="1063"/>
      <c r="O100" s="1063"/>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9"/>
      <c r="Q101" s="461"/>
    </row>
    <row r="102" spans="1:17" ht="15.75" thickTop="1">
      <c r="A102" s="491"/>
      <c r="B102" s="495" t="s">
        <v>2423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9"/>
      <c r="Q102" s="461"/>
    </row>
    <row r="103" spans="1:17" s="430" customFormat="1">
      <c r="A103" s="550"/>
      <c r="B103" s="551"/>
      <c r="C103" s="552"/>
      <c r="D103" s="552"/>
      <c r="E103" s="552"/>
      <c r="F103" s="552"/>
      <c r="G103" s="552"/>
      <c r="H103" s="552"/>
      <c r="I103" s="552"/>
      <c r="J103" s="553"/>
      <c r="K103" s="553"/>
      <c r="L103" s="554"/>
      <c r="M103" s="555"/>
      <c r="N103" s="1065"/>
      <c r="O103" s="1065"/>
      <c r="P103" s="2110"/>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10"/>
      <c r="Q104" s="516"/>
    </row>
    <row r="105" spans="1:17" ht="15" thickTop="1">
      <c r="A105" s="556"/>
      <c r="B105" s="495" t="s">
        <v>2424</v>
      </c>
      <c r="C105" s="511"/>
      <c r="D105" s="511"/>
      <c r="E105" s="540"/>
      <c r="F105" s="540"/>
      <c r="G105" s="540"/>
      <c r="H105" s="540"/>
      <c r="I105" s="540"/>
      <c r="J105" s="540"/>
      <c r="K105" s="541"/>
      <c r="L105" s="542"/>
      <c r="M105" s="543"/>
      <c r="N105" s="1063"/>
      <c r="O105" s="1063"/>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9"/>
      <c r="Q106" s="461"/>
    </row>
    <row r="107" spans="1:17" ht="15" thickTop="1">
      <c r="A107" s="556"/>
      <c r="B107" s="495" t="s">
        <v>2425</v>
      </c>
      <c r="C107" s="540"/>
      <c r="D107" s="540"/>
      <c r="E107" s="540"/>
      <c r="F107" s="540"/>
      <c r="G107" s="540"/>
      <c r="H107" s="540"/>
      <c r="I107" s="540"/>
      <c r="J107" s="540"/>
      <c r="K107" s="541"/>
      <c r="L107" s="542"/>
      <c r="M107" s="543"/>
      <c r="N107" s="1063"/>
      <c r="O107" s="1063"/>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9"/>
      <c r="Q108" s="461"/>
    </row>
    <row r="109" spans="1:17" ht="15" thickTop="1">
      <c r="A109" s="556"/>
      <c r="B109" s="495" t="s">
        <v>2426</v>
      </c>
      <c r="C109" s="511"/>
      <c r="D109" s="511"/>
      <c r="E109" s="511"/>
      <c r="F109" s="540"/>
      <c r="G109" s="540"/>
      <c r="H109" s="540"/>
      <c r="I109" s="540"/>
      <c r="J109" s="540"/>
      <c r="K109" s="541"/>
      <c r="L109" s="542"/>
      <c r="M109" s="543"/>
      <c r="N109" s="1063"/>
      <c r="O109" s="1063"/>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9"/>
      <c r="Q110" s="461"/>
    </row>
    <row r="111" spans="1:17" s="430" customFormat="1" ht="15" thickTop="1">
      <c r="A111" s="550"/>
      <c r="B111" s="495" t="s">
        <v>1867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10"/>
      <c r="Q113" s="516"/>
    </row>
    <row r="114" spans="1:17" ht="15" thickTop="1">
      <c r="A114" s="556"/>
      <c r="B114" s="495" t="s">
        <v>2427</v>
      </c>
      <c r="C114" s="511"/>
      <c r="D114" s="511"/>
      <c r="E114" s="540"/>
      <c r="F114" s="540"/>
      <c r="G114" s="540"/>
      <c r="H114" s="540"/>
      <c r="I114" s="540"/>
      <c r="J114" s="540"/>
      <c r="K114" s="541"/>
      <c r="L114" s="542"/>
      <c r="M114" s="543"/>
      <c r="N114" s="1063"/>
      <c r="O114" s="1063"/>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9"/>
      <c r="Q115" s="461"/>
    </row>
    <row r="116" spans="1:17" ht="15" thickTop="1">
      <c r="A116" s="556"/>
      <c r="B116" s="495" t="s">
        <v>2428</v>
      </c>
      <c r="C116" s="511"/>
      <c r="D116" s="511"/>
      <c r="E116" s="511"/>
      <c r="F116" s="511"/>
      <c r="G116" s="511"/>
      <c r="H116" s="540"/>
      <c r="I116" s="540"/>
      <c r="J116" s="540"/>
      <c r="K116" s="541"/>
      <c r="L116" s="542"/>
      <c r="M116" s="543"/>
      <c r="N116" s="1063"/>
      <c r="O116" s="1063"/>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9"/>
      <c r="Q117" s="461"/>
    </row>
    <row r="118" spans="1:17" ht="15" thickTop="1">
      <c r="A118" s="556"/>
      <c r="B118" s="495" t="s">
        <v>2429</v>
      </c>
      <c r="C118" s="540"/>
      <c r="D118" s="540"/>
      <c r="E118" s="540"/>
      <c r="F118" s="540"/>
      <c r="G118" s="540"/>
      <c r="H118" s="540"/>
      <c r="I118" s="540"/>
      <c r="J118" s="540"/>
      <c r="K118" s="541"/>
      <c r="L118" s="542"/>
      <c r="M118" s="543"/>
      <c r="N118" s="1063"/>
      <c r="O118" s="1063"/>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9"/>
      <c r="Q119" s="461"/>
    </row>
    <row r="120" spans="1:17" s="430" customFormat="1" ht="28.5" thickTop="1">
      <c r="A120" s="550"/>
      <c r="B120" s="495" t="s">
        <v>2384</v>
      </c>
      <c r="C120" s="511"/>
      <c r="D120" s="511"/>
      <c r="E120" s="511"/>
      <c r="F120" s="511"/>
      <c r="G120" s="511"/>
      <c r="H120" s="511"/>
      <c r="I120" s="511"/>
      <c r="J120" s="511"/>
      <c r="K120" s="511"/>
      <c r="L120" s="537"/>
      <c r="M120" s="538"/>
      <c r="N120" s="1065"/>
      <c r="O120" s="1065"/>
      <c r="P120" s="2110"/>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10"/>
      <c r="Q121" s="516"/>
    </row>
    <row r="122" spans="1:17" ht="15" thickTop="1">
      <c r="A122" s="556"/>
      <c r="B122" s="495" t="s">
        <v>2430</v>
      </c>
      <c r="C122" s="511"/>
      <c r="D122" s="511"/>
      <c r="E122" s="511"/>
      <c r="F122" s="540"/>
      <c r="G122" s="540"/>
      <c r="H122" s="540"/>
      <c r="I122" s="540"/>
      <c r="J122" s="540"/>
      <c r="K122" s="541"/>
      <c r="L122" s="542"/>
      <c r="M122" s="543"/>
      <c r="N122" s="1063"/>
      <c r="O122" s="1063"/>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9"/>
      <c r="Q123" s="461"/>
    </row>
    <row r="124" spans="1:17" ht="15" thickTop="1">
      <c r="A124" s="556"/>
      <c r="B124" s="495" t="s">
        <v>2431</v>
      </c>
      <c r="C124" s="535" t="s">
        <v>2407</v>
      </c>
      <c r="D124" s="535" t="s">
        <v>2408</v>
      </c>
      <c r="E124" s="535" t="s">
        <v>2409</v>
      </c>
      <c r="F124" s="535" t="s">
        <v>2410</v>
      </c>
      <c r="G124" s="535" t="s">
        <v>2411</v>
      </c>
      <c r="H124" s="496"/>
      <c r="I124" s="496"/>
      <c r="J124" s="496"/>
      <c r="K124" s="497"/>
      <c r="L124" s="498"/>
      <c r="M124" s="499"/>
      <c r="N124" s="1063"/>
      <c r="O124" s="1063"/>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9"/>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10"/>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10"/>
      <c r="Q127" s="516"/>
    </row>
    <row r="128" spans="1:17" ht="15" thickTop="1">
      <c r="A128" s="556"/>
      <c r="B128" s="495">
        <f>B45</f>
        <v>111</v>
      </c>
      <c r="C128" s="511"/>
      <c r="D128" s="511"/>
      <c r="E128" s="511"/>
      <c r="F128" s="511"/>
      <c r="G128" s="540"/>
      <c r="H128" s="540"/>
      <c r="I128" s="540"/>
      <c r="J128" s="540"/>
      <c r="K128" s="541"/>
      <c r="L128" s="542"/>
      <c r="M128" s="543"/>
      <c r="N128" s="1063"/>
      <c r="O128" s="1063"/>
      <c r="P128" s="2109"/>
      <c r="Q128" s="461"/>
    </row>
    <row r="129" spans="1:17" ht="15.75" thickBot="1">
      <c r="A129" s="491"/>
      <c r="B129" s="500"/>
      <c r="C129" s="517"/>
      <c r="D129" s="517"/>
      <c r="E129" s="517"/>
      <c r="F129" s="517"/>
      <c r="G129" s="493"/>
      <c r="H129" s="493"/>
      <c r="I129" s="493"/>
      <c r="J129" s="493"/>
      <c r="K129" s="493"/>
      <c r="L129" s="493"/>
      <c r="M129" s="494"/>
      <c r="N129" s="1064"/>
      <c r="O129" s="1064"/>
      <c r="P129" s="2109"/>
      <c r="Q129" s="461"/>
    </row>
    <row r="130" spans="1:17" ht="15" thickTop="1">
      <c r="A130" s="556"/>
      <c r="B130" s="503">
        <f>B46</f>
        <v>111</v>
      </c>
      <c r="C130" s="511"/>
      <c r="D130" s="511"/>
      <c r="E130" s="511"/>
      <c r="F130" s="511"/>
      <c r="G130" s="544"/>
      <c r="H130" s="544"/>
      <c r="I130" s="544"/>
      <c r="J130" s="544"/>
      <c r="K130" s="480"/>
      <c r="L130" s="481"/>
      <c r="M130" s="547"/>
      <c r="N130" s="1063"/>
      <c r="O130" s="1063"/>
      <c r="P130" s="2109"/>
      <c r="Q130" s="461"/>
    </row>
    <row r="131" spans="1:17" ht="15.75" thickBot="1">
      <c r="A131" s="2115"/>
      <c r="B131" s="526"/>
      <c r="C131" s="527"/>
      <c r="D131" s="527"/>
      <c r="E131" s="527"/>
      <c r="F131" s="527"/>
      <c r="G131" s="548"/>
      <c r="H131" s="548"/>
      <c r="I131" s="548"/>
      <c r="J131" s="548"/>
      <c r="K131" s="548"/>
      <c r="L131" s="548"/>
      <c r="M131" s="549"/>
      <c r="N131" s="1064"/>
      <c r="O131" s="1064"/>
      <c r="P131" s="2109"/>
      <c r="Q131" s="461"/>
    </row>
    <row r="136" spans="1:17" ht="15" thickBot="1">
      <c r="B136" s="2116" t="s">
        <v>2432</v>
      </c>
    </row>
    <row r="137" spans="1:17" ht="15">
      <c r="B137" s="2117" t="s">
        <v>2433</v>
      </c>
      <c r="C137" s="2118"/>
      <c r="D137" s="2118"/>
      <c r="E137" s="2118"/>
      <c r="F137" s="2118"/>
      <c r="G137" s="2119"/>
      <c r="H137" s="2120"/>
      <c r="I137" s="2121" t="s">
        <v>2434</v>
      </c>
      <c r="J137" s="2118"/>
      <c r="K137" s="2122"/>
    </row>
    <row r="138" spans="1:17" ht="15">
      <c r="B138" s="2123"/>
      <c r="C138" s="142" t="s">
        <v>2435</v>
      </c>
      <c r="D138" s="142" t="s">
        <v>2436</v>
      </c>
      <c r="E138" s="2124" t="s">
        <v>2437</v>
      </c>
      <c r="F138" s="2125" t="s">
        <v>2438</v>
      </c>
      <c r="G138" s="142" t="s">
        <v>2436</v>
      </c>
      <c r="H138" s="143" t="s">
        <v>2437</v>
      </c>
      <c r="I138" s="2126"/>
      <c r="J138" s="142" t="s">
        <v>2439</v>
      </c>
      <c r="K138" s="143" t="s">
        <v>2440</v>
      </c>
    </row>
    <row r="139" spans="1:17" ht="15">
      <c r="B139" s="997">
        <v>6</v>
      </c>
      <c r="C139" s="998">
        <v>96</v>
      </c>
      <c r="D139" s="2127" t="s">
        <v>2441</v>
      </c>
      <c r="E139" s="999">
        <v>100</v>
      </c>
      <c r="F139" s="1000">
        <v>102.5</v>
      </c>
      <c r="G139" s="2127" t="s">
        <v>2441</v>
      </c>
      <c r="H139" s="1001">
        <v>105</v>
      </c>
      <c r="I139" s="2128" t="s">
        <v>2442</v>
      </c>
      <c r="J139" s="998">
        <v>20</v>
      </c>
      <c r="K139" s="1002">
        <f>C145/(J139-2)</f>
        <v>4.0555555555555553E-3</v>
      </c>
    </row>
    <row r="140" spans="1:17" ht="15">
      <c r="B140" s="1003">
        <v>5</v>
      </c>
      <c r="C140" s="1004">
        <v>100</v>
      </c>
      <c r="D140" s="1004"/>
      <c r="E140" s="1005"/>
      <c r="F140" s="1006">
        <v>102</v>
      </c>
      <c r="G140" s="1004"/>
      <c r="H140" s="1007"/>
      <c r="I140" s="2129" t="s">
        <v>2443</v>
      </c>
      <c r="J140" s="277">
        <f>ROUNDUP((J139-1)/2,0)</f>
        <v>10</v>
      </c>
      <c r="K140" s="1008">
        <v>100</v>
      </c>
    </row>
    <row r="141" spans="1:17" ht="15">
      <c r="B141" s="1003">
        <v>4</v>
      </c>
      <c r="C141" s="1004">
        <v>102</v>
      </c>
      <c r="D141" s="1004"/>
      <c r="E141" s="1005"/>
      <c r="F141" s="1006">
        <v>101.5</v>
      </c>
      <c r="G141" s="1004"/>
      <c r="H141" s="1007"/>
      <c r="I141" s="2129" t="s">
        <v>2444</v>
      </c>
      <c r="J141" s="277">
        <v>1</v>
      </c>
      <c r="K141" s="1009">
        <f>ROUND(100+(J141-J140)*K139*100,1)</f>
        <v>96.4</v>
      </c>
    </row>
    <row r="142" spans="1:17" ht="15">
      <c r="B142" s="1003">
        <v>3</v>
      </c>
      <c r="C142" s="1004">
        <v>103</v>
      </c>
      <c r="D142" s="1004"/>
      <c r="E142" s="1005"/>
      <c r="F142" s="1006">
        <v>101</v>
      </c>
      <c r="G142" s="1004"/>
      <c r="H142" s="1007"/>
      <c r="I142" s="2129" t="s">
        <v>2445</v>
      </c>
      <c r="J142" s="277">
        <f>J139</f>
        <v>20</v>
      </c>
      <c r="K142" s="1010">
        <v>95</v>
      </c>
    </row>
    <row r="143" spans="1:17" ht="15">
      <c r="B143" s="1003">
        <v>2</v>
      </c>
      <c r="C143" s="1004">
        <v>100</v>
      </c>
      <c r="D143" s="1004"/>
      <c r="E143" s="1005"/>
      <c r="F143" s="1006">
        <v>100.5</v>
      </c>
      <c r="G143" s="1004"/>
      <c r="H143" s="1007"/>
      <c r="I143" s="2129" t="s">
        <v>2446</v>
      </c>
      <c r="J143" s="1004">
        <v>15</v>
      </c>
      <c r="K143" s="1009">
        <f>ROUND(100+(J143-J140)*K139*100,1)</f>
        <v>102</v>
      </c>
    </row>
    <row r="144" spans="1:17" ht="15">
      <c r="B144" s="1003">
        <v>1</v>
      </c>
      <c r="C144" s="1004">
        <v>98</v>
      </c>
      <c r="D144" s="2130" t="s">
        <v>2447</v>
      </c>
      <c r="E144" s="1005">
        <v>102</v>
      </c>
      <c r="F144" s="1011">
        <v>100</v>
      </c>
      <c r="G144" s="2130" t="s">
        <v>2447</v>
      </c>
      <c r="H144" s="1007">
        <v>105</v>
      </c>
      <c r="I144" s="2129" t="s">
        <v>2446</v>
      </c>
      <c r="J144" s="1004">
        <v>18</v>
      </c>
      <c r="K144" s="1009">
        <f>ROUND(100+(J144-J140)*K139*100,1)</f>
        <v>103.2</v>
      </c>
    </row>
    <row r="145" spans="2:11" ht="15.75" thickBot="1">
      <c r="B145" s="2131" t="s">
        <v>2448</v>
      </c>
      <c r="C145" s="1012">
        <f>ROUND(MAX(C139:C144)/MIN(C139:C144)-1,3)</f>
        <v>7.2999999999999995E-2</v>
      </c>
      <c r="D145" s="1013"/>
      <c r="E145" s="1013"/>
      <c r="F145" s="2132" t="s">
        <v>2449</v>
      </c>
      <c r="G145" s="2133"/>
      <c r="H145" s="2134"/>
      <c r="I145" s="2135" t="s">
        <v>2446</v>
      </c>
      <c r="J145" s="1014">
        <v>8</v>
      </c>
      <c r="K145" s="1015">
        <f>ROUND(100+(J145-J140)*K139*100,1)</f>
        <v>99.2</v>
      </c>
    </row>
    <row r="147" spans="2:11">
      <c r="B147" s="2116" t="s">
        <v>2450</v>
      </c>
    </row>
    <row r="148" spans="2:11">
      <c r="B148" s="2116" t="s">
        <v>2451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2338</v>
      </c>
      <c r="B1" s="2065" t="s">
        <v>2452</v>
      </c>
      <c r="C1" s="1405" t="s">
        <v>2340</v>
      </c>
      <c r="D1" s="1392"/>
      <c r="E1" s="2544"/>
      <c r="F1" s="2066"/>
      <c r="G1" s="1402" t="s">
        <v>2453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2140</v>
      </c>
      <c r="B2" s="1325" t="e">
        <f ca="1">IF(C2="——",ROUND(C49*D3/10000,0),ROUND(C49*D3/10000,0)-D2)</f>
        <v>#DIV/0!</v>
      </c>
      <c r="C2" s="2068"/>
      <c r="D2" s="1274" t="e">
        <f ca="1">SUMIF(INDIRECT("'"&amp;F2&amp;"'"&amp;"!A:A"),"承租人权益价值",INDIRECT("'"&amp;F2&amp;"'"&amp;"!c:c"))</f>
        <v>#REF!</v>
      </c>
      <c r="E2" s="2069" t="s">
        <v>2141</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8" customFormat="1" ht="28.5" customHeight="1" thickBot="1">
      <c r="A3" s="209" t="s">
        <v>2142</v>
      </c>
      <c r="B3" s="566" t="e">
        <f ca="1">IF(C2="——",C49,ROUND(B2*10000/D3,0))</f>
        <v>#DIV/0!</v>
      </c>
      <c r="C3" s="360" t="s">
        <v>2454</v>
      </c>
      <c r="D3" s="359">
        <f>IF(D1="",'数据-汇总表'!E3,SUMIF('数据-汇总表'!$C19:$C33,D1,'数据-汇总表'!$E19:$E33))</f>
        <v>714394.25</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1" t="s">
        <v>2455</v>
      </c>
      <c r="B4" s="362"/>
      <c r="C4" s="3979" t="s">
        <v>2456</v>
      </c>
      <c r="D4" s="3980"/>
      <c r="E4" s="3981" t="s">
        <v>2457</v>
      </c>
      <c r="F4" s="3982"/>
      <c r="G4" s="3979" t="s">
        <v>2458</v>
      </c>
      <c r="H4" s="3980"/>
      <c r="I4" s="3979" t="s">
        <v>2459</v>
      </c>
      <c r="J4" s="3980"/>
      <c r="K4" s="567" t="s">
        <v>2460</v>
      </c>
      <c r="L4" s="2941"/>
      <c r="M4" s="2942"/>
      <c r="N4" s="2942"/>
      <c r="O4" s="2942"/>
      <c r="P4" s="3983" t="s">
        <v>2461</v>
      </c>
      <c r="Q4" s="3984"/>
      <c r="R4" s="3966" t="s">
        <v>2457</v>
      </c>
      <c r="S4" s="3967"/>
      <c r="T4" s="3966" t="s">
        <v>2458</v>
      </c>
      <c r="U4" s="3967"/>
      <c r="V4" s="3991" t="s">
        <v>2459</v>
      </c>
      <c r="W4" s="3991"/>
      <c r="X4" s="1540"/>
      <c r="Y4" s="3966" t="s">
        <v>2461</v>
      </c>
      <c r="Z4" s="3967"/>
      <c r="AA4" s="3961" t="s">
        <v>2457</v>
      </c>
      <c r="AB4" s="3991" t="s">
        <v>2458</v>
      </c>
      <c r="AC4" s="3961" t="s">
        <v>2459</v>
      </c>
    </row>
    <row r="5" spans="1:29" ht="15">
      <c r="A5" s="364"/>
      <c r="B5" s="365"/>
      <c r="C5" s="3972" t="s">
        <v>2352</v>
      </c>
      <c r="D5" s="3973"/>
      <c r="E5" s="3970" t="s">
        <v>2353</v>
      </c>
      <c r="F5" s="3971"/>
      <c r="G5" s="3972" t="s">
        <v>2354</v>
      </c>
      <c r="H5" s="3973"/>
      <c r="I5" s="3972" t="s">
        <v>2355</v>
      </c>
      <c r="J5" s="3973"/>
      <c r="K5" s="567"/>
      <c r="L5" s="2941"/>
      <c r="M5" s="2942"/>
      <c r="N5" s="2942"/>
      <c r="O5" s="2942"/>
      <c r="P5" s="3985"/>
      <c r="Q5" s="3986"/>
      <c r="R5" s="3968"/>
      <c r="S5" s="3969"/>
      <c r="T5" s="3968"/>
      <c r="U5" s="3969"/>
      <c r="V5" s="3991"/>
      <c r="W5" s="3991"/>
      <c r="X5" s="1540"/>
      <c r="Y5" s="3968"/>
      <c r="Z5" s="3969"/>
      <c r="AA5" s="3962"/>
      <c r="AB5" s="3991"/>
      <c r="AC5" s="3962"/>
    </row>
    <row r="6" spans="1:29" ht="15.75" thickBot="1">
      <c r="A6" s="366"/>
      <c r="B6" s="367"/>
      <c r="C6" s="3974" t="s">
        <v>2356</v>
      </c>
      <c r="D6" s="3975"/>
      <c r="E6" s="3976" t="s">
        <v>2356</v>
      </c>
      <c r="F6" s="3977"/>
      <c r="G6" s="3974" t="s">
        <v>2356</v>
      </c>
      <c r="H6" s="3975"/>
      <c r="I6" s="3974" t="s">
        <v>2356</v>
      </c>
      <c r="J6" s="3975"/>
      <c r="K6" s="567" t="s">
        <v>2357</v>
      </c>
      <c r="L6" s="2941"/>
      <c r="M6" s="2942"/>
      <c r="N6" s="2942"/>
      <c r="O6" s="2942"/>
      <c r="P6" s="3987"/>
      <c r="Q6" s="3988"/>
      <c r="R6" s="3968"/>
      <c r="S6" s="3969"/>
      <c r="T6" s="3989"/>
      <c r="U6" s="3990"/>
      <c r="V6" s="3991"/>
      <c r="W6" s="3991"/>
      <c r="X6" s="1540"/>
      <c r="Y6" s="3989"/>
      <c r="Z6" s="3990"/>
      <c r="AA6" s="3963"/>
      <c r="AB6" s="3991"/>
      <c r="AC6" s="3963"/>
    </row>
    <row r="7" spans="1:29" s="113" customFormat="1" ht="15.75" thickBot="1">
      <c r="A7" s="368" t="s">
        <v>2358</v>
      </c>
      <c r="B7" s="369"/>
      <c r="C7" s="370">
        <f>'数据-取费表'!B2</f>
        <v>44186</v>
      </c>
      <c r="D7" s="371">
        <v>100</v>
      </c>
      <c r="E7" s="372"/>
      <c r="F7" s="373">
        <f>SUMIF(58:58,YEAR(E7)&amp;"-"&amp;MONTH(E7),59:59)</f>
        <v>0</v>
      </c>
      <c r="G7" s="372"/>
      <c r="H7" s="371">
        <f>SUMIF(58:58,YEAR(G7)&amp;"-"&amp;MONTH(G7),59:59)</f>
        <v>0</v>
      </c>
      <c r="I7" s="372"/>
      <c r="J7" s="371">
        <f>SUMIF(58:58,YEAR(I7)&amp;"-"&amp;MONTH(I7),59:59)</f>
        <v>0</v>
      </c>
      <c r="K7" s="568"/>
      <c r="L7" s="2943"/>
      <c r="M7" s="2944"/>
      <c r="N7" s="2944"/>
      <c r="O7" s="2944"/>
      <c r="P7" s="3964" t="s">
        <v>2359</v>
      </c>
      <c r="Q7" s="3992"/>
      <c r="R7" s="710" t="s">
        <v>17</v>
      </c>
      <c r="S7" s="711">
        <f t="shared" ref="S7:S15" si="0">F7</f>
        <v>0</v>
      </c>
      <c r="T7" s="710" t="s">
        <v>17</v>
      </c>
      <c r="U7" s="711">
        <f t="shared" ref="U7:U15" si="1">H7</f>
        <v>0</v>
      </c>
      <c r="V7" s="710" t="s">
        <v>17</v>
      </c>
      <c r="W7" s="711">
        <f t="shared" ref="W7:W15" si="2">J7</f>
        <v>0</v>
      </c>
      <c r="X7" s="712"/>
      <c r="Y7" s="3964" t="s">
        <v>2359</v>
      </c>
      <c r="Z7" s="3965"/>
      <c r="AA7" s="713" t="e">
        <f>D7/F7</f>
        <v>#DIV/0!</v>
      </c>
      <c r="AB7" s="713" t="e">
        <f>D7/H7</f>
        <v>#DIV/0!</v>
      </c>
      <c r="AC7" s="713" t="e">
        <f>D7/J7</f>
        <v>#DIV/0!</v>
      </c>
    </row>
    <row r="8" spans="1:29" s="113" customFormat="1" ht="15.75" thickBot="1">
      <c r="A8" s="368" t="s">
        <v>2360</v>
      </c>
      <c r="B8" s="369"/>
      <c r="C8" s="374" t="s">
        <v>2462</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964" t="s">
        <v>2362</v>
      </c>
      <c r="Q8" s="3965"/>
      <c r="R8" s="710" t="s">
        <v>17</v>
      </c>
      <c r="S8" s="711">
        <f t="shared" si="0"/>
        <v>0</v>
      </c>
      <c r="T8" s="710" t="s">
        <v>17</v>
      </c>
      <c r="U8" s="711">
        <f t="shared" si="1"/>
        <v>0</v>
      </c>
      <c r="V8" s="710" t="s">
        <v>17</v>
      </c>
      <c r="W8" s="711">
        <f t="shared" si="2"/>
        <v>0</v>
      </c>
      <c r="X8" s="712"/>
      <c r="Y8" s="3964" t="s">
        <v>2362</v>
      </c>
      <c r="Z8" s="3965"/>
      <c r="AA8" s="713" t="e">
        <f t="shared" ref="AA8:AA46" si="3">D8/F8</f>
        <v>#DIV/0!</v>
      </c>
      <c r="AB8" s="713" t="e">
        <f t="shared" ref="AB8:AB46" si="4">D8/H8</f>
        <v>#DIV/0!</v>
      </c>
      <c r="AC8" s="713" t="e">
        <f t="shared" ref="AC8:AC46" si="5">D8/J8</f>
        <v>#DIV/0!</v>
      </c>
    </row>
    <row r="9" spans="1:29" s="113" customFormat="1">
      <c r="A9" s="375" t="s">
        <v>2363</v>
      </c>
      <c r="B9" s="67" t="s">
        <v>2364</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4002"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713">
        <f t="shared" si="5"/>
        <v>1</v>
      </c>
    </row>
    <row r="10" spans="1:29" s="386" customFormat="1" ht="27">
      <c r="A10" s="380"/>
      <c r="B10" s="381" t="s">
        <v>2367</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4002"/>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713">
        <f t="shared" si="5"/>
        <v>1</v>
      </c>
    </row>
    <row r="11" spans="1:29" ht="15">
      <c r="A11" s="387"/>
      <c r="B11" s="381" t="s">
        <v>2368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4002"/>
      <c r="Q11" s="1528" t="str">
        <f t="shared" si="6"/>
        <v>容积率</v>
      </c>
      <c r="R11" s="710" t="s">
        <v>17</v>
      </c>
      <c r="S11" s="711" t="e">
        <f t="shared" si="0"/>
        <v>#N/A</v>
      </c>
      <c r="T11" s="710" t="s">
        <v>17</v>
      </c>
      <c r="U11" s="711" t="e">
        <f t="shared" si="1"/>
        <v>#N/A</v>
      </c>
      <c r="V11" s="710" t="s">
        <v>17</v>
      </c>
      <c r="W11" s="711" t="e">
        <f t="shared" si="2"/>
        <v>#N/A</v>
      </c>
      <c r="X11" s="712"/>
      <c r="Y11" s="393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4002"/>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4002"/>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4002"/>
      <c r="Q14" s="1528">
        <f t="shared" si="6"/>
        <v>111</v>
      </c>
      <c r="R14" s="710" t="s">
        <v>17</v>
      </c>
      <c r="S14" s="711">
        <f t="shared" si="0"/>
        <v>100</v>
      </c>
      <c r="T14" s="710" t="s">
        <v>17</v>
      </c>
      <c r="U14" s="711">
        <f t="shared" si="1"/>
        <v>100</v>
      </c>
      <c r="V14" s="710" t="s">
        <v>17</v>
      </c>
      <c r="W14" s="711">
        <f t="shared" si="2"/>
        <v>100</v>
      </c>
      <c r="X14" s="712"/>
      <c r="Y14" s="3937"/>
      <c r="Z14" s="55">
        <f t="shared" si="7"/>
        <v>111</v>
      </c>
      <c r="AA14" s="713">
        <f t="shared" si="3"/>
        <v>1</v>
      </c>
      <c r="AB14" s="713">
        <f t="shared" si="4"/>
        <v>1</v>
      </c>
      <c r="AC14" s="713">
        <f t="shared" si="5"/>
        <v>1</v>
      </c>
    </row>
    <row r="15" spans="1:29" ht="15">
      <c r="A15" s="399" t="s">
        <v>2369</v>
      </c>
      <c r="B15" s="65" t="s">
        <v>2463</v>
      </c>
      <c r="C15" s="2083" t="str">
        <f>估价对象房地状况!C4</f>
        <v>较差</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4041" t="s">
        <v>2370</v>
      </c>
      <c r="Q15" s="1537" t="str">
        <f t="shared" si="6"/>
        <v>商业繁华度</v>
      </c>
      <c r="R15" s="714" t="s">
        <v>17</v>
      </c>
      <c r="S15" s="715">
        <f t="shared" si="0"/>
        <v>100</v>
      </c>
      <c r="T15" s="714" t="s">
        <v>17</v>
      </c>
      <c r="U15" s="715">
        <f t="shared" si="1"/>
        <v>100</v>
      </c>
      <c r="V15" s="714" t="s">
        <v>17</v>
      </c>
      <c r="W15" s="715">
        <f t="shared" si="2"/>
        <v>100</v>
      </c>
      <c r="X15" s="1540"/>
      <c r="Y15" s="3993" t="s">
        <v>2370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8"/>
      <c r="M16" s="2942"/>
      <c r="N16" s="2942"/>
      <c r="O16" s="2942"/>
      <c r="P16" s="4042"/>
      <c r="Q16" s="1537"/>
      <c r="R16" s="714"/>
      <c r="S16" s="715"/>
      <c r="T16" s="714"/>
      <c r="U16" s="715"/>
      <c r="V16" s="714"/>
      <c r="W16" s="715"/>
      <c r="X16" s="1540"/>
      <c r="Y16" s="3994"/>
      <c r="Z16" s="1541"/>
      <c r="AA16" s="1538">
        <v>1</v>
      </c>
      <c r="AB16" s="1538">
        <v>1</v>
      </c>
      <c r="AC16" s="1538">
        <v>1</v>
      </c>
    </row>
    <row r="17" spans="1:29" ht="15">
      <c r="A17" s="387"/>
      <c r="B17" s="410" t="s">
        <v>1937</v>
      </c>
      <c r="C17" s="2087" t="str">
        <f>估价对象房地状况!C6</f>
        <v>较差</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4042"/>
      <c r="Q17" s="1537" t="str">
        <f>B17</f>
        <v>交通便捷度</v>
      </c>
      <c r="R17" s="714" t="s">
        <v>17</v>
      </c>
      <c r="S17" s="715">
        <f>F17</f>
        <v>100</v>
      </c>
      <c r="T17" s="714" t="s">
        <v>17</v>
      </c>
      <c r="U17" s="715">
        <f>H17</f>
        <v>100</v>
      </c>
      <c r="V17" s="714" t="s">
        <v>17</v>
      </c>
      <c r="W17" s="715">
        <f>J17</f>
        <v>100</v>
      </c>
      <c r="X17" s="1540"/>
      <c r="Y17" s="3994"/>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48"/>
      <c r="M18" s="2942"/>
      <c r="N18" s="2942"/>
      <c r="O18" s="2942"/>
      <c r="P18" s="4042"/>
      <c r="Q18" s="1537"/>
      <c r="R18" s="714"/>
      <c r="S18" s="715"/>
      <c r="T18" s="714"/>
      <c r="U18" s="715"/>
      <c r="V18" s="714"/>
      <c r="W18" s="715"/>
      <c r="X18" s="1540"/>
      <c r="Y18" s="3994"/>
      <c r="Z18" s="1541"/>
      <c r="AA18" s="1538">
        <v>1</v>
      </c>
      <c r="AB18" s="1538">
        <v>1</v>
      </c>
      <c r="AC18" s="1538">
        <v>1</v>
      </c>
    </row>
    <row r="19" spans="1:29" ht="15">
      <c r="A19" s="387"/>
      <c r="B19" s="410" t="s">
        <v>2464</v>
      </c>
      <c r="C19" s="2087" t="str">
        <f>估价对象房地状况!C7</f>
        <v>较差</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4042"/>
      <c r="Q19" s="1537" t="str">
        <f>B19</f>
        <v>公共配套设施</v>
      </c>
      <c r="R19" s="714" t="s">
        <v>17</v>
      </c>
      <c r="S19" s="715">
        <f>F19</f>
        <v>100</v>
      </c>
      <c r="T19" s="714" t="s">
        <v>17</v>
      </c>
      <c r="U19" s="715">
        <f>H19</f>
        <v>100</v>
      </c>
      <c r="V19" s="714" t="s">
        <v>17</v>
      </c>
      <c r="W19" s="715">
        <f>J19</f>
        <v>100</v>
      </c>
      <c r="X19" s="1540"/>
      <c r="Y19" s="3994"/>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48"/>
      <c r="M20" s="2942"/>
      <c r="N20" s="2942"/>
      <c r="O20" s="2942"/>
      <c r="P20" s="4042"/>
      <c r="Q20" s="1537"/>
      <c r="R20" s="714"/>
      <c r="S20" s="715"/>
      <c r="T20" s="714"/>
      <c r="U20" s="715"/>
      <c r="V20" s="714"/>
      <c r="W20" s="715"/>
      <c r="X20" s="1540"/>
      <c r="Y20" s="3994"/>
      <c r="Z20" s="1541"/>
      <c r="AA20" s="1538">
        <v>1</v>
      </c>
      <c r="AB20" s="1538">
        <v>1</v>
      </c>
      <c r="AC20" s="1538">
        <v>1</v>
      </c>
    </row>
    <row r="21" spans="1:29" ht="15">
      <c r="A21" s="387"/>
      <c r="B21" s="1292" t="s">
        <v>2465</v>
      </c>
      <c r="C21" s="208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4042"/>
      <c r="Q21" s="1537" t="str">
        <f>B21</f>
        <v>基础设施水平</v>
      </c>
      <c r="R21" s="714" t="s">
        <v>17</v>
      </c>
      <c r="S21" s="715">
        <f>F21</f>
        <v>100</v>
      </c>
      <c r="T21" s="714" t="s">
        <v>17</v>
      </c>
      <c r="U21" s="715">
        <f>H21</f>
        <v>100</v>
      </c>
      <c r="V21" s="714" t="s">
        <v>17</v>
      </c>
      <c r="W21" s="715">
        <f>J21</f>
        <v>100</v>
      </c>
      <c r="X21" s="1540"/>
      <c r="Y21" s="3994"/>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2948"/>
      <c r="M22" s="2942"/>
      <c r="N22" s="2942"/>
      <c r="O22" s="2942"/>
      <c r="P22" s="4042"/>
      <c r="Q22" s="1537"/>
      <c r="R22" s="714"/>
      <c r="S22" s="715"/>
      <c r="T22" s="714"/>
      <c r="U22" s="715"/>
      <c r="V22" s="714"/>
      <c r="W22" s="715"/>
      <c r="X22" s="1540"/>
      <c r="Y22" s="3994"/>
      <c r="Z22" s="1541"/>
      <c r="AA22" s="1538">
        <v>1</v>
      </c>
      <c r="AB22" s="1538">
        <v>1</v>
      </c>
      <c r="AC22" s="1538">
        <v>1</v>
      </c>
    </row>
    <row r="23" spans="1:29" ht="15">
      <c r="A23" s="387"/>
      <c r="B23" s="410" t="s">
        <v>1939</v>
      </c>
      <c r="C23" s="2142"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4042"/>
      <c r="Q23" s="1537" t="str">
        <f>B23</f>
        <v>自然及人文环境</v>
      </c>
      <c r="R23" s="714" t="s">
        <v>17</v>
      </c>
      <c r="S23" s="715">
        <f>F23</f>
        <v>100</v>
      </c>
      <c r="T23" s="714" t="s">
        <v>17</v>
      </c>
      <c r="U23" s="715">
        <f>H23</f>
        <v>100</v>
      </c>
      <c r="V23" s="714" t="s">
        <v>17</v>
      </c>
      <c r="W23" s="715">
        <f>J23</f>
        <v>100</v>
      </c>
      <c r="X23" s="1540"/>
      <c r="Y23" s="3994"/>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48"/>
      <c r="M24" s="2942"/>
      <c r="N24" s="2942"/>
      <c r="O24" s="2942"/>
      <c r="P24" s="4042"/>
      <c r="Q24" s="1537"/>
      <c r="R24" s="714"/>
      <c r="S24" s="715"/>
      <c r="T24" s="714"/>
      <c r="U24" s="715"/>
      <c r="V24" s="714"/>
      <c r="W24" s="715"/>
      <c r="X24" s="1540"/>
      <c r="Y24" s="3994"/>
      <c r="Z24" s="1541"/>
      <c r="AA24" s="1538">
        <v>1</v>
      </c>
      <c r="AB24" s="1538">
        <v>1</v>
      </c>
      <c r="AC24" s="1538">
        <v>1</v>
      </c>
    </row>
    <row r="25" spans="1:29" ht="15">
      <c r="A25" s="387"/>
      <c r="B25" s="381" t="s">
        <v>2466</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4042"/>
      <c r="Q25" s="1537" t="str">
        <f t="shared" ref="Q25:Q46" si="11">B25</f>
        <v>临街状况</v>
      </c>
      <c r="R25" s="714" t="s">
        <v>17</v>
      </c>
      <c r="S25" s="715">
        <f>F25</f>
        <v>100</v>
      </c>
      <c r="T25" s="714" t="s">
        <v>17</v>
      </c>
      <c r="U25" s="715">
        <f>H25</f>
        <v>100</v>
      </c>
      <c r="V25" s="714" t="s">
        <v>17</v>
      </c>
      <c r="W25" s="715">
        <f>J25</f>
        <v>100</v>
      </c>
      <c r="X25" s="1540"/>
      <c r="Y25" s="3994"/>
      <c r="Z25" s="1541" t="str">
        <f>Q25</f>
        <v>临街状况</v>
      </c>
      <c r="AA25" s="1538">
        <f t="shared" si="3"/>
        <v>1</v>
      </c>
      <c r="AB25" s="1538">
        <f t="shared" si="4"/>
        <v>1</v>
      </c>
      <c r="AC25" s="1538">
        <f t="shared" si="5"/>
        <v>1</v>
      </c>
    </row>
    <row r="26" spans="1:29" ht="15">
      <c r="A26" s="387"/>
      <c r="B26" s="1294" t="s">
        <v>2467</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4042"/>
      <c r="Q26" s="1537" t="str">
        <f t="shared" si="11"/>
        <v>平面位置/可视性</v>
      </c>
      <c r="R26" s="714" t="s">
        <v>17</v>
      </c>
      <c r="S26" s="715">
        <f>F26</f>
        <v>100</v>
      </c>
      <c r="T26" s="714" t="s">
        <v>17</v>
      </c>
      <c r="U26" s="715">
        <f>H26</f>
        <v>100</v>
      </c>
      <c r="V26" s="714" t="s">
        <v>17</v>
      </c>
      <c r="W26" s="715">
        <f>J26</f>
        <v>100</v>
      </c>
      <c r="X26" s="1540"/>
      <c r="Y26" s="3994"/>
      <c r="Z26" s="1541" t="str">
        <f>Q26</f>
        <v>平面位置/可视性</v>
      </c>
      <c r="AA26" s="1538">
        <f t="shared" si="3"/>
        <v>1</v>
      </c>
      <c r="AB26" s="1538">
        <f t="shared" si="4"/>
        <v>1</v>
      </c>
      <c r="AC26" s="1538">
        <f t="shared" si="5"/>
        <v>1</v>
      </c>
    </row>
    <row r="27" spans="1:29" s="113" customFormat="1" ht="15">
      <c r="A27" s="390"/>
      <c r="B27" s="410" t="s">
        <v>2468</v>
      </c>
      <c r="C27" s="2143"/>
      <c r="D27" s="421">
        <v>100</v>
      </c>
      <c r="E27" s="2143"/>
      <c r="F27" s="423">
        <f>SUMIF(90:90,E27,91:91)-SUMIF(90:90,C27,91:91)+100</f>
        <v>100</v>
      </c>
      <c r="G27" s="2143"/>
      <c r="H27" s="421">
        <f>SUMIF(90:90,G27,91:91)-SUMIF(90:90,C27,91:91)+100</f>
        <v>100</v>
      </c>
      <c r="I27" s="2143"/>
      <c r="J27" s="421">
        <f>SUMIF(90:90,I27,91:91)-SUMIF(90:90,C27,91:91)+100</f>
        <v>100</v>
      </c>
      <c r="K27" s="569"/>
      <c r="L27" s="2943"/>
      <c r="M27" s="2944"/>
      <c r="N27" s="2944"/>
      <c r="O27" s="2944"/>
      <c r="P27" s="4042"/>
      <c r="Q27" s="1528" t="str">
        <f t="shared" si="11"/>
        <v>人流量</v>
      </c>
      <c r="R27" s="710" t="s">
        <v>17</v>
      </c>
      <c r="S27" s="711">
        <f>F27</f>
        <v>100</v>
      </c>
      <c r="T27" s="710" t="s">
        <v>17</v>
      </c>
      <c r="U27" s="711">
        <f>H27</f>
        <v>100</v>
      </c>
      <c r="V27" s="710" t="s">
        <v>17</v>
      </c>
      <c r="W27" s="711">
        <f>J27</f>
        <v>100</v>
      </c>
      <c r="X27" s="712"/>
      <c r="Y27" s="3994"/>
      <c r="Z27" s="55" t="str">
        <f>Q27</f>
        <v>人流量</v>
      </c>
      <c r="AA27" s="1538">
        <f>D27/F27</f>
        <v>1</v>
      </c>
      <c r="AB27" s="1538">
        <f>D27/H27</f>
        <v>1</v>
      </c>
      <c r="AC27" s="1538">
        <f>D27/J27</f>
        <v>1</v>
      </c>
    </row>
    <row r="28" spans="1:29" ht="15">
      <c r="A28" s="387"/>
      <c r="B28" s="381" t="s">
        <v>2469</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404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994"/>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4042"/>
      <c r="Q29" s="1537">
        <f t="shared" si="11"/>
        <v>111</v>
      </c>
      <c r="R29" s="714" t="s">
        <v>17</v>
      </c>
      <c r="S29" s="715">
        <f t="shared" si="12"/>
        <v>100</v>
      </c>
      <c r="T29" s="714" t="s">
        <v>17</v>
      </c>
      <c r="U29" s="715">
        <f t="shared" si="13"/>
        <v>100</v>
      </c>
      <c r="V29" s="714" t="s">
        <v>17</v>
      </c>
      <c r="W29" s="715">
        <f t="shared" si="14"/>
        <v>100</v>
      </c>
      <c r="X29" s="1540"/>
      <c r="Y29" s="3994"/>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4042"/>
      <c r="Q30" s="1537">
        <f t="shared" si="11"/>
        <v>111</v>
      </c>
      <c r="R30" s="714" t="s">
        <v>17</v>
      </c>
      <c r="S30" s="715">
        <f t="shared" si="12"/>
        <v>100</v>
      </c>
      <c r="T30" s="714" t="s">
        <v>17</v>
      </c>
      <c r="U30" s="715">
        <f t="shared" si="13"/>
        <v>100</v>
      </c>
      <c r="V30" s="714" t="s">
        <v>17</v>
      </c>
      <c r="W30" s="715">
        <f t="shared" si="14"/>
        <v>100</v>
      </c>
      <c r="X30" s="1540"/>
      <c r="Y30" s="3994"/>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4042"/>
      <c r="Q31" s="1537">
        <f t="shared" si="11"/>
        <v>111</v>
      </c>
      <c r="R31" s="714" t="s">
        <v>17</v>
      </c>
      <c r="S31" s="715">
        <f t="shared" si="12"/>
        <v>100</v>
      </c>
      <c r="T31" s="714" t="s">
        <v>17</v>
      </c>
      <c r="U31" s="715">
        <f t="shared" si="13"/>
        <v>100</v>
      </c>
      <c r="V31" s="714" t="s">
        <v>17</v>
      </c>
      <c r="W31" s="715">
        <f t="shared" si="14"/>
        <v>100</v>
      </c>
      <c r="X31" s="1540"/>
      <c r="Y31" s="3994"/>
      <c r="Z31" s="1541">
        <f t="shared" si="15"/>
        <v>111</v>
      </c>
      <c r="AA31" s="1538">
        <f t="shared" si="3"/>
        <v>1</v>
      </c>
      <c r="AB31" s="1538">
        <f t="shared" si="4"/>
        <v>1</v>
      </c>
      <c r="AC31" s="1538">
        <f t="shared" si="5"/>
        <v>1</v>
      </c>
    </row>
    <row r="32" spans="1:29" ht="15">
      <c r="A32" s="399" t="s">
        <v>2373</v>
      </c>
      <c r="B32" s="67" t="s">
        <v>2470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4037" t="s">
        <v>2375</v>
      </c>
      <c r="Q32" s="1537" t="str">
        <f t="shared" si="11"/>
        <v>商业类型</v>
      </c>
      <c r="R32" s="714" t="s">
        <v>17</v>
      </c>
      <c r="S32" s="715">
        <f t="shared" si="12"/>
        <v>100</v>
      </c>
      <c r="T32" s="714" t="s">
        <v>17</v>
      </c>
      <c r="U32" s="715">
        <f t="shared" si="13"/>
        <v>100</v>
      </c>
      <c r="V32" s="714" t="s">
        <v>17</v>
      </c>
      <c r="W32" s="715">
        <f t="shared" si="14"/>
        <v>100</v>
      </c>
      <c r="X32" s="1540"/>
      <c r="Y32" s="3996" t="s">
        <v>2375</v>
      </c>
      <c r="Z32" s="1541" t="str">
        <f t="shared" si="15"/>
        <v>商业类型</v>
      </c>
      <c r="AA32" s="1538">
        <f t="shared" si="3"/>
        <v>1</v>
      </c>
      <c r="AB32" s="1538">
        <f t="shared" si="4"/>
        <v>1</v>
      </c>
      <c r="AC32" s="1538">
        <f t="shared" si="5"/>
        <v>1</v>
      </c>
    </row>
    <row r="33" spans="1:29" s="430" customFormat="1" ht="15">
      <c r="A33" s="427"/>
      <c r="B33" s="381" t="s">
        <v>2376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4038"/>
      <c r="Q33" s="716" t="str">
        <f t="shared" si="11"/>
        <v>项目建筑规模</v>
      </c>
      <c r="R33" s="717" t="s">
        <v>17</v>
      </c>
      <c r="S33" s="718" t="e">
        <f t="shared" si="12"/>
        <v>#N/A</v>
      </c>
      <c r="T33" s="717" t="s">
        <v>17</v>
      </c>
      <c r="U33" s="718" t="e">
        <f t="shared" si="13"/>
        <v>#N/A</v>
      </c>
      <c r="V33" s="717" t="s">
        <v>17</v>
      </c>
      <c r="W33" s="718" t="e">
        <f t="shared" si="14"/>
        <v>#N/A</v>
      </c>
      <c r="X33" s="719"/>
      <c r="Y33" s="3996"/>
      <c r="Z33" s="720" t="str">
        <f t="shared" si="15"/>
        <v>项目建筑规模</v>
      </c>
      <c r="AA33" s="1538" t="e">
        <f t="shared" si="3"/>
        <v>#N/A</v>
      </c>
      <c r="AB33" s="1538" t="e">
        <f t="shared" si="4"/>
        <v>#N/A</v>
      </c>
      <c r="AC33" s="1538" t="e">
        <f t="shared" si="5"/>
        <v>#N/A</v>
      </c>
    </row>
    <row r="34" spans="1:29" ht="15">
      <c r="A34" s="431"/>
      <c r="B34" s="381" t="s">
        <v>2377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4038"/>
      <c r="Q34" s="1537" t="str">
        <f t="shared" si="11"/>
        <v>建筑结构</v>
      </c>
      <c r="R34" s="714" t="s">
        <v>17</v>
      </c>
      <c r="S34" s="715">
        <f t="shared" si="12"/>
        <v>100</v>
      </c>
      <c r="T34" s="714" t="s">
        <v>17</v>
      </c>
      <c r="U34" s="715">
        <f t="shared" si="13"/>
        <v>100</v>
      </c>
      <c r="V34" s="714" t="s">
        <v>17</v>
      </c>
      <c r="W34" s="715">
        <f t="shared" si="14"/>
        <v>100</v>
      </c>
      <c r="X34" s="1540"/>
      <c r="Y34" s="3996"/>
      <c r="Z34" s="1541" t="str">
        <f t="shared" si="15"/>
        <v>建筑结构</v>
      </c>
      <c r="AA34" s="1538">
        <f t="shared" si="3"/>
        <v>1</v>
      </c>
      <c r="AB34" s="1538">
        <f t="shared" si="4"/>
        <v>1</v>
      </c>
      <c r="AC34" s="1538">
        <f t="shared" si="5"/>
        <v>1</v>
      </c>
    </row>
    <row r="35" spans="1:29" ht="15">
      <c r="A35" s="431"/>
      <c r="B35" s="381" t="s">
        <v>2471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4038"/>
      <c r="Q35" s="1537" t="str">
        <f t="shared" si="11"/>
        <v>公共部分装修</v>
      </c>
      <c r="R35" s="714" t="s">
        <v>17</v>
      </c>
      <c r="S35" s="715">
        <f t="shared" si="12"/>
        <v>100</v>
      </c>
      <c r="T35" s="714" t="s">
        <v>17</v>
      </c>
      <c r="U35" s="715">
        <f t="shared" si="13"/>
        <v>100</v>
      </c>
      <c r="V35" s="714" t="s">
        <v>17</v>
      </c>
      <c r="W35" s="715">
        <f t="shared" si="14"/>
        <v>100</v>
      </c>
      <c r="X35" s="1540"/>
      <c r="Y35" s="3996"/>
      <c r="Z35" s="1541" t="str">
        <f t="shared" si="15"/>
        <v>公共部分装修</v>
      </c>
      <c r="AA35" s="1538">
        <f t="shared" si="3"/>
        <v>1</v>
      </c>
      <c r="AB35" s="1538">
        <f t="shared" si="4"/>
        <v>1</v>
      </c>
      <c r="AC35" s="1538">
        <f t="shared" si="5"/>
        <v>1</v>
      </c>
    </row>
    <row r="36" spans="1:29" ht="15">
      <c r="A36" s="431"/>
      <c r="B36" s="381" t="s">
        <v>2472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4038"/>
      <c r="Q36" s="1537" t="str">
        <f t="shared" si="11"/>
        <v>成新度</v>
      </c>
      <c r="R36" s="714" t="s">
        <v>17</v>
      </c>
      <c r="S36" s="715" t="e">
        <f t="shared" si="12"/>
        <v>#N/A</v>
      </c>
      <c r="T36" s="714" t="s">
        <v>17</v>
      </c>
      <c r="U36" s="715" t="e">
        <f t="shared" si="13"/>
        <v>#N/A</v>
      </c>
      <c r="V36" s="714" t="s">
        <v>17</v>
      </c>
      <c r="W36" s="715" t="e">
        <f t="shared" si="14"/>
        <v>#N/A</v>
      </c>
      <c r="X36" s="1540"/>
      <c r="Y36" s="3996"/>
      <c r="Z36" s="1541" t="str">
        <f t="shared" si="15"/>
        <v>成新度</v>
      </c>
      <c r="AA36" s="1538" t="e">
        <f t="shared" si="3"/>
        <v>#N/A</v>
      </c>
      <c r="AB36" s="1538" t="e">
        <f t="shared" si="4"/>
        <v>#N/A</v>
      </c>
      <c r="AC36" s="1538" t="e">
        <f t="shared" si="5"/>
        <v>#N/A</v>
      </c>
    </row>
    <row r="37" spans="1:29" s="113" customFormat="1" ht="15">
      <c r="A37" s="432"/>
      <c r="B37" s="381" t="s">
        <v>2473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4038"/>
      <c r="Q37" s="1528" t="str">
        <f t="shared" si="11"/>
        <v>市政基础设施</v>
      </c>
      <c r="R37" s="710" t="s">
        <v>17</v>
      </c>
      <c r="S37" s="711">
        <f t="shared" si="12"/>
        <v>100</v>
      </c>
      <c r="T37" s="710" t="s">
        <v>17</v>
      </c>
      <c r="U37" s="711">
        <f t="shared" si="13"/>
        <v>100</v>
      </c>
      <c r="V37" s="710" t="s">
        <v>17</v>
      </c>
      <c r="W37" s="711">
        <f t="shared" si="14"/>
        <v>100</v>
      </c>
      <c r="X37" s="712"/>
      <c r="Y37" s="3996"/>
      <c r="Z37" s="55" t="str">
        <f t="shared" si="15"/>
        <v>市政基础设施</v>
      </c>
      <c r="AA37" s="713">
        <f t="shared" si="3"/>
        <v>1</v>
      </c>
      <c r="AB37" s="713">
        <f t="shared" si="4"/>
        <v>1</v>
      </c>
      <c r="AC37" s="713">
        <f t="shared" si="5"/>
        <v>1</v>
      </c>
    </row>
    <row r="38" spans="1:29" ht="15">
      <c r="A38" s="431"/>
      <c r="B38" s="381" t="s">
        <v>2474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4038" t="s">
        <v>2375</v>
      </c>
      <c r="Q38" s="1537" t="str">
        <f t="shared" si="11"/>
        <v>业态</v>
      </c>
      <c r="R38" s="714" t="s">
        <v>17</v>
      </c>
      <c r="S38" s="715">
        <f t="shared" si="12"/>
        <v>100</v>
      </c>
      <c r="T38" s="714" t="s">
        <v>17</v>
      </c>
      <c r="U38" s="715">
        <f t="shared" si="13"/>
        <v>100</v>
      </c>
      <c r="V38" s="714" t="s">
        <v>17</v>
      </c>
      <c r="W38" s="715">
        <f t="shared" si="14"/>
        <v>100</v>
      </c>
      <c r="X38" s="1540"/>
      <c r="Y38" s="3996" t="s">
        <v>2375</v>
      </c>
      <c r="Z38" s="1541" t="str">
        <f t="shared" si="15"/>
        <v>业态</v>
      </c>
      <c r="AA38" s="1538">
        <f t="shared" si="3"/>
        <v>1</v>
      </c>
      <c r="AB38" s="1538">
        <f t="shared" si="4"/>
        <v>1</v>
      </c>
      <c r="AC38" s="1538">
        <f t="shared" si="5"/>
        <v>1</v>
      </c>
    </row>
    <row r="39" spans="1:29" ht="15">
      <c r="A39" s="431"/>
      <c r="B39" s="381" t="s">
        <v>2475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4038"/>
      <c r="Q39" s="1537" t="str">
        <f t="shared" si="11"/>
        <v>层高</v>
      </c>
      <c r="R39" s="714" t="s">
        <v>17</v>
      </c>
      <c r="S39" s="715">
        <f t="shared" si="12"/>
        <v>100</v>
      </c>
      <c r="T39" s="714" t="s">
        <v>17</v>
      </c>
      <c r="U39" s="715">
        <f t="shared" si="13"/>
        <v>100</v>
      </c>
      <c r="V39" s="714" t="s">
        <v>17</v>
      </c>
      <c r="W39" s="715">
        <f t="shared" si="14"/>
        <v>100</v>
      </c>
      <c r="X39" s="1540"/>
      <c r="Y39" s="3996"/>
      <c r="Z39" s="1541" t="str">
        <f t="shared" si="15"/>
        <v>层高</v>
      </c>
      <c r="AA39" s="1538">
        <f t="shared" si="3"/>
        <v>1</v>
      </c>
      <c r="AB39" s="1538">
        <f t="shared" si="4"/>
        <v>1</v>
      </c>
      <c r="AC39" s="1538">
        <f t="shared" si="5"/>
        <v>1</v>
      </c>
    </row>
    <row r="40" spans="1:29" ht="15">
      <c r="A40" s="431"/>
      <c r="B40" s="381" t="s">
        <v>2476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4038"/>
      <c r="Q40" s="1537" t="str">
        <f t="shared" si="11"/>
        <v>单套建筑面积</v>
      </c>
      <c r="R40" s="714" t="s">
        <v>17</v>
      </c>
      <c r="S40" s="715">
        <f t="shared" si="12"/>
        <v>100</v>
      </c>
      <c r="T40" s="714" t="s">
        <v>17</v>
      </c>
      <c r="U40" s="715">
        <f t="shared" si="13"/>
        <v>100</v>
      </c>
      <c r="V40" s="714" t="s">
        <v>17</v>
      </c>
      <c r="W40" s="715">
        <f t="shared" si="14"/>
        <v>100</v>
      </c>
      <c r="X40" s="1540"/>
      <c r="Y40" s="3996"/>
      <c r="Z40" s="1541" t="str">
        <f t="shared" si="15"/>
        <v>单套建筑面积</v>
      </c>
      <c r="AA40" s="1538">
        <f t="shared" si="3"/>
        <v>1</v>
      </c>
      <c r="AB40" s="1538">
        <f t="shared" si="4"/>
        <v>1</v>
      </c>
      <c r="AC40" s="1538">
        <f t="shared" si="5"/>
        <v>1</v>
      </c>
    </row>
    <row r="41" spans="1:29" s="430" customFormat="1" ht="15">
      <c r="A41" s="427"/>
      <c r="B41" s="1539" t="s">
        <v>2477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4038"/>
      <c r="Q41" s="716" t="str">
        <f t="shared" si="11"/>
        <v>进深比</v>
      </c>
      <c r="R41" s="717" t="s">
        <v>17</v>
      </c>
      <c r="S41" s="718">
        <f t="shared" si="12"/>
        <v>100</v>
      </c>
      <c r="T41" s="717" t="s">
        <v>17</v>
      </c>
      <c r="U41" s="718">
        <f t="shared" si="13"/>
        <v>100</v>
      </c>
      <c r="V41" s="717" t="s">
        <v>17</v>
      </c>
      <c r="W41" s="718">
        <f t="shared" si="14"/>
        <v>100</v>
      </c>
      <c r="X41" s="719"/>
      <c r="Y41" s="3996"/>
      <c r="Z41" s="720" t="str">
        <f t="shared" si="15"/>
        <v>进深比</v>
      </c>
      <c r="AA41" s="1538">
        <f t="shared" si="3"/>
        <v>1</v>
      </c>
      <c r="AB41" s="1538">
        <f t="shared" si="4"/>
        <v>1</v>
      </c>
      <c r="AC41" s="1538">
        <f t="shared" si="5"/>
        <v>1</v>
      </c>
    </row>
    <row r="42" spans="1:29" ht="15">
      <c r="A42" s="431"/>
      <c r="B42" s="381" t="s">
        <v>2478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4038"/>
      <c r="Q42" s="1537" t="str">
        <f t="shared" si="11"/>
        <v>内部装修</v>
      </c>
      <c r="R42" s="714" t="s">
        <v>17</v>
      </c>
      <c r="S42" s="715">
        <f t="shared" si="12"/>
        <v>100</v>
      </c>
      <c r="T42" s="714" t="s">
        <v>17</v>
      </c>
      <c r="U42" s="715">
        <f t="shared" si="13"/>
        <v>100</v>
      </c>
      <c r="V42" s="714" t="s">
        <v>17</v>
      </c>
      <c r="W42" s="715">
        <f t="shared" si="14"/>
        <v>100</v>
      </c>
      <c r="X42" s="1540"/>
      <c r="Y42" s="3996"/>
      <c r="Z42" s="1541" t="str">
        <f t="shared" si="15"/>
        <v>内部装修</v>
      </c>
      <c r="AA42" s="1538">
        <f t="shared" si="3"/>
        <v>1</v>
      </c>
      <c r="AB42" s="1538">
        <f t="shared" si="4"/>
        <v>1</v>
      </c>
      <c r="AC42" s="1538">
        <f t="shared" si="5"/>
        <v>1</v>
      </c>
    </row>
    <row r="43" spans="1:29" ht="15">
      <c r="A43" s="431"/>
      <c r="B43" s="381" t="s">
        <v>2386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4038"/>
      <c r="Q43" s="1537" t="str">
        <f t="shared" si="11"/>
        <v>内部装修维护情况</v>
      </c>
      <c r="R43" s="714" t="s">
        <v>17</v>
      </c>
      <c r="S43" s="715">
        <f t="shared" si="12"/>
        <v>100</v>
      </c>
      <c r="T43" s="714" t="s">
        <v>17</v>
      </c>
      <c r="U43" s="715">
        <f t="shared" si="13"/>
        <v>100</v>
      </c>
      <c r="V43" s="714" t="s">
        <v>17</v>
      </c>
      <c r="W43" s="715">
        <f t="shared" si="14"/>
        <v>100</v>
      </c>
      <c r="X43" s="1540"/>
      <c r="Y43" s="3996"/>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4038"/>
      <c r="Q44" s="1528">
        <f t="shared" si="11"/>
        <v>111</v>
      </c>
      <c r="R44" s="710" t="s">
        <v>17</v>
      </c>
      <c r="S44" s="711">
        <f t="shared" si="12"/>
        <v>100</v>
      </c>
      <c r="T44" s="710" t="s">
        <v>17</v>
      </c>
      <c r="U44" s="711">
        <f t="shared" si="13"/>
        <v>100</v>
      </c>
      <c r="V44" s="710" t="s">
        <v>17</v>
      </c>
      <c r="W44" s="711">
        <f t="shared" si="14"/>
        <v>100</v>
      </c>
      <c r="X44" s="712"/>
      <c r="Y44" s="3996"/>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4038"/>
      <c r="Q45" s="1537">
        <f t="shared" si="11"/>
        <v>111</v>
      </c>
      <c r="R45" s="714" t="s">
        <v>17</v>
      </c>
      <c r="S45" s="715">
        <f t="shared" si="12"/>
        <v>100</v>
      </c>
      <c r="T45" s="714" t="s">
        <v>17</v>
      </c>
      <c r="U45" s="715">
        <f t="shared" si="13"/>
        <v>100</v>
      </c>
      <c r="V45" s="714" t="s">
        <v>17</v>
      </c>
      <c r="W45" s="715">
        <f t="shared" si="14"/>
        <v>100</v>
      </c>
      <c r="X45" s="1540"/>
      <c r="Y45" s="3996"/>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4039"/>
      <c r="Q46" s="1537">
        <f t="shared" si="11"/>
        <v>111</v>
      </c>
      <c r="R46" s="714" t="s">
        <v>17</v>
      </c>
      <c r="S46" s="715">
        <f t="shared" si="12"/>
        <v>100</v>
      </c>
      <c r="T46" s="714" t="s">
        <v>17</v>
      </c>
      <c r="U46" s="715">
        <f t="shared" si="13"/>
        <v>100</v>
      </c>
      <c r="V46" s="714" t="s">
        <v>17</v>
      </c>
      <c r="W46" s="715">
        <f t="shared" si="14"/>
        <v>100</v>
      </c>
      <c r="X46" s="1540"/>
      <c r="Y46" s="4040"/>
      <c r="Z46" s="1541">
        <f t="shared" si="15"/>
        <v>111</v>
      </c>
      <c r="AA46" s="1538">
        <f t="shared" si="3"/>
        <v>1</v>
      </c>
      <c r="AB46" s="1538">
        <f t="shared" si="4"/>
        <v>1</v>
      </c>
      <c r="AC46" s="1538">
        <f t="shared" si="5"/>
        <v>1</v>
      </c>
    </row>
    <row r="47" spans="1:29" ht="15">
      <c r="A47" s="438" t="s">
        <v>2387</v>
      </c>
      <c r="B47" s="439"/>
      <c r="C47" s="1315" t="s">
        <v>1</v>
      </c>
      <c r="D47" s="1316"/>
      <c r="E47" s="1317"/>
      <c r="F47" s="1318"/>
      <c r="G47" s="1319"/>
      <c r="H47" s="1320"/>
      <c r="I47" s="1317"/>
      <c r="J47" s="1320"/>
      <c r="K47" s="723"/>
      <c r="L47" s="2950"/>
      <c r="M47" s="2951"/>
      <c r="N47" s="2942"/>
      <c r="O47" s="2951"/>
      <c r="P47" s="3978" t="str">
        <f>A47</f>
        <v>成交单价（元/平方米）</v>
      </c>
      <c r="Q47" s="3978"/>
      <c r="R47" s="3991">
        <f>E47</f>
        <v>0</v>
      </c>
      <c r="S47" s="3991"/>
      <c r="T47" s="3991">
        <f>G47</f>
        <v>0</v>
      </c>
      <c r="U47" s="3991"/>
      <c r="V47" s="3991">
        <f>I47</f>
        <v>0</v>
      </c>
      <c r="W47" s="3991"/>
      <c r="X47" s="699"/>
      <c r="Y47" s="721"/>
      <c r="Z47" s="699"/>
      <c r="AA47" s="699"/>
      <c r="AB47" s="699"/>
      <c r="AC47" s="699"/>
    </row>
    <row r="48" spans="1:29" ht="15.75" thickBot="1">
      <c r="A48" s="445" t="s">
        <v>2479</v>
      </c>
      <c r="B48" s="446"/>
      <c r="C48" s="1321" t="e">
        <f>R49</f>
        <v>#DIV/0!</v>
      </c>
      <c r="D48" s="2539" t="s">
        <v>2870</v>
      </c>
      <c r="E48" s="1322" t="e">
        <f>R48</f>
        <v>#DIV/0!</v>
      </c>
      <c r="F48" s="2540"/>
      <c r="G48" s="1321" t="e">
        <f>T48</f>
        <v>#DIV/0!</v>
      </c>
      <c r="H48" s="2540"/>
      <c r="I48" s="1322" t="e">
        <f>V48</f>
        <v>#DIV/0!</v>
      </c>
      <c r="J48" s="2540"/>
      <c r="K48" s="2542">
        <f>F48+H48+J48</f>
        <v>0</v>
      </c>
      <c r="L48" s="2950"/>
      <c r="M48" s="2951"/>
      <c r="N48" s="2942"/>
      <c r="O48" s="2951"/>
      <c r="P48" s="3978" t="str">
        <f>A48</f>
        <v>比较价值（元/平方米）</v>
      </c>
      <c r="Q48" s="3978"/>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699"/>
      <c r="Y48" s="699"/>
      <c r="Z48" s="699"/>
      <c r="AA48" s="699"/>
      <c r="AB48" s="699"/>
      <c r="AC48" s="699"/>
    </row>
    <row r="49" spans="1:29" ht="15.75" thickBot="1">
      <c r="A49" s="449" t="s">
        <v>2480</v>
      </c>
      <c r="B49" s="450"/>
      <c r="C49" s="1324" t="e">
        <f>R49</f>
        <v>#DIV/0!</v>
      </c>
      <c r="D49" s="1324"/>
      <c r="E49" s="1324"/>
      <c r="F49" s="1324"/>
      <c r="G49" s="1324"/>
      <c r="H49" s="1324"/>
      <c r="I49" s="1324"/>
      <c r="J49" s="1324"/>
      <c r="K49" s="724"/>
      <c r="L49" s="2950"/>
      <c r="M49" s="2951"/>
      <c r="N49" s="2942"/>
      <c r="O49" s="2951"/>
      <c r="P49" s="3998" t="str">
        <f>A49</f>
        <v>估价对象XX用房的比较价值（楼面单价，元/平方米）</v>
      </c>
      <c r="Q49" s="3999"/>
      <c r="R49" s="4035" t="e">
        <f>IF(F1="售价",ROUND(IF(D48="简单平均",AVERAGE(R48:V48),R48*F48+T48*H48+V48*J48),0),ROUND(IF(D48="简单平均",AVERAGE(R48:V48),R48*F48+T48*H48+V48*J48),1))</f>
        <v>#DIV/0!</v>
      </c>
      <c r="S49" s="4035"/>
      <c r="T49" s="4035"/>
      <c r="U49" s="4035"/>
      <c r="V49" s="4035"/>
      <c r="W49" s="403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2483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2484</v>
      </c>
      <c r="B57" s="699"/>
      <c r="C57" s="704"/>
      <c r="D57" s="704"/>
      <c r="E57" s="704"/>
      <c r="F57" s="705"/>
      <c r="G57" s="705"/>
      <c r="H57" s="704"/>
      <c r="I57" s="704"/>
      <c r="J57" s="704"/>
      <c r="K57" s="706"/>
      <c r="L57" s="1072"/>
      <c r="M57" s="1070"/>
      <c r="N57" s="1070"/>
      <c r="O57" s="1070"/>
      <c r="P57" s="2964"/>
      <c r="Q57" s="2965"/>
      <c r="R57" s="2951"/>
      <c r="S57" s="2951"/>
      <c r="T57" s="2951"/>
      <c r="U57" s="2951"/>
      <c r="V57" s="2951"/>
      <c r="W57" s="2951"/>
      <c r="X57" s="2951"/>
      <c r="Y57" s="2951"/>
      <c r="Z57" s="2951"/>
      <c r="AA57" s="2951"/>
      <c r="AB57" s="2951"/>
      <c r="AC57" s="2951"/>
    </row>
    <row r="58" spans="1:29" s="465" customFormat="1" ht="15">
      <c r="A58" s="462" t="s">
        <v>2358</v>
      </c>
      <c r="B58" s="463"/>
      <c r="C58" s="1345" t="str">
        <f>YEAR(C7)&amp;"-"&amp;MONTH(C7)</f>
        <v>2020-12</v>
      </c>
      <c r="D58" s="1346">
        <f>EDATE(C58,-1)</f>
        <v>44136</v>
      </c>
      <c r="E58" s="1346">
        <f t="shared" ref="E58:N58" si="16">EDATE(D58,-1)</f>
        <v>44105</v>
      </c>
      <c r="F58" s="1346">
        <f t="shared" si="16"/>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EDATE(N58,-1)</f>
        <v>43800</v>
      </c>
      <c r="P58" s="2966"/>
      <c r="Q58" s="2967"/>
      <c r="R58" s="2967"/>
      <c r="S58" s="2967"/>
      <c r="T58" s="2967"/>
      <c r="U58" s="2967"/>
      <c r="V58" s="2967"/>
      <c r="W58" s="2967"/>
      <c r="X58" s="2967"/>
      <c r="Y58" s="2967"/>
      <c r="Z58" s="2967"/>
      <c r="AA58" s="2967"/>
      <c r="AB58" s="2967"/>
      <c r="AC58" s="2967"/>
    </row>
    <row r="59" spans="1:29" s="113" customFormat="1" ht="15">
      <c r="A59" s="466"/>
      <c r="B59" s="467"/>
      <c r="C59" s="1344">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2395</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2360</v>
      </c>
      <c r="B61" s="467"/>
      <c r="C61" s="479" t="s">
        <v>2462</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2398</v>
      </c>
      <c r="B63" s="485" t="s">
        <v>2364</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2367</v>
      </c>
      <c r="C65" s="496" t="s">
        <v>2399</v>
      </c>
      <c r="D65" s="496" t="s">
        <v>2400</v>
      </c>
      <c r="E65" s="496" t="s">
        <v>2401</v>
      </c>
      <c r="F65" s="496" t="s">
        <v>2402</v>
      </c>
      <c r="G65" s="496" t="s">
        <v>2403</v>
      </c>
      <c r="H65" s="496" t="s">
        <v>2404</v>
      </c>
      <c r="I65" s="496" t="s">
        <v>2405</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2368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2369</v>
      </c>
      <c r="B76" s="485" t="s">
        <v>2406</v>
      </c>
      <c r="C76" s="530" t="s">
        <v>2407</v>
      </c>
      <c r="D76" s="530" t="s">
        <v>2408</v>
      </c>
      <c r="E76" s="530" t="s">
        <v>2409</v>
      </c>
      <c r="F76" s="530" t="s">
        <v>2410</v>
      </c>
      <c r="G76" s="530" t="s">
        <v>2411</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2412</v>
      </c>
      <c r="C78" s="535" t="s">
        <v>2407</v>
      </c>
      <c r="D78" s="535" t="s">
        <v>2408</v>
      </c>
      <c r="E78" s="535" t="s">
        <v>2409</v>
      </c>
      <c r="F78" s="535" t="s">
        <v>2410</v>
      </c>
      <c r="G78" s="535" t="s">
        <v>2411</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2413</v>
      </c>
      <c r="C80" s="535" t="s">
        <v>2407</v>
      </c>
      <c r="D80" s="535" t="s">
        <v>2408</v>
      </c>
      <c r="E80" s="535" t="s">
        <v>2409</v>
      </c>
      <c r="F80" s="535" t="s">
        <v>2410</v>
      </c>
      <c r="G80" s="535" t="s">
        <v>2411</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2465</v>
      </c>
      <c r="C82" s="616" t="s">
        <v>2485</v>
      </c>
      <c r="D82" s="616" t="s">
        <v>2486</v>
      </c>
      <c r="E82" s="616" t="s">
        <v>2487</v>
      </c>
      <c r="F82" s="616" t="s">
        <v>2488</v>
      </c>
      <c r="G82" s="616" t="s">
        <v>2489</v>
      </c>
      <c r="H82" s="496"/>
      <c r="I82" s="496"/>
      <c r="J82" s="496"/>
      <c r="K82" s="496"/>
      <c r="L82" s="496"/>
      <c r="M82" s="1290"/>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2419</v>
      </c>
      <c r="C84" s="535" t="s">
        <v>2407</v>
      </c>
      <c r="D84" s="535" t="s">
        <v>2408</v>
      </c>
      <c r="E84" s="535" t="s">
        <v>2409</v>
      </c>
      <c r="F84" s="535" t="s">
        <v>2410</v>
      </c>
      <c r="G84" s="535" t="s">
        <v>2411</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2490</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4"/>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5"/>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2373</v>
      </c>
      <c r="B100" s="485" t="s">
        <v>2491</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2423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2424</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2426</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1867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2428</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2492</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2493</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2494</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2495</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2430</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2431</v>
      </c>
      <c r="C124" s="535" t="s">
        <v>2407</v>
      </c>
      <c r="D124" s="535" t="s">
        <v>2408</v>
      </c>
      <c r="E124" s="535" t="s">
        <v>2409</v>
      </c>
      <c r="F124" s="535" t="s">
        <v>2410</v>
      </c>
      <c r="G124" s="535" t="s">
        <v>2411</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2338</v>
      </c>
      <c r="B1" s="2144" t="s">
        <v>2496</v>
      </c>
      <c r="C1" s="1391" t="s">
        <v>2340</v>
      </c>
      <c r="D1" s="1392"/>
      <c r="E1" s="1401"/>
      <c r="F1" s="2066"/>
      <c r="G1" s="1402" t="s">
        <v>2453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5" t="e">
        <f ca="1">IF(C2="——",ROUND(C50*D3/10000,0),ROUND(C50*D3/10000,0)-D2)</f>
        <v>#DIV/0!</v>
      </c>
      <c r="C2" s="2068"/>
      <c r="D2" s="1274" t="e">
        <f ca="1">SUMIF(INDIRECT("'"&amp;F2&amp;"'"&amp;"!A:A"),"承租人权益价值",INDIRECT("'"&amp;F2&amp;"'"&amp;"!c:c"))</f>
        <v>#REF!</v>
      </c>
      <c r="E2" s="2069" t="s">
        <v>2141</v>
      </c>
      <c r="F2" s="2070"/>
      <c r="G2" s="1038"/>
      <c r="H2" s="1038"/>
      <c r="I2" s="1038"/>
      <c r="J2" s="1038"/>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2142</v>
      </c>
      <c r="B3" s="566" t="e">
        <f ca="1">IF(C2="——",C50,ROUND(B2*10000/D3,0))</f>
        <v>#DIV/0!</v>
      </c>
      <c r="C3" s="360" t="s">
        <v>2454</v>
      </c>
      <c r="D3" s="359">
        <f>IF(D1="",'数据-汇总表'!E3,SUMIF('数据-汇总表'!$C19:$C33,D1,'数据-汇总表'!$E19:$E33))</f>
        <v>714394.25</v>
      </c>
      <c r="E3" s="2141"/>
      <c r="F3" s="1039"/>
      <c r="G3" s="1038"/>
      <c r="H3" s="1038"/>
      <c r="I3" s="1038"/>
      <c r="J3" s="1038"/>
      <c r="K3" s="1040"/>
      <c r="L3" s="2960"/>
      <c r="M3" s="2961"/>
      <c r="N3" s="2961"/>
      <c r="O3" s="2961"/>
      <c r="P3" s="708"/>
      <c r="Q3" s="708"/>
      <c r="R3" s="708"/>
      <c r="S3" s="708"/>
      <c r="T3" s="708"/>
      <c r="U3" s="708"/>
      <c r="V3" s="708"/>
      <c r="W3" s="708"/>
      <c r="X3" s="708"/>
      <c r="Y3" s="708"/>
      <c r="Z3" s="708"/>
      <c r="AA3" s="708"/>
      <c r="AB3" s="708"/>
      <c r="AC3" s="709"/>
    </row>
    <row r="4" spans="1:29" ht="15">
      <c r="A4" s="361" t="s">
        <v>2455</v>
      </c>
      <c r="B4" s="362"/>
      <c r="C4" s="3979" t="s">
        <v>2456</v>
      </c>
      <c r="D4" s="3980"/>
      <c r="E4" s="3981" t="s">
        <v>2457</v>
      </c>
      <c r="F4" s="3982"/>
      <c r="G4" s="3979" t="s">
        <v>2458</v>
      </c>
      <c r="H4" s="3980"/>
      <c r="I4" s="3979" t="s">
        <v>2459</v>
      </c>
      <c r="J4" s="3980"/>
      <c r="K4" s="567" t="s">
        <v>2460</v>
      </c>
      <c r="L4" s="2941"/>
      <c r="M4" s="2942"/>
      <c r="N4" s="2942"/>
      <c r="O4" s="2942"/>
      <c r="P4" s="4049" t="s">
        <v>2461</v>
      </c>
      <c r="Q4" s="4050"/>
      <c r="R4" s="4044" t="s">
        <v>2457</v>
      </c>
      <c r="S4" s="4045"/>
      <c r="T4" s="4044" t="s">
        <v>2458</v>
      </c>
      <c r="U4" s="4045"/>
      <c r="V4" s="4053" t="s">
        <v>2459</v>
      </c>
      <c r="W4" s="4053"/>
      <c r="X4" s="2145"/>
      <c r="Y4" s="4044" t="s">
        <v>2461</v>
      </c>
      <c r="Z4" s="4045"/>
      <c r="AA4" s="4043" t="s">
        <v>2457</v>
      </c>
      <c r="AB4" s="4043" t="s">
        <v>2458</v>
      </c>
      <c r="AC4" s="4046" t="s">
        <v>2459</v>
      </c>
    </row>
    <row r="5" spans="1:29" ht="15">
      <c r="A5" s="364"/>
      <c r="B5" s="365"/>
      <c r="C5" s="3972" t="s">
        <v>2352</v>
      </c>
      <c r="D5" s="3973"/>
      <c r="E5" s="3970" t="s">
        <v>2353</v>
      </c>
      <c r="F5" s="3971"/>
      <c r="G5" s="3972" t="s">
        <v>2354</v>
      </c>
      <c r="H5" s="3973"/>
      <c r="I5" s="3972" t="s">
        <v>2355</v>
      </c>
      <c r="J5" s="3973"/>
      <c r="K5" s="567"/>
      <c r="L5" s="2941"/>
      <c r="M5" s="2942"/>
      <c r="N5" s="2942"/>
      <c r="O5" s="2942"/>
      <c r="P5" s="4051"/>
      <c r="Q5" s="3986"/>
      <c r="R5" s="3968"/>
      <c r="S5" s="3969"/>
      <c r="T5" s="3968"/>
      <c r="U5" s="3969"/>
      <c r="V5" s="3991"/>
      <c r="W5" s="3991"/>
      <c r="X5" s="1540"/>
      <c r="Y5" s="3968"/>
      <c r="Z5" s="3969"/>
      <c r="AA5" s="3962"/>
      <c r="AB5" s="3962"/>
      <c r="AC5" s="4047"/>
    </row>
    <row r="6" spans="1:29" ht="15.75" thickBot="1">
      <c r="A6" s="366"/>
      <c r="B6" s="367"/>
      <c r="C6" s="3974" t="s">
        <v>2356</v>
      </c>
      <c r="D6" s="3975"/>
      <c r="E6" s="3976" t="s">
        <v>2356</v>
      </c>
      <c r="F6" s="3977"/>
      <c r="G6" s="3974" t="s">
        <v>2356</v>
      </c>
      <c r="H6" s="3975"/>
      <c r="I6" s="3974" t="s">
        <v>2356</v>
      </c>
      <c r="J6" s="3975"/>
      <c r="K6" s="567" t="s">
        <v>2357</v>
      </c>
      <c r="L6" s="2941"/>
      <c r="M6" s="2942"/>
      <c r="N6" s="2942"/>
      <c r="O6" s="2942"/>
      <c r="P6" s="4052"/>
      <c r="Q6" s="3988"/>
      <c r="R6" s="3968"/>
      <c r="S6" s="3969"/>
      <c r="T6" s="3989"/>
      <c r="U6" s="3990"/>
      <c r="V6" s="3991"/>
      <c r="W6" s="3991"/>
      <c r="X6" s="1540"/>
      <c r="Y6" s="3989"/>
      <c r="Z6" s="3990"/>
      <c r="AA6" s="3963"/>
      <c r="AB6" s="3963"/>
      <c r="AC6" s="4048"/>
    </row>
    <row r="7" spans="1:29" s="113" customFormat="1" ht="15.75" thickBot="1">
      <c r="A7" s="368" t="s">
        <v>2358</v>
      </c>
      <c r="B7" s="369"/>
      <c r="C7" s="370">
        <f>'数据-取费表'!B2</f>
        <v>44186</v>
      </c>
      <c r="D7" s="371">
        <v>100</v>
      </c>
      <c r="E7" s="372"/>
      <c r="F7" s="373">
        <f>SUMIF(59:59,YEAR(E7)&amp;"-"&amp;MONTH(E7),60:60)</f>
        <v>0</v>
      </c>
      <c r="G7" s="372"/>
      <c r="H7" s="371">
        <f>SUMIF(59:59,YEAR(G7)&amp;"-"&amp;MONTH(G7),60:60)</f>
        <v>0</v>
      </c>
      <c r="I7" s="372"/>
      <c r="J7" s="371">
        <f>SUMIF(59:59,YEAR(I7)&amp;"-"&amp;MONTH(I7),60:60)</f>
        <v>0</v>
      </c>
      <c r="K7" s="568"/>
      <c r="L7" s="2943"/>
      <c r="M7" s="2944"/>
      <c r="N7" s="2944"/>
      <c r="O7" s="2944"/>
      <c r="P7" s="4054" t="s">
        <v>2359</v>
      </c>
      <c r="Q7" s="3992"/>
      <c r="R7" s="710" t="s">
        <v>17</v>
      </c>
      <c r="S7" s="711">
        <f t="shared" ref="S7:S15" si="0">F7</f>
        <v>0</v>
      </c>
      <c r="T7" s="710" t="s">
        <v>17</v>
      </c>
      <c r="U7" s="711">
        <f t="shared" ref="U7:U15" si="1">H7</f>
        <v>0</v>
      </c>
      <c r="V7" s="710" t="s">
        <v>17</v>
      </c>
      <c r="W7" s="711">
        <f t="shared" ref="W7:W15" si="2">J7</f>
        <v>0</v>
      </c>
      <c r="X7" s="712"/>
      <c r="Y7" s="3964" t="s">
        <v>2359</v>
      </c>
      <c r="Z7" s="3965"/>
      <c r="AA7" s="713" t="e">
        <f>D7/F7</f>
        <v>#DIV/0!</v>
      </c>
      <c r="AB7" s="713" t="e">
        <f>D7/H7</f>
        <v>#DIV/0!</v>
      </c>
      <c r="AC7" s="2146" t="e">
        <f>D7/J7</f>
        <v>#DIV/0!</v>
      </c>
    </row>
    <row r="8" spans="1:29" s="113" customFormat="1" ht="15.75" thickBot="1">
      <c r="A8" s="368" t="s">
        <v>2360</v>
      </c>
      <c r="B8" s="369"/>
      <c r="C8" s="374" t="s">
        <v>2462</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4054" t="s">
        <v>2362</v>
      </c>
      <c r="Q8" s="3965"/>
      <c r="R8" s="710" t="s">
        <v>17</v>
      </c>
      <c r="S8" s="711">
        <f t="shared" si="0"/>
        <v>0</v>
      </c>
      <c r="T8" s="710" t="s">
        <v>17</v>
      </c>
      <c r="U8" s="711">
        <f t="shared" si="1"/>
        <v>0</v>
      </c>
      <c r="V8" s="710" t="s">
        <v>17</v>
      </c>
      <c r="W8" s="711">
        <f t="shared" si="2"/>
        <v>0</v>
      </c>
      <c r="X8" s="712"/>
      <c r="Y8" s="3964" t="s">
        <v>2362</v>
      </c>
      <c r="Z8" s="3965"/>
      <c r="AA8" s="713" t="e">
        <f t="shared" ref="AA8:AA47" si="3">D8/F8</f>
        <v>#DIV/0!</v>
      </c>
      <c r="AB8" s="713" t="e">
        <f t="shared" ref="AB8:AB47" si="4">D8/H8</f>
        <v>#DIV/0!</v>
      </c>
      <c r="AC8" s="2146" t="e">
        <f t="shared" ref="AC8:AC47" si="5">D8/J8</f>
        <v>#DIV/0!</v>
      </c>
    </row>
    <row r="9" spans="1:29" s="113" customFormat="1">
      <c r="A9" s="375" t="s">
        <v>2363</v>
      </c>
      <c r="B9" s="67" t="s">
        <v>2364</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4002"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2146">
        <f t="shared" si="5"/>
        <v>1</v>
      </c>
    </row>
    <row r="10" spans="1:29" s="386" customFormat="1" ht="27">
      <c r="A10" s="380"/>
      <c r="B10" s="381" t="s">
        <v>2367</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4002"/>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2146">
        <f t="shared" si="5"/>
        <v>1</v>
      </c>
    </row>
    <row r="11" spans="1:29" ht="15">
      <c r="A11" s="387"/>
      <c r="B11" s="381" t="s">
        <v>2368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4002"/>
      <c r="Q11" s="1528" t="str">
        <f t="shared" si="6"/>
        <v>容积率</v>
      </c>
      <c r="R11" s="710" t="s">
        <v>17</v>
      </c>
      <c r="S11" s="711" t="e">
        <f t="shared" si="0"/>
        <v>#N/A</v>
      </c>
      <c r="T11" s="710" t="s">
        <v>17</v>
      </c>
      <c r="U11" s="711" t="e">
        <f t="shared" si="1"/>
        <v>#N/A</v>
      </c>
      <c r="V11" s="710" t="s">
        <v>17</v>
      </c>
      <c r="W11" s="711" t="e">
        <f t="shared" si="2"/>
        <v>#N/A</v>
      </c>
      <c r="X11" s="712"/>
      <c r="Y11" s="3937"/>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3"/>
      <c r="M12" s="2944"/>
      <c r="N12" s="2944"/>
      <c r="O12" s="2944"/>
      <c r="P12" s="4002"/>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8"/>
      <c r="M13" s="2942"/>
      <c r="N13" s="2942"/>
      <c r="O13" s="2942"/>
      <c r="P13" s="4002"/>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8"/>
      <c r="M14" s="2942"/>
      <c r="N14" s="2942"/>
      <c r="O14" s="2942"/>
      <c r="P14" s="4002"/>
      <c r="Q14" s="1528">
        <f t="shared" si="6"/>
        <v>111</v>
      </c>
      <c r="R14" s="710" t="s">
        <v>17</v>
      </c>
      <c r="S14" s="711">
        <f t="shared" si="0"/>
        <v>100</v>
      </c>
      <c r="T14" s="710" t="s">
        <v>17</v>
      </c>
      <c r="U14" s="711">
        <f t="shared" si="1"/>
        <v>100</v>
      </c>
      <c r="V14" s="710" t="s">
        <v>17</v>
      </c>
      <c r="W14" s="711">
        <f t="shared" si="2"/>
        <v>100</v>
      </c>
      <c r="X14" s="712"/>
      <c r="Y14" s="3937"/>
      <c r="Z14" s="55">
        <f t="shared" si="7"/>
        <v>111</v>
      </c>
      <c r="AA14" s="713">
        <f t="shared" si="3"/>
        <v>1</v>
      </c>
      <c r="AB14" s="713">
        <f t="shared" si="4"/>
        <v>1</v>
      </c>
      <c r="AC14" s="2146">
        <f t="shared" si="5"/>
        <v>1</v>
      </c>
    </row>
    <row r="15" spans="1:29" ht="15">
      <c r="A15" s="399" t="s">
        <v>2369</v>
      </c>
      <c r="B15" s="585" t="s">
        <v>2497</v>
      </c>
      <c r="C15" s="2148" t="str">
        <f>估价对象房地状况!C5</f>
        <v>较差</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4041" t="s">
        <v>2370</v>
      </c>
      <c r="Q15" s="1537" t="str">
        <f t="shared" si="6"/>
        <v>办公集聚程度</v>
      </c>
      <c r="R15" s="714" t="s">
        <v>17</v>
      </c>
      <c r="S15" s="715">
        <f t="shared" si="0"/>
        <v>100</v>
      </c>
      <c r="T15" s="714" t="s">
        <v>17</v>
      </c>
      <c r="U15" s="715">
        <f t="shared" si="1"/>
        <v>100</v>
      </c>
      <c r="V15" s="714" t="s">
        <v>17</v>
      </c>
      <c r="W15" s="715">
        <f t="shared" si="2"/>
        <v>100</v>
      </c>
      <c r="X15" s="1540"/>
      <c r="Y15" s="3993" t="s">
        <v>2370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48"/>
      <c r="M16" s="2942"/>
      <c r="N16" s="2942"/>
      <c r="O16" s="2942"/>
      <c r="P16" s="4042"/>
      <c r="Q16" s="1537"/>
      <c r="R16" s="714"/>
      <c r="S16" s="715"/>
      <c r="T16" s="714"/>
      <c r="U16" s="715"/>
      <c r="V16" s="714"/>
      <c r="W16" s="715"/>
      <c r="X16" s="1540"/>
      <c r="Y16" s="3994"/>
      <c r="Z16" s="1541"/>
      <c r="AA16" s="1538">
        <v>1</v>
      </c>
      <c r="AB16" s="1538">
        <v>1</v>
      </c>
      <c r="AC16" s="2149">
        <v>1</v>
      </c>
    </row>
    <row r="17" spans="1:29" ht="15">
      <c r="A17" s="387"/>
      <c r="B17" s="587" t="s">
        <v>1937</v>
      </c>
      <c r="C17" s="2150" t="str">
        <f>估价对象房地状况!C6</f>
        <v>较差</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4042"/>
      <c r="Q17" s="1537" t="str">
        <f>B17</f>
        <v>交通便捷度</v>
      </c>
      <c r="R17" s="714" t="s">
        <v>17</v>
      </c>
      <c r="S17" s="715">
        <f>F17</f>
        <v>100</v>
      </c>
      <c r="T17" s="714" t="s">
        <v>17</v>
      </c>
      <c r="U17" s="715">
        <f>H17</f>
        <v>100</v>
      </c>
      <c r="V17" s="714" t="s">
        <v>17</v>
      </c>
      <c r="W17" s="715">
        <f>J17</f>
        <v>100</v>
      </c>
      <c r="X17" s="1540"/>
      <c r="Y17" s="3994"/>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48"/>
      <c r="M18" s="2942"/>
      <c r="N18" s="2942"/>
      <c r="O18" s="2942"/>
      <c r="P18" s="4042"/>
      <c r="Q18" s="1537"/>
      <c r="R18" s="714"/>
      <c r="S18" s="715"/>
      <c r="T18" s="714"/>
      <c r="U18" s="715"/>
      <c r="V18" s="714"/>
      <c r="W18" s="715"/>
      <c r="X18" s="1540"/>
      <c r="Y18" s="3994"/>
      <c r="Z18" s="1541"/>
      <c r="AA18" s="1538">
        <v>1</v>
      </c>
      <c r="AB18" s="1538">
        <v>1</v>
      </c>
      <c r="AC18" s="2149">
        <v>1</v>
      </c>
    </row>
    <row r="19" spans="1:29" ht="15">
      <c r="A19" s="387"/>
      <c r="B19" s="587" t="s">
        <v>2498</v>
      </c>
      <c r="C19" s="2150" t="str">
        <f>估价对象房地状况!C7</f>
        <v>较差</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4042"/>
      <c r="Q19" s="1537" t="str">
        <f>B19</f>
        <v>公共配套设施</v>
      </c>
      <c r="R19" s="714" t="s">
        <v>17</v>
      </c>
      <c r="S19" s="715">
        <f>F19</f>
        <v>100</v>
      </c>
      <c r="T19" s="714" t="s">
        <v>17</v>
      </c>
      <c r="U19" s="715">
        <f>H19</f>
        <v>100</v>
      </c>
      <c r="V19" s="714" t="s">
        <v>17</v>
      </c>
      <c r="W19" s="715">
        <f>J19</f>
        <v>100</v>
      </c>
      <c r="X19" s="1540"/>
      <c r="Y19" s="3994"/>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48"/>
      <c r="M20" s="2942"/>
      <c r="N20" s="2942"/>
      <c r="O20" s="2942"/>
      <c r="P20" s="4042"/>
      <c r="Q20" s="1537"/>
      <c r="R20" s="714"/>
      <c r="S20" s="715"/>
      <c r="T20" s="714"/>
      <c r="U20" s="715"/>
      <c r="V20" s="714"/>
      <c r="W20" s="715"/>
      <c r="X20" s="1540"/>
      <c r="Y20" s="3994"/>
      <c r="Z20" s="1541"/>
      <c r="AA20" s="1538">
        <v>1</v>
      </c>
      <c r="AB20" s="1538">
        <v>1</v>
      </c>
      <c r="AC20" s="2149">
        <v>1</v>
      </c>
    </row>
    <row r="21" spans="1:29" ht="15">
      <c r="A21" s="387"/>
      <c r="B21" s="589" t="s">
        <v>2499</v>
      </c>
      <c r="C21" s="215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4042"/>
      <c r="Q21" s="1537" t="str">
        <f>B21</f>
        <v>基础设施水平</v>
      </c>
      <c r="R21" s="714" t="s">
        <v>17</v>
      </c>
      <c r="S21" s="715">
        <f>F21</f>
        <v>100</v>
      </c>
      <c r="T21" s="714" t="s">
        <v>17</v>
      </c>
      <c r="U21" s="715">
        <f>H21</f>
        <v>100</v>
      </c>
      <c r="V21" s="714" t="s">
        <v>17</v>
      </c>
      <c r="W21" s="715">
        <f>J21</f>
        <v>100</v>
      </c>
      <c r="X21" s="1540"/>
      <c r="Y21" s="3994"/>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1"/>
      <c r="L22" s="2948"/>
      <c r="M22" s="2942"/>
      <c r="N22" s="2942"/>
      <c r="O22" s="2942"/>
      <c r="P22" s="4042"/>
      <c r="Q22" s="1537"/>
      <c r="R22" s="714"/>
      <c r="S22" s="715"/>
      <c r="T22" s="714"/>
      <c r="U22" s="715"/>
      <c r="V22" s="714"/>
      <c r="W22" s="715"/>
      <c r="X22" s="1540"/>
      <c r="Y22" s="3994"/>
      <c r="Z22" s="1541"/>
      <c r="AA22" s="1538">
        <v>1</v>
      </c>
      <c r="AB22" s="1538">
        <v>1</v>
      </c>
      <c r="AC22" s="2149">
        <v>1</v>
      </c>
    </row>
    <row r="23" spans="1:29" ht="15">
      <c r="A23" s="387"/>
      <c r="B23" s="587" t="s">
        <v>2500</v>
      </c>
      <c r="C23" s="2150"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4042"/>
      <c r="Q23" s="1537" t="str">
        <f>B23</f>
        <v>环境质量</v>
      </c>
      <c r="R23" s="714" t="s">
        <v>17</v>
      </c>
      <c r="S23" s="715">
        <f>F23</f>
        <v>100</v>
      </c>
      <c r="T23" s="714" t="s">
        <v>17</v>
      </c>
      <c r="U23" s="715">
        <f>H23</f>
        <v>100</v>
      </c>
      <c r="V23" s="714" t="s">
        <v>17</v>
      </c>
      <c r="W23" s="715">
        <f>J23</f>
        <v>100</v>
      </c>
      <c r="X23" s="1540"/>
      <c r="Y23" s="3994"/>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48"/>
      <c r="M24" s="2942"/>
      <c r="N24" s="2942"/>
      <c r="O24" s="2942"/>
      <c r="P24" s="4042"/>
      <c r="Q24" s="1537"/>
      <c r="R24" s="714"/>
      <c r="S24" s="715"/>
      <c r="T24" s="714"/>
      <c r="U24" s="715"/>
      <c r="V24" s="714"/>
      <c r="W24" s="715"/>
      <c r="X24" s="1540"/>
      <c r="Y24" s="3994"/>
      <c r="Z24" s="1541"/>
      <c r="AA24" s="1538">
        <v>1</v>
      </c>
      <c r="AB24" s="1538">
        <v>1</v>
      </c>
      <c r="AC24" s="2149">
        <v>1</v>
      </c>
    </row>
    <row r="25" spans="1:29" ht="27">
      <c r="A25" s="364"/>
      <c r="B25" s="587" t="s">
        <v>2501</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4042"/>
      <c r="Q25" s="1537" t="str">
        <f>B25</f>
        <v>毗邻道路的类型与等级</v>
      </c>
      <c r="R25" s="714" t="s">
        <v>17</v>
      </c>
      <c r="S25" s="715">
        <f>F25</f>
        <v>100</v>
      </c>
      <c r="T25" s="714" t="s">
        <v>17</v>
      </c>
      <c r="U25" s="715">
        <f>H25</f>
        <v>100</v>
      </c>
      <c r="V25" s="714" t="s">
        <v>17</v>
      </c>
      <c r="W25" s="715">
        <f>J25</f>
        <v>100</v>
      </c>
      <c r="X25" s="1540"/>
      <c r="Y25" s="3994"/>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48"/>
      <c r="M26" s="2942"/>
      <c r="N26" s="2942"/>
      <c r="O26" s="2942"/>
      <c r="P26" s="4042"/>
      <c r="Q26" s="1537"/>
      <c r="R26" s="714"/>
      <c r="S26" s="715"/>
      <c r="T26" s="714"/>
      <c r="U26" s="715"/>
      <c r="V26" s="714"/>
      <c r="W26" s="715"/>
      <c r="X26" s="1540"/>
      <c r="Y26" s="3994"/>
      <c r="Z26" s="1541"/>
      <c r="AA26" s="1538">
        <v>1</v>
      </c>
      <c r="AB26" s="1538">
        <v>1</v>
      </c>
      <c r="AC26" s="2149">
        <v>1</v>
      </c>
    </row>
    <row r="27" spans="1:29" ht="15">
      <c r="A27" s="387"/>
      <c r="B27" s="588" t="s">
        <v>2469</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4042"/>
      <c r="Q27" s="1537" t="str">
        <f t="shared" ref="Q27:Q47" si="11">B27</f>
        <v>楼层</v>
      </c>
      <c r="R27" s="714" t="s">
        <v>17</v>
      </c>
      <c r="S27" s="715">
        <f>F27</f>
        <v>100</v>
      </c>
      <c r="T27" s="714" t="s">
        <v>17</v>
      </c>
      <c r="U27" s="715">
        <f>H27</f>
        <v>100</v>
      </c>
      <c r="V27" s="714" t="s">
        <v>17</v>
      </c>
      <c r="W27" s="715">
        <f>J27</f>
        <v>100</v>
      </c>
      <c r="X27" s="1540"/>
      <c r="Y27" s="3994"/>
      <c r="Z27" s="1541" t="str">
        <f>Q27</f>
        <v>楼层</v>
      </c>
      <c r="AA27" s="1538">
        <f t="shared" si="3"/>
        <v>1</v>
      </c>
      <c r="AB27" s="1538">
        <f t="shared" si="4"/>
        <v>1</v>
      </c>
      <c r="AC27" s="2149">
        <f t="shared" si="5"/>
        <v>1</v>
      </c>
    </row>
    <row r="28" spans="1:29" s="113" customFormat="1" ht="15">
      <c r="A28" s="390"/>
      <c r="B28" s="587" t="s">
        <v>2502</v>
      </c>
      <c r="C28" s="2152"/>
      <c r="D28" s="421">
        <v>100</v>
      </c>
      <c r="E28" s="2143"/>
      <c r="F28" s="421">
        <f>SUMIF(91:91,E28,92:92)-SUMIF(91:91,C28,92:92)+100</f>
        <v>100</v>
      </c>
      <c r="G28" s="2152"/>
      <c r="H28" s="421">
        <f>SUMIF(91:91,G28,92:92)-SUMIF(91:91,C28,92:92)+100</f>
        <v>100</v>
      </c>
      <c r="I28" s="2143"/>
      <c r="J28" s="421">
        <f>SUMIF(91:91,I28,92:92)-SUMIF(91:91,C28,92:92)+100</f>
        <v>100</v>
      </c>
      <c r="K28" s="569"/>
      <c r="L28" s="2943"/>
      <c r="M28" s="2944"/>
      <c r="N28" s="2944"/>
      <c r="O28" s="2944"/>
      <c r="P28" s="4042"/>
      <c r="Q28" s="1528" t="str">
        <f t="shared" si="11"/>
        <v>朝向</v>
      </c>
      <c r="R28" s="710" t="s">
        <v>17</v>
      </c>
      <c r="S28" s="711">
        <f>F28</f>
        <v>100</v>
      </c>
      <c r="T28" s="710" t="s">
        <v>17</v>
      </c>
      <c r="U28" s="711">
        <f>H28</f>
        <v>100</v>
      </c>
      <c r="V28" s="710" t="s">
        <v>17</v>
      </c>
      <c r="W28" s="711">
        <f>J28</f>
        <v>100</v>
      </c>
      <c r="X28" s="712"/>
      <c r="Y28" s="3994"/>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48"/>
      <c r="M29" s="2942"/>
      <c r="N29" s="2942"/>
      <c r="O29" s="2942"/>
      <c r="P29" s="4042"/>
      <c r="Q29" s="1537">
        <f t="shared" si="11"/>
        <v>111</v>
      </c>
      <c r="R29" s="714" t="s">
        <v>17</v>
      </c>
      <c r="S29" s="715">
        <f t="shared" ref="S29:S47" si="12">F29</f>
        <v>100</v>
      </c>
      <c r="T29" s="714" t="s">
        <v>17</v>
      </c>
      <c r="U29" s="715">
        <f t="shared" ref="U29:U47" si="13">H29</f>
        <v>100</v>
      </c>
      <c r="V29" s="714" t="s">
        <v>17</v>
      </c>
      <c r="W29" s="715">
        <f t="shared" ref="W29:W47" si="14">J29</f>
        <v>100</v>
      </c>
      <c r="X29" s="1540"/>
      <c r="Y29" s="3994"/>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8"/>
      <c r="M30" s="2942"/>
      <c r="N30" s="2942"/>
      <c r="O30" s="2942"/>
      <c r="P30" s="4042"/>
      <c r="Q30" s="1537">
        <f t="shared" si="11"/>
        <v>111</v>
      </c>
      <c r="R30" s="714" t="s">
        <v>17</v>
      </c>
      <c r="S30" s="715">
        <f t="shared" si="12"/>
        <v>100</v>
      </c>
      <c r="T30" s="714" t="s">
        <v>17</v>
      </c>
      <c r="U30" s="715">
        <f t="shared" si="13"/>
        <v>100</v>
      </c>
      <c r="V30" s="714" t="s">
        <v>17</v>
      </c>
      <c r="W30" s="715">
        <f t="shared" si="14"/>
        <v>100</v>
      </c>
      <c r="X30" s="1540"/>
      <c r="Y30" s="3994"/>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8"/>
      <c r="M31" s="2942"/>
      <c r="N31" s="2942"/>
      <c r="O31" s="2942"/>
      <c r="P31" s="4042"/>
      <c r="Q31" s="1537">
        <f t="shared" si="11"/>
        <v>111</v>
      </c>
      <c r="R31" s="714" t="s">
        <v>17</v>
      </c>
      <c r="S31" s="715">
        <f t="shared" si="12"/>
        <v>100</v>
      </c>
      <c r="T31" s="714" t="s">
        <v>17</v>
      </c>
      <c r="U31" s="715">
        <f t="shared" si="13"/>
        <v>100</v>
      </c>
      <c r="V31" s="714" t="s">
        <v>17</v>
      </c>
      <c r="W31" s="715">
        <f t="shared" si="14"/>
        <v>100</v>
      </c>
      <c r="X31" s="1540"/>
      <c r="Y31" s="3994"/>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8"/>
      <c r="M32" s="2942"/>
      <c r="N32" s="2942"/>
      <c r="O32" s="2942"/>
      <c r="P32" s="4042"/>
      <c r="Q32" s="1537">
        <f t="shared" si="11"/>
        <v>111</v>
      </c>
      <c r="R32" s="714" t="s">
        <v>17</v>
      </c>
      <c r="S32" s="715">
        <f t="shared" si="12"/>
        <v>100</v>
      </c>
      <c r="T32" s="714" t="s">
        <v>17</v>
      </c>
      <c r="U32" s="715">
        <f t="shared" si="13"/>
        <v>100</v>
      </c>
      <c r="V32" s="714" t="s">
        <v>17</v>
      </c>
      <c r="W32" s="715">
        <f t="shared" si="14"/>
        <v>100</v>
      </c>
      <c r="X32" s="1540"/>
      <c r="Y32" s="3994"/>
      <c r="Z32" s="1541">
        <f t="shared" si="15"/>
        <v>111</v>
      </c>
      <c r="AA32" s="1538">
        <f t="shared" si="3"/>
        <v>1</v>
      </c>
      <c r="AB32" s="1538">
        <f t="shared" si="4"/>
        <v>1</v>
      </c>
      <c r="AC32" s="2149">
        <f t="shared" si="5"/>
        <v>1</v>
      </c>
    </row>
    <row r="33" spans="1:29" ht="15">
      <c r="A33" s="399" t="s">
        <v>2373</v>
      </c>
      <c r="B33" s="67" t="s">
        <v>2503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8"/>
      <c r="M33" s="2942"/>
      <c r="N33" s="2942"/>
      <c r="O33" s="2942"/>
      <c r="P33" s="4037" t="s">
        <v>2375</v>
      </c>
      <c r="Q33" s="1537" t="str">
        <f t="shared" si="11"/>
        <v>建筑类型</v>
      </c>
      <c r="R33" s="714" t="s">
        <v>17</v>
      </c>
      <c r="S33" s="715">
        <f t="shared" si="12"/>
        <v>100</v>
      </c>
      <c r="T33" s="714" t="s">
        <v>17</v>
      </c>
      <c r="U33" s="715">
        <f t="shared" si="13"/>
        <v>100</v>
      </c>
      <c r="V33" s="714" t="s">
        <v>17</v>
      </c>
      <c r="W33" s="715">
        <f t="shared" si="14"/>
        <v>100</v>
      </c>
      <c r="X33" s="1540"/>
      <c r="Y33" s="3996" t="s">
        <v>2375</v>
      </c>
      <c r="Z33" s="1541" t="str">
        <f t="shared" si="15"/>
        <v>建筑类型</v>
      </c>
      <c r="AA33" s="1538">
        <f t="shared" si="3"/>
        <v>1</v>
      </c>
      <c r="AB33" s="1538">
        <f t="shared" si="4"/>
        <v>1</v>
      </c>
      <c r="AC33" s="2149">
        <f t="shared" si="5"/>
        <v>1</v>
      </c>
    </row>
    <row r="34" spans="1:29" s="430" customFormat="1" ht="15">
      <c r="A34" s="427"/>
      <c r="B34" s="381" t="s">
        <v>2376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4038"/>
      <c r="Q34" s="716" t="str">
        <f t="shared" si="11"/>
        <v>项目建筑规模</v>
      </c>
      <c r="R34" s="717" t="s">
        <v>17</v>
      </c>
      <c r="S34" s="718" t="e">
        <f t="shared" si="12"/>
        <v>#N/A</v>
      </c>
      <c r="T34" s="717" t="s">
        <v>17</v>
      </c>
      <c r="U34" s="718" t="e">
        <f t="shared" si="13"/>
        <v>#N/A</v>
      </c>
      <c r="V34" s="717" t="s">
        <v>17</v>
      </c>
      <c r="W34" s="718" t="e">
        <f t="shared" si="14"/>
        <v>#N/A</v>
      </c>
      <c r="X34" s="719"/>
      <c r="Y34" s="3996"/>
      <c r="Z34" s="720" t="str">
        <f t="shared" si="15"/>
        <v>项目建筑规模</v>
      </c>
      <c r="AA34" s="1538" t="e">
        <f t="shared" si="3"/>
        <v>#N/A</v>
      </c>
      <c r="AB34" s="1538" t="e">
        <f t="shared" si="4"/>
        <v>#N/A</v>
      </c>
      <c r="AC34" s="2149" t="e">
        <f t="shared" si="5"/>
        <v>#N/A</v>
      </c>
    </row>
    <row r="35" spans="1:29" ht="15">
      <c r="A35" s="431"/>
      <c r="B35" s="381" t="s">
        <v>2377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4038"/>
      <c r="Q35" s="1537" t="str">
        <f t="shared" si="11"/>
        <v>建筑结构</v>
      </c>
      <c r="R35" s="714" t="s">
        <v>17</v>
      </c>
      <c r="S35" s="715">
        <f t="shared" si="12"/>
        <v>100</v>
      </c>
      <c r="T35" s="714" t="s">
        <v>17</v>
      </c>
      <c r="U35" s="715">
        <f t="shared" si="13"/>
        <v>100</v>
      </c>
      <c r="V35" s="714" t="s">
        <v>17</v>
      </c>
      <c r="W35" s="715">
        <f t="shared" si="14"/>
        <v>100</v>
      </c>
      <c r="X35" s="1540"/>
      <c r="Y35" s="3996"/>
      <c r="Z35" s="1541" t="str">
        <f t="shared" si="15"/>
        <v>建筑结构</v>
      </c>
      <c r="AA35" s="1538">
        <f t="shared" si="3"/>
        <v>1</v>
      </c>
      <c r="AB35" s="1538">
        <f t="shared" si="4"/>
        <v>1</v>
      </c>
      <c r="AC35" s="2149">
        <f t="shared" si="5"/>
        <v>1</v>
      </c>
    </row>
    <row r="36" spans="1:29" ht="15">
      <c r="A36" s="431"/>
      <c r="B36" s="381" t="s">
        <v>2471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4038"/>
      <c r="Q36" s="1537" t="str">
        <f t="shared" si="11"/>
        <v>公共部分装修</v>
      </c>
      <c r="R36" s="714" t="s">
        <v>17</v>
      </c>
      <c r="S36" s="715">
        <f t="shared" si="12"/>
        <v>100</v>
      </c>
      <c r="T36" s="714" t="s">
        <v>17</v>
      </c>
      <c r="U36" s="715">
        <f t="shared" si="13"/>
        <v>100</v>
      </c>
      <c r="V36" s="714" t="s">
        <v>17</v>
      </c>
      <c r="W36" s="715">
        <f t="shared" si="14"/>
        <v>100</v>
      </c>
      <c r="X36" s="1540"/>
      <c r="Y36" s="3996"/>
      <c r="Z36" s="1541" t="str">
        <f t="shared" si="15"/>
        <v>公共部分装修</v>
      </c>
      <c r="AA36" s="1538">
        <f t="shared" si="3"/>
        <v>1</v>
      </c>
      <c r="AB36" s="1538">
        <f t="shared" si="4"/>
        <v>1</v>
      </c>
      <c r="AC36" s="2149">
        <f t="shared" si="5"/>
        <v>1</v>
      </c>
    </row>
    <row r="37" spans="1:29" ht="15">
      <c r="A37" s="431"/>
      <c r="B37" s="381" t="s">
        <v>2472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4038"/>
      <c r="Q37" s="1537" t="str">
        <f t="shared" si="11"/>
        <v>成新度</v>
      </c>
      <c r="R37" s="714" t="s">
        <v>17</v>
      </c>
      <c r="S37" s="715" t="e">
        <f t="shared" si="12"/>
        <v>#N/A</v>
      </c>
      <c r="T37" s="714" t="s">
        <v>17</v>
      </c>
      <c r="U37" s="715" t="e">
        <f t="shared" si="13"/>
        <v>#N/A</v>
      </c>
      <c r="V37" s="714" t="s">
        <v>17</v>
      </c>
      <c r="W37" s="715" t="e">
        <f t="shared" si="14"/>
        <v>#N/A</v>
      </c>
      <c r="X37" s="1540"/>
      <c r="Y37" s="3996"/>
      <c r="Z37" s="1541" t="str">
        <f t="shared" si="15"/>
        <v>成新度</v>
      </c>
      <c r="AA37" s="1538" t="e">
        <f t="shared" si="3"/>
        <v>#N/A</v>
      </c>
      <c r="AB37" s="1538" t="e">
        <f t="shared" si="4"/>
        <v>#N/A</v>
      </c>
      <c r="AC37" s="2149" t="e">
        <f t="shared" si="5"/>
        <v>#N/A</v>
      </c>
    </row>
    <row r="38" spans="1:29" s="113" customFormat="1" ht="15">
      <c r="A38" s="432"/>
      <c r="B38" s="381" t="s">
        <v>2504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4038"/>
      <c r="Q38" s="1528" t="str">
        <f t="shared" si="11"/>
        <v>写字楼等级</v>
      </c>
      <c r="R38" s="710" t="s">
        <v>17</v>
      </c>
      <c r="S38" s="711">
        <f t="shared" si="12"/>
        <v>100</v>
      </c>
      <c r="T38" s="710" t="s">
        <v>17</v>
      </c>
      <c r="U38" s="711">
        <f t="shared" si="13"/>
        <v>100</v>
      </c>
      <c r="V38" s="710" t="s">
        <v>17</v>
      </c>
      <c r="W38" s="711">
        <f t="shared" si="14"/>
        <v>100</v>
      </c>
      <c r="X38" s="712"/>
      <c r="Y38" s="3996"/>
      <c r="Z38" s="55" t="str">
        <f t="shared" si="15"/>
        <v>写字楼等级</v>
      </c>
      <c r="AA38" s="713">
        <f t="shared" si="3"/>
        <v>1</v>
      </c>
      <c r="AB38" s="713">
        <f t="shared" si="4"/>
        <v>1</v>
      </c>
      <c r="AC38" s="2146">
        <f t="shared" si="5"/>
        <v>1</v>
      </c>
    </row>
    <row r="39" spans="1:29" ht="15">
      <c r="A39" s="431"/>
      <c r="B39" s="381" t="s">
        <v>2505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4038" t="s">
        <v>2375</v>
      </c>
      <c r="Q39" s="1537" t="str">
        <f t="shared" si="11"/>
        <v>物业管理</v>
      </c>
      <c r="R39" s="714" t="s">
        <v>17</v>
      </c>
      <c r="S39" s="715">
        <f t="shared" si="12"/>
        <v>100</v>
      </c>
      <c r="T39" s="714" t="s">
        <v>17</v>
      </c>
      <c r="U39" s="715">
        <f t="shared" si="13"/>
        <v>100</v>
      </c>
      <c r="V39" s="714" t="s">
        <v>17</v>
      </c>
      <c r="W39" s="715">
        <f t="shared" si="14"/>
        <v>100</v>
      </c>
      <c r="X39" s="1540"/>
      <c r="Y39" s="3996" t="s">
        <v>2375</v>
      </c>
      <c r="Z39" s="1541" t="str">
        <f t="shared" si="15"/>
        <v>物业管理</v>
      </c>
      <c r="AA39" s="1538">
        <f t="shared" si="3"/>
        <v>1</v>
      </c>
      <c r="AB39" s="1538">
        <f t="shared" si="4"/>
        <v>1</v>
      </c>
      <c r="AC39" s="2149">
        <f t="shared" si="5"/>
        <v>1</v>
      </c>
    </row>
    <row r="40" spans="1:29" ht="15">
      <c r="A40" s="431"/>
      <c r="B40" s="381" t="s">
        <v>2473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4038"/>
      <c r="Q40" s="1537" t="str">
        <f t="shared" si="11"/>
        <v>市政基础设施</v>
      </c>
      <c r="R40" s="714" t="s">
        <v>17</v>
      </c>
      <c r="S40" s="715">
        <f t="shared" si="12"/>
        <v>100</v>
      </c>
      <c r="T40" s="714" t="s">
        <v>17</v>
      </c>
      <c r="U40" s="715">
        <f t="shared" si="13"/>
        <v>100</v>
      </c>
      <c r="V40" s="714" t="s">
        <v>17</v>
      </c>
      <c r="W40" s="715">
        <f t="shared" si="14"/>
        <v>100</v>
      </c>
      <c r="X40" s="1540"/>
      <c r="Y40" s="3996"/>
      <c r="Z40" s="1541" t="str">
        <f t="shared" si="15"/>
        <v>市政基础设施</v>
      </c>
      <c r="AA40" s="1538">
        <f t="shared" si="3"/>
        <v>1</v>
      </c>
      <c r="AB40" s="1538">
        <f t="shared" si="4"/>
        <v>1</v>
      </c>
      <c r="AC40" s="2149">
        <f t="shared" si="5"/>
        <v>1</v>
      </c>
    </row>
    <row r="41" spans="1:29" ht="15">
      <c r="A41" s="431"/>
      <c r="B41" s="381" t="s">
        <v>2475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4038"/>
      <c r="Q41" s="1537" t="str">
        <f t="shared" si="11"/>
        <v>层高</v>
      </c>
      <c r="R41" s="714" t="s">
        <v>17</v>
      </c>
      <c r="S41" s="715">
        <f t="shared" si="12"/>
        <v>100</v>
      </c>
      <c r="T41" s="714" t="s">
        <v>17</v>
      </c>
      <c r="U41" s="715">
        <f t="shared" si="13"/>
        <v>100</v>
      </c>
      <c r="V41" s="714" t="s">
        <v>17</v>
      </c>
      <c r="W41" s="715">
        <f t="shared" si="14"/>
        <v>100</v>
      </c>
      <c r="X41" s="1540"/>
      <c r="Y41" s="3996"/>
      <c r="Z41" s="1541" t="str">
        <f t="shared" si="15"/>
        <v>层高</v>
      </c>
      <c r="AA41" s="1538">
        <f t="shared" si="3"/>
        <v>1</v>
      </c>
      <c r="AB41" s="1538">
        <f t="shared" si="4"/>
        <v>1</v>
      </c>
      <c r="AC41" s="2149">
        <f t="shared" si="5"/>
        <v>1</v>
      </c>
    </row>
    <row r="42" spans="1:29" s="430" customFormat="1" ht="15">
      <c r="A42" s="427"/>
      <c r="B42" s="1539" t="s">
        <v>2506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4038"/>
      <c r="Q42" s="716" t="str">
        <f t="shared" si="11"/>
        <v>单套建筑面积</v>
      </c>
      <c r="R42" s="717" t="s">
        <v>17</v>
      </c>
      <c r="S42" s="718">
        <f t="shared" si="12"/>
        <v>100</v>
      </c>
      <c r="T42" s="717" t="s">
        <v>17</v>
      </c>
      <c r="U42" s="718">
        <f t="shared" si="13"/>
        <v>100</v>
      </c>
      <c r="V42" s="717" t="s">
        <v>17</v>
      </c>
      <c r="W42" s="718">
        <f t="shared" si="14"/>
        <v>100</v>
      </c>
      <c r="X42" s="719"/>
      <c r="Y42" s="3996"/>
      <c r="Z42" s="720" t="str">
        <f t="shared" si="15"/>
        <v>单套建筑面积</v>
      </c>
      <c r="AA42" s="1538">
        <f t="shared" si="3"/>
        <v>1</v>
      </c>
      <c r="AB42" s="1538">
        <f t="shared" si="4"/>
        <v>1</v>
      </c>
      <c r="AC42" s="2149">
        <f t="shared" si="5"/>
        <v>1</v>
      </c>
    </row>
    <row r="43" spans="1:29" ht="15">
      <c r="A43" s="431"/>
      <c r="B43" s="381" t="s">
        <v>2478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4038"/>
      <c r="Q43" s="1537" t="str">
        <f t="shared" si="11"/>
        <v>内部装修</v>
      </c>
      <c r="R43" s="714" t="s">
        <v>17</v>
      </c>
      <c r="S43" s="715">
        <f t="shared" si="12"/>
        <v>100</v>
      </c>
      <c r="T43" s="714" t="s">
        <v>17</v>
      </c>
      <c r="U43" s="715">
        <f t="shared" si="13"/>
        <v>100</v>
      </c>
      <c r="V43" s="714" t="s">
        <v>17</v>
      </c>
      <c r="W43" s="715">
        <f t="shared" si="14"/>
        <v>100</v>
      </c>
      <c r="X43" s="1540"/>
      <c r="Y43" s="3996"/>
      <c r="Z43" s="1541" t="str">
        <f t="shared" si="15"/>
        <v>内部装修</v>
      </c>
      <c r="AA43" s="1538">
        <f t="shared" si="3"/>
        <v>1</v>
      </c>
      <c r="AB43" s="1538">
        <f t="shared" si="4"/>
        <v>1</v>
      </c>
      <c r="AC43" s="2149">
        <f t="shared" si="5"/>
        <v>1</v>
      </c>
    </row>
    <row r="44" spans="1:29" ht="15">
      <c r="A44" s="431"/>
      <c r="B44" s="381" t="s">
        <v>2386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4038"/>
      <c r="Q44" s="1537" t="str">
        <f t="shared" si="11"/>
        <v>内部装修维护情况</v>
      </c>
      <c r="R44" s="714" t="s">
        <v>17</v>
      </c>
      <c r="S44" s="715">
        <f t="shared" si="12"/>
        <v>100</v>
      </c>
      <c r="T44" s="714" t="s">
        <v>17</v>
      </c>
      <c r="U44" s="715">
        <f t="shared" si="13"/>
        <v>100</v>
      </c>
      <c r="V44" s="714" t="s">
        <v>17</v>
      </c>
      <c r="W44" s="715">
        <f t="shared" si="14"/>
        <v>100</v>
      </c>
      <c r="X44" s="1540"/>
      <c r="Y44" s="3996"/>
      <c r="Z44" s="1541" t="str">
        <f t="shared" si="15"/>
        <v>内部装修维护情况</v>
      </c>
      <c r="AA44" s="1538">
        <f t="shared" si="3"/>
        <v>1</v>
      </c>
      <c r="AB44" s="1538">
        <f t="shared" si="4"/>
        <v>1</v>
      </c>
      <c r="AC44" s="2149">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4038"/>
      <c r="Q45" s="1528">
        <f t="shared" si="11"/>
        <v>111</v>
      </c>
      <c r="R45" s="710" t="s">
        <v>17</v>
      </c>
      <c r="S45" s="711">
        <f t="shared" si="12"/>
        <v>100</v>
      </c>
      <c r="T45" s="710" t="s">
        <v>17</v>
      </c>
      <c r="U45" s="711">
        <f t="shared" si="13"/>
        <v>100</v>
      </c>
      <c r="V45" s="710" t="s">
        <v>17</v>
      </c>
      <c r="W45" s="711">
        <f t="shared" si="14"/>
        <v>100</v>
      </c>
      <c r="X45" s="712"/>
      <c r="Y45" s="3996"/>
      <c r="Z45" s="55">
        <f t="shared" si="15"/>
        <v>111</v>
      </c>
      <c r="AA45" s="713">
        <f t="shared" si="3"/>
        <v>1</v>
      </c>
      <c r="AB45" s="713">
        <f t="shared" si="4"/>
        <v>1</v>
      </c>
      <c r="AC45" s="2146">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4038"/>
      <c r="Q46" s="1537">
        <f t="shared" si="11"/>
        <v>111</v>
      </c>
      <c r="R46" s="714" t="s">
        <v>17</v>
      </c>
      <c r="S46" s="715">
        <f t="shared" si="12"/>
        <v>100</v>
      </c>
      <c r="T46" s="714" t="s">
        <v>17</v>
      </c>
      <c r="U46" s="715">
        <f t="shared" si="13"/>
        <v>100</v>
      </c>
      <c r="V46" s="714" t="s">
        <v>17</v>
      </c>
      <c r="W46" s="715">
        <f t="shared" si="14"/>
        <v>100</v>
      </c>
      <c r="X46" s="1540"/>
      <c r="Y46" s="3996"/>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4039"/>
      <c r="Q47" s="1537">
        <f t="shared" si="11"/>
        <v>111</v>
      </c>
      <c r="R47" s="714" t="s">
        <v>17</v>
      </c>
      <c r="S47" s="715">
        <f t="shared" si="12"/>
        <v>100</v>
      </c>
      <c r="T47" s="714" t="s">
        <v>17</v>
      </c>
      <c r="U47" s="715">
        <f t="shared" si="13"/>
        <v>100</v>
      </c>
      <c r="V47" s="714" t="s">
        <v>17</v>
      </c>
      <c r="W47" s="715">
        <f t="shared" si="14"/>
        <v>100</v>
      </c>
      <c r="X47" s="1540"/>
      <c r="Y47" s="4040"/>
      <c r="Z47" s="1541">
        <f t="shared" si="15"/>
        <v>111</v>
      </c>
      <c r="AA47" s="1538">
        <f t="shared" si="3"/>
        <v>1</v>
      </c>
      <c r="AB47" s="1538">
        <f t="shared" si="4"/>
        <v>1</v>
      </c>
      <c r="AC47" s="2149">
        <f t="shared" si="5"/>
        <v>1</v>
      </c>
    </row>
    <row r="48" spans="1:29" ht="15">
      <c r="A48" s="438" t="s">
        <v>2387</v>
      </c>
      <c r="B48" s="439"/>
      <c r="C48" s="1315" t="s">
        <v>1</v>
      </c>
      <c r="D48" s="1316"/>
      <c r="E48" s="1317"/>
      <c r="F48" s="1318"/>
      <c r="G48" s="1319"/>
      <c r="H48" s="1320"/>
      <c r="I48" s="1317"/>
      <c r="J48" s="444"/>
      <c r="K48" s="723"/>
      <c r="L48" s="2950"/>
      <c r="M48" s="2942"/>
      <c r="N48" s="2942"/>
      <c r="O48" s="2942"/>
      <c r="P48" s="4002" t="str">
        <f>A48</f>
        <v>成交单价（元/平方米）</v>
      </c>
      <c r="Q48" s="3978"/>
      <c r="R48" s="4036">
        <f>E48</f>
        <v>0</v>
      </c>
      <c r="S48" s="4036"/>
      <c r="T48" s="4036">
        <f>G48</f>
        <v>0</v>
      </c>
      <c r="U48" s="4036"/>
      <c r="V48" s="4036">
        <f>I48</f>
        <v>0</v>
      </c>
      <c r="W48" s="4036"/>
      <c r="X48" s="405"/>
      <c r="Y48" s="721"/>
      <c r="Z48" s="405"/>
      <c r="AA48" s="405"/>
      <c r="AB48" s="405"/>
      <c r="AC48" s="586"/>
    </row>
    <row r="49" spans="1:29" ht="15.75" thickBot="1">
      <c r="A49" s="445" t="s">
        <v>2479</v>
      </c>
      <c r="B49" s="446"/>
      <c r="C49" s="1321" t="e">
        <f>R50</f>
        <v>#DIV/0!</v>
      </c>
      <c r="D49" s="2539" t="s">
        <v>2870</v>
      </c>
      <c r="E49" s="1322" t="e">
        <f>R49</f>
        <v>#DIV/0!</v>
      </c>
      <c r="F49" s="2540"/>
      <c r="G49" s="1321" t="e">
        <f>T49</f>
        <v>#DIV/0!</v>
      </c>
      <c r="H49" s="2540"/>
      <c r="I49" s="1322" t="e">
        <f>V49</f>
        <v>#DIV/0!</v>
      </c>
      <c r="J49" s="2540"/>
      <c r="K49" s="2542">
        <f>F49+H49+J49</f>
        <v>0</v>
      </c>
      <c r="L49" s="2950"/>
      <c r="M49" s="2942"/>
      <c r="N49" s="2942"/>
      <c r="O49" s="2942"/>
      <c r="P49" s="4002" t="str">
        <f>A49</f>
        <v>比较价值（元/平方米）</v>
      </c>
      <c r="Q49" s="3978"/>
      <c r="R49" s="4036" t="e">
        <f>IF(F1="售价",ROUND(PRODUCT(R48,AA7:AA47),0),ROUND(PRODUCT(R48,AA7:AA47),1))</f>
        <v>#DIV/0!</v>
      </c>
      <c r="S49" s="4036"/>
      <c r="T49" s="4036" t="e">
        <f>IF(F1="售价",ROUND(PRODUCT(T48,AB7:AB47),0),ROUND(PRODUCT(T48,AB7:AB47),1))</f>
        <v>#DIV/0!</v>
      </c>
      <c r="U49" s="4036"/>
      <c r="V49" s="4036" t="e">
        <f>IF(F1="售价",ROUND(PRODUCT(V48,AC7:AC47),0),ROUND(PRODUCT(V48,AC7:AC47),1))</f>
        <v>#DIV/0!</v>
      </c>
      <c r="W49" s="4036"/>
      <c r="X49" s="405"/>
      <c r="Y49" s="405"/>
      <c r="Z49" s="405"/>
      <c r="AA49" s="405"/>
      <c r="AB49" s="405"/>
      <c r="AC49" s="586"/>
    </row>
    <row r="50" spans="1:29" ht="15.75" thickBot="1">
      <c r="A50" s="449" t="s">
        <v>2480</v>
      </c>
      <c r="B50" s="450"/>
      <c r="C50" s="1324" t="e">
        <f>R50</f>
        <v>#DIV/0!</v>
      </c>
      <c r="D50" s="1324"/>
      <c r="E50" s="1324"/>
      <c r="F50" s="1324"/>
      <c r="G50" s="1324"/>
      <c r="H50" s="1324"/>
      <c r="I50" s="1324"/>
      <c r="J50" s="451"/>
      <c r="K50" s="724"/>
      <c r="L50" s="2950"/>
      <c r="M50" s="2942"/>
      <c r="N50" s="2942"/>
      <c r="O50" s="2942"/>
      <c r="P50" s="4055" t="str">
        <f>A50</f>
        <v>估价对象XX用房的比较价值（楼面单价，元/平方米）</v>
      </c>
      <c r="Q50" s="4056"/>
      <c r="R50" s="4057" t="e">
        <f>IF(F1="售价",ROUND(IF(D49="简单平均",AVERAGE(R49:V49),R49*F49+T49*H49+V49*J49),0),ROUND(IF(D49="简单平均",AVERAGE(R49:V49),R49*F49+T49*H49+V49*J49),1))</f>
        <v>#DIV/0!</v>
      </c>
      <c r="S50" s="4057"/>
      <c r="T50" s="4057"/>
      <c r="U50" s="4057"/>
      <c r="V50" s="4057"/>
      <c r="W50" s="4057"/>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2483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2484</v>
      </c>
      <c r="B58" s="699"/>
      <c r="C58" s="704"/>
      <c r="D58" s="704"/>
      <c r="E58" s="704"/>
      <c r="F58" s="705"/>
      <c r="G58" s="705"/>
      <c r="H58" s="704"/>
      <c r="I58" s="704"/>
      <c r="J58" s="704"/>
      <c r="K58" s="706"/>
      <c r="L58" s="1072"/>
      <c r="M58" s="1070"/>
      <c r="N58" s="2995"/>
      <c r="O58" s="2995"/>
      <c r="P58" s="2984"/>
      <c r="Q58" s="2965"/>
      <c r="R58" s="2951"/>
      <c r="S58" s="2951"/>
      <c r="T58" s="2951"/>
      <c r="U58" s="2951"/>
      <c r="V58" s="2951"/>
      <c r="W58" s="2951"/>
      <c r="X58" s="2951"/>
      <c r="Y58" s="2951"/>
      <c r="Z58" s="2951"/>
      <c r="AA58" s="2951"/>
      <c r="AB58" s="2951"/>
      <c r="AC58" s="2951"/>
    </row>
    <row r="59" spans="1:29" s="465" customFormat="1" ht="15">
      <c r="A59" s="462" t="s">
        <v>2358</v>
      </c>
      <c r="B59" s="463"/>
      <c r="C59" s="1345" t="str">
        <f>YEAR(C7)&amp;"-"&amp;MONTH(C7)</f>
        <v>2020-12</v>
      </c>
      <c r="D59" s="1346">
        <f>EDATE(C59,-1)</f>
        <v>44136</v>
      </c>
      <c r="E59" s="1346">
        <f>EDATE(D59,-1)</f>
        <v>44105</v>
      </c>
      <c r="F59" s="1346">
        <f t="shared" ref="F59:O59" si="16">EDATE(E59,-1)</f>
        <v>44075</v>
      </c>
      <c r="G59" s="1346">
        <f t="shared" si="16"/>
        <v>44044</v>
      </c>
      <c r="H59" s="1346">
        <f t="shared" si="16"/>
        <v>44013</v>
      </c>
      <c r="I59" s="1346">
        <f t="shared" si="16"/>
        <v>43983</v>
      </c>
      <c r="J59" s="1346">
        <f t="shared" si="16"/>
        <v>43952</v>
      </c>
      <c r="K59" s="1346">
        <f t="shared" si="16"/>
        <v>43922</v>
      </c>
      <c r="L59" s="1346">
        <f t="shared" si="16"/>
        <v>43891</v>
      </c>
      <c r="M59" s="1346">
        <f t="shared" si="16"/>
        <v>43862</v>
      </c>
      <c r="N59" s="1346">
        <f t="shared" si="16"/>
        <v>43831</v>
      </c>
      <c r="O59" s="1346">
        <f t="shared" si="16"/>
        <v>43800</v>
      </c>
      <c r="P59" s="2985"/>
      <c r="Q59" s="2967"/>
      <c r="R59" s="2967"/>
      <c r="S59" s="2967"/>
      <c r="T59" s="2967"/>
      <c r="U59" s="2967"/>
      <c r="V59" s="2967"/>
      <c r="W59" s="2967"/>
      <c r="X59" s="2967"/>
      <c r="Y59" s="2967"/>
      <c r="Z59" s="2967"/>
      <c r="AA59" s="2967"/>
      <c r="AB59" s="2967"/>
      <c r="AC59" s="2967"/>
    </row>
    <row r="60" spans="1:29" s="113" customFormat="1" ht="15">
      <c r="A60" s="466"/>
      <c r="B60" s="467"/>
      <c r="C60" s="1344">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2395</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2360</v>
      </c>
      <c r="B62" s="467"/>
      <c r="C62" s="479" t="s">
        <v>2462</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2398</v>
      </c>
      <c r="B64" s="485" t="s">
        <v>2364</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2367</v>
      </c>
      <c r="C66" s="496" t="s">
        <v>2399</v>
      </c>
      <c r="D66" s="496" t="s">
        <v>2400</v>
      </c>
      <c r="E66" s="496" t="s">
        <v>2401</v>
      </c>
      <c r="F66" s="496" t="s">
        <v>2402</v>
      </c>
      <c r="G66" s="496" t="s">
        <v>2403</v>
      </c>
      <c r="H66" s="496" t="s">
        <v>2404</v>
      </c>
      <c r="I66" s="496" t="s">
        <v>2405</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2368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2369</v>
      </c>
      <c r="B77" s="485" t="s">
        <v>2507</v>
      </c>
      <c r="C77" s="530" t="s">
        <v>2407</v>
      </c>
      <c r="D77" s="530" t="s">
        <v>2408</v>
      </c>
      <c r="E77" s="530" t="s">
        <v>2409</v>
      </c>
      <c r="F77" s="530" t="s">
        <v>2410</v>
      </c>
      <c r="G77" s="530" t="s">
        <v>2411</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2412</v>
      </c>
      <c r="C79" s="535" t="s">
        <v>2407</v>
      </c>
      <c r="D79" s="535" t="s">
        <v>2408</v>
      </c>
      <c r="E79" s="535" t="s">
        <v>2409</v>
      </c>
      <c r="F79" s="535" t="s">
        <v>2410</v>
      </c>
      <c r="G79" s="535" t="s">
        <v>2411</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2413</v>
      </c>
      <c r="C81" s="535" t="s">
        <v>2407</v>
      </c>
      <c r="D81" s="535" t="s">
        <v>2408</v>
      </c>
      <c r="E81" s="535" t="s">
        <v>2409</v>
      </c>
      <c r="F81" s="535" t="s">
        <v>2410</v>
      </c>
      <c r="G81" s="535" t="s">
        <v>2411</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2499</v>
      </c>
      <c r="C83" s="616" t="s">
        <v>2485</v>
      </c>
      <c r="D83" s="616" t="s">
        <v>2486</v>
      </c>
      <c r="E83" s="616" t="s">
        <v>2487</v>
      </c>
      <c r="F83" s="616" t="s">
        <v>2488</v>
      </c>
      <c r="G83" s="616" t="s">
        <v>2489</v>
      </c>
      <c r="H83" s="496"/>
      <c r="I83" s="496"/>
      <c r="J83" s="496"/>
      <c r="K83" s="496"/>
      <c r="L83" s="496"/>
      <c r="M83" s="1290"/>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2508</v>
      </c>
      <c r="C85" s="535" t="s">
        <v>2407</v>
      </c>
      <c r="D85" s="535" t="s">
        <v>2408</v>
      </c>
      <c r="E85" s="535" t="s">
        <v>2409</v>
      </c>
      <c r="F85" s="535" t="s">
        <v>2410</v>
      </c>
      <c r="G85" s="535" t="s">
        <v>2411</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2509</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4"/>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5"/>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2373</v>
      </c>
      <c r="B101" s="485" t="s">
        <v>2422</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2423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2424</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2426</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1867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2510</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2427</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2428</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2511</v>
      </c>
      <c r="C119" s="540"/>
      <c r="D119" s="540"/>
      <c r="E119" s="540"/>
      <c r="F119" s="540"/>
      <c r="G119" s="540"/>
      <c r="H119" s="540"/>
      <c r="I119" s="540"/>
      <c r="J119" s="540"/>
      <c r="K119" s="540"/>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2494</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2430</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2431</v>
      </c>
      <c r="C125" s="535" t="s">
        <v>2407</v>
      </c>
      <c r="D125" s="535" t="s">
        <v>2408</v>
      </c>
      <c r="E125" s="535" t="s">
        <v>2409</v>
      </c>
      <c r="F125" s="535" t="s">
        <v>2410</v>
      </c>
      <c r="G125" s="535" t="s">
        <v>2411</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2338</v>
      </c>
      <c r="B1" s="2144" t="s">
        <v>2512</v>
      </c>
      <c r="C1" s="1391" t="s">
        <v>2340</v>
      </c>
      <c r="D1" s="1392"/>
      <c r="E1" s="1401"/>
      <c r="F1" s="2066"/>
      <c r="G1" s="1402" t="s">
        <v>2453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5" t="e">
        <f ca="1">IF(C2="——",ROUND(C43*D3/10000,0),ROUND(C43*D3/10000,0)-D2)</f>
        <v>#DIV/0!</v>
      </c>
      <c r="C2" s="2068"/>
      <c r="D2" s="1037" t="e">
        <f ca="1">SUMIF(INDIRECT("'"&amp;F2&amp;"'"&amp;"!A:A"),"承租人权益价值",INDIRECT("'"&amp;F2&amp;"'"&amp;"!c:c"))</f>
        <v>#REF!</v>
      </c>
      <c r="E2" s="2069" t="s">
        <v>2141</v>
      </c>
      <c r="F2" s="2070"/>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2142</v>
      </c>
      <c r="B3" s="566" t="e">
        <f ca="1">IF(C2="——",C43,ROUND(B2*10000/D3,0))</f>
        <v>#DIV/0!</v>
      </c>
      <c r="C3" s="360" t="s">
        <v>2454</v>
      </c>
      <c r="D3" s="359">
        <f>IF(D1="",'数据-汇总表'!E3,SUMIF('数据-汇总表'!$C19:$C33,D1,'数据-汇总表'!$E19:$E33))</f>
        <v>714394.25</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2455</v>
      </c>
      <c r="B4" s="362"/>
      <c r="C4" s="3979" t="s">
        <v>2456</v>
      </c>
      <c r="D4" s="3980"/>
      <c r="E4" s="3981" t="s">
        <v>2457</v>
      </c>
      <c r="F4" s="3982"/>
      <c r="G4" s="3979" t="s">
        <v>2458</v>
      </c>
      <c r="H4" s="3980"/>
      <c r="I4" s="3979" t="s">
        <v>2459</v>
      </c>
      <c r="J4" s="3980"/>
      <c r="K4" s="567" t="s">
        <v>2460</v>
      </c>
      <c r="L4" s="1043"/>
      <c r="M4" s="1044"/>
      <c r="N4" s="1044"/>
      <c r="O4" s="1044"/>
      <c r="P4" s="3983" t="s">
        <v>2461</v>
      </c>
      <c r="Q4" s="3984"/>
      <c r="R4" s="3966" t="s">
        <v>2457</v>
      </c>
      <c r="S4" s="3967"/>
      <c r="T4" s="3966" t="s">
        <v>2458</v>
      </c>
      <c r="U4" s="3967"/>
      <c r="V4" s="3991" t="s">
        <v>2459</v>
      </c>
      <c r="W4" s="3991"/>
      <c r="X4" s="1540"/>
      <c r="Y4" s="3966" t="s">
        <v>2461</v>
      </c>
      <c r="Z4" s="3967"/>
      <c r="AA4" s="3961" t="s">
        <v>2457</v>
      </c>
      <c r="AB4" s="3962" t="s">
        <v>2458</v>
      </c>
      <c r="AC4" s="3961" t="s">
        <v>2459</v>
      </c>
    </row>
    <row r="5" spans="1:29" ht="15">
      <c r="A5" s="364"/>
      <c r="B5" s="365"/>
      <c r="C5" s="3972" t="s">
        <v>2352</v>
      </c>
      <c r="D5" s="3973"/>
      <c r="E5" s="3970" t="s">
        <v>2353</v>
      </c>
      <c r="F5" s="3971"/>
      <c r="G5" s="3972" t="s">
        <v>2354</v>
      </c>
      <c r="H5" s="3973"/>
      <c r="I5" s="3972" t="s">
        <v>2355</v>
      </c>
      <c r="J5" s="3973"/>
      <c r="K5" s="567"/>
      <c r="L5" s="1043"/>
      <c r="M5" s="1044"/>
      <c r="N5" s="1044"/>
      <c r="O5" s="1044"/>
      <c r="P5" s="3985"/>
      <c r="Q5" s="3986"/>
      <c r="R5" s="3968"/>
      <c r="S5" s="3969"/>
      <c r="T5" s="3968"/>
      <c r="U5" s="3969"/>
      <c r="V5" s="3991"/>
      <c r="W5" s="3991"/>
      <c r="X5" s="1540"/>
      <c r="Y5" s="3968"/>
      <c r="Z5" s="3969"/>
      <c r="AA5" s="3962"/>
      <c r="AB5" s="3962"/>
      <c r="AC5" s="3962"/>
    </row>
    <row r="6" spans="1:29" ht="15.75" thickBot="1">
      <c r="A6" s="366"/>
      <c r="B6" s="367"/>
      <c r="C6" s="3974" t="s">
        <v>2356</v>
      </c>
      <c r="D6" s="3975"/>
      <c r="E6" s="3976" t="s">
        <v>2356</v>
      </c>
      <c r="F6" s="3977"/>
      <c r="G6" s="3974" t="s">
        <v>2356</v>
      </c>
      <c r="H6" s="3975"/>
      <c r="I6" s="3974" t="s">
        <v>2356</v>
      </c>
      <c r="J6" s="3975"/>
      <c r="K6" s="567" t="s">
        <v>2357</v>
      </c>
      <c r="L6" s="1043"/>
      <c r="M6" s="1044"/>
      <c r="N6" s="1044"/>
      <c r="O6" s="1044"/>
      <c r="P6" s="3987"/>
      <c r="Q6" s="3988"/>
      <c r="R6" s="3968"/>
      <c r="S6" s="3969"/>
      <c r="T6" s="3989"/>
      <c r="U6" s="3990"/>
      <c r="V6" s="3991"/>
      <c r="W6" s="3991"/>
      <c r="X6" s="1540"/>
      <c r="Y6" s="3989"/>
      <c r="Z6" s="3990"/>
      <c r="AA6" s="3963"/>
      <c r="AB6" s="3963"/>
      <c r="AC6" s="3963"/>
    </row>
    <row r="7" spans="1:29" s="113" customFormat="1" ht="15.75" thickBot="1">
      <c r="A7" s="368" t="s">
        <v>2358</v>
      </c>
      <c r="B7" s="369"/>
      <c r="C7" s="370">
        <f>'数据-取费表'!B2</f>
        <v>44186</v>
      </c>
      <c r="D7" s="371">
        <v>100</v>
      </c>
      <c r="E7" s="372"/>
      <c r="F7" s="373">
        <f>SUMIF(52:52,YEAR(E7)&amp;"-"&amp;MONTH(E7),53:53)</f>
        <v>0</v>
      </c>
      <c r="G7" s="372"/>
      <c r="H7" s="371">
        <f>SUMIF(52:52,YEAR(G7)&amp;"-"&amp;MONTH(G7),53:53)</f>
        <v>0</v>
      </c>
      <c r="I7" s="372"/>
      <c r="J7" s="371">
        <f>SUMIF(52:52,YEAR(I7)&amp;"-"&amp;MONTH(I7),53:53)</f>
        <v>0</v>
      </c>
      <c r="K7" s="568"/>
      <c r="L7" s="1045"/>
      <c r="M7" s="1046"/>
      <c r="N7" s="1046"/>
      <c r="O7" s="1046"/>
      <c r="P7" s="3964" t="s">
        <v>2359</v>
      </c>
      <c r="Q7" s="3992"/>
      <c r="R7" s="710" t="s">
        <v>17</v>
      </c>
      <c r="S7" s="711">
        <f t="shared" ref="S7:S15" si="0">F7</f>
        <v>0</v>
      </c>
      <c r="T7" s="710" t="s">
        <v>17</v>
      </c>
      <c r="U7" s="711">
        <f t="shared" ref="U7:U15" si="1">H7</f>
        <v>0</v>
      </c>
      <c r="V7" s="710" t="s">
        <v>17</v>
      </c>
      <c r="W7" s="711">
        <f t="shared" ref="W7:W15" si="2">J7</f>
        <v>0</v>
      </c>
      <c r="X7" s="712"/>
      <c r="Y7" s="3964" t="s">
        <v>2359</v>
      </c>
      <c r="Z7" s="3965"/>
      <c r="AA7" s="713" t="e">
        <f>D7/F7</f>
        <v>#DIV/0!</v>
      </c>
      <c r="AB7" s="713" t="e">
        <f>D7/H7</f>
        <v>#DIV/0!</v>
      </c>
      <c r="AC7" s="713" t="e">
        <f>D7/J7</f>
        <v>#DIV/0!</v>
      </c>
    </row>
    <row r="8" spans="1:29" s="113" customFormat="1" ht="15.75" thickBot="1">
      <c r="A8" s="368" t="s">
        <v>2360</v>
      </c>
      <c r="B8" s="369"/>
      <c r="C8" s="374" t="s">
        <v>2361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964" t="s">
        <v>2362</v>
      </c>
      <c r="Q8" s="3965"/>
      <c r="R8" s="710" t="s">
        <v>17</v>
      </c>
      <c r="S8" s="711">
        <f t="shared" si="0"/>
        <v>0</v>
      </c>
      <c r="T8" s="710" t="s">
        <v>17</v>
      </c>
      <c r="U8" s="711">
        <f t="shared" si="1"/>
        <v>0</v>
      </c>
      <c r="V8" s="710" t="s">
        <v>17</v>
      </c>
      <c r="W8" s="711">
        <f t="shared" si="2"/>
        <v>0</v>
      </c>
      <c r="X8" s="712"/>
      <c r="Y8" s="3964" t="s">
        <v>2362</v>
      </c>
      <c r="Z8" s="3965"/>
      <c r="AA8" s="713" t="e">
        <f t="shared" ref="AA8:AA40" si="3">D8/F8</f>
        <v>#DIV/0!</v>
      </c>
      <c r="AB8" s="713" t="e">
        <f t="shared" ref="AB8:AB40" si="4">D8/H8</f>
        <v>#DIV/0!</v>
      </c>
      <c r="AC8" s="713" t="e">
        <f t="shared" ref="AC8:AC40" si="5">D8/J8</f>
        <v>#DIV/0!</v>
      </c>
    </row>
    <row r="9" spans="1:29" s="113" customFormat="1">
      <c r="A9" s="375" t="s">
        <v>2363</v>
      </c>
      <c r="B9" s="67" t="s">
        <v>2364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978"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713">
        <f t="shared" si="5"/>
        <v>1</v>
      </c>
    </row>
    <row r="10" spans="1:29" s="386" customFormat="1" ht="27">
      <c r="A10" s="380"/>
      <c r="B10" s="381" t="s">
        <v>2367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978"/>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713">
        <f t="shared" si="5"/>
        <v>1</v>
      </c>
    </row>
    <row r="11" spans="1:29" ht="15">
      <c r="A11" s="387"/>
      <c r="B11" s="381" t="s">
        <v>2368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978"/>
      <c r="Q11" s="1528" t="str">
        <f t="shared" si="6"/>
        <v>容积率</v>
      </c>
      <c r="R11" s="710" t="s">
        <v>17</v>
      </c>
      <c r="S11" s="711" t="e">
        <f t="shared" si="0"/>
        <v>#N/A</v>
      </c>
      <c r="T11" s="710" t="s">
        <v>17</v>
      </c>
      <c r="U11" s="711" t="e">
        <f t="shared" si="1"/>
        <v>#N/A</v>
      </c>
      <c r="V11" s="710" t="s">
        <v>17</v>
      </c>
      <c r="W11" s="711" t="e">
        <f t="shared" si="2"/>
        <v>#N/A</v>
      </c>
      <c r="X11" s="712"/>
      <c r="Y11" s="393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5"/>
      <c r="M12" s="1046"/>
      <c r="N12" s="1046"/>
      <c r="O12" s="1047"/>
      <c r="P12" s="3978"/>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3"/>
      <c r="M13" s="1044"/>
      <c r="N13" s="1044"/>
      <c r="O13" s="1052"/>
      <c r="P13" s="3978"/>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3"/>
      <c r="M14" s="1044"/>
      <c r="N14" s="1044"/>
      <c r="O14" s="1052"/>
      <c r="P14" s="3978"/>
      <c r="Q14" s="1528">
        <f t="shared" si="6"/>
        <v>111</v>
      </c>
      <c r="R14" s="710" t="s">
        <v>17</v>
      </c>
      <c r="S14" s="711">
        <f t="shared" si="0"/>
        <v>100</v>
      </c>
      <c r="T14" s="710" t="s">
        <v>17</v>
      </c>
      <c r="U14" s="711">
        <f t="shared" si="1"/>
        <v>100</v>
      </c>
      <c r="V14" s="710" t="s">
        <v>17</v>
      </c>
      <c r="W14" s="711">
        <f t="shared" si="2"/>
        <v>100</v>
      </c>
      <c r="X14" s="712"/>
      <c r="Y14" s="3937"/>
      <c r="Z14" s="55">
        <f t="shared" si="7"/>
        <v>111</v>
      </c>
      <c r="AA14" s="713">
        <f t="shared" si="3"/>
        <v>1</v>
      </c>
      <c r="AB14" s="713">
        <f t="shared" si="4"/>
        <v>1</v>
      </c>
      <c r="AC14" s="713">
        <f t="shared" si="5"/>
        <v>1</v>
      </c>
    </row>
    <row r="15" spans="1:29" ht="57">
      <c r="A15" s="399" t="s">
        <v>2369</v>
      </c>
      <c r="B15" s="65" t="s">
        <v>2513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993" t="s">
        <v>2370</v>
      </c>
      <c r="Q15" s="1537" t="str">
        <f t="shared" si="6"/>
        <v>产业集聚程度</v>
      </c>
      <c r="R15" s="714" t="s">
        <v>17</v>
      </c>
      <c r="S15" s="715">
        <f t="shared" si="0"/>
        <v>100</v>
      </c>
      <c r="T15" s="714" t="s">
        <v>17</v>
      </c>
      <c r="U15" s="715">
        <f t="shared" si="1"/>
        <v>100</v>
      </c>
      <c r="V15" s="714" t="s">
        <v>17</v>
      </c>
      <c r="W15" s="715">
        <f t="shared" si="2"/>
        <v>100</v>
      </c>
      <c r="X15" s="1540"/>
      <c r="Y15" s="3993" t="s">
        <v>2370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3"/>
      <c r="M16" s="1044"/>
      <c r="N16" s="1044"/>
      <c r="O16" s="1052"/>
      <c r="P16" s="3994"/>
      <c r="Q16" s="1537"/>
      <c r="R16" s="714"/>
      <c r="S16" s="715"/>
      <c r="T16" s="714"/>
      <c r="U16" s="715"/>
      <c r="V16" s="714"/>
      <c r="W16" s="715"/>
      <c r="X16" s="1540"/>
      <c r="Y16" s="3994"/>
      <c r="Z16" s="1541"/>
      <c r="AA16" s="1538">
        <v>1</v>
      </c>
      <c r="AB16" s="1538">
        <v>1</v>
      </c>
      <c r="AC16" s="1538">
        <v>1</v>
      </c>
    </row>
    <row r="17" spans="1:29" ht="85.5">
      <c r="A17" s="387"/>
      <c r="B17" s="410" t="s">
        <v>1937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994"/>
      <c r="Q17" s="1537" t="str">
        <f>B17</f>
        <v>交通便捷度</v>
      </c>
      <c r="R17" s="714" t="s">
        <v>17</v>
      </c>
      <c r="S17" s="715">
        <f>F17</f>
        <v>100</v>
      </c>
      <c r="T17" s="714" t="s">
        <v>17</v>
      </c>
      <c r="U17" s="715">
        <f>H17</f>
        <v>100</v>
      </c>
      <c r="V17" s="714" t="s">
        <v>17</v>
      </c>
      <c r="W17" s="715">
        <f>J17</f>
        <v>100</v>
      </c>
      <c r="X17" s="1540"/>
      <c r="Y17" s="3994"/>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3"/>
      <c r="M18" s="1044"/>
      <c r="N18" s="1044"/>
      <c r="O18" s="1052"/>
      <c r="P18" s="3994"/>
      <c r="Q18" s="1537"/>
      <c r="R18" s="714"/>
      <c r="S18" s="715"/>
      <c r="T18" s="714"/>
      <c r="U18" s="715"/>
      <c r="V18" s="714"/>
      <c r="W18" s="715"/>
      <c r="X18" s="1540"/>
      <c r="Y18" s="3994"/>
      <c r="Z18" s="1541"/>
      <c r="AA18" s="1538">
        <v>1</v>
      </c>
      <c r="AB18" s="1538">
        <v>1</v>
      </c>
      <c r="AC18" s="1538">
        <v>1</v>
      </c>
    </row>
    <row r="19" spans="1:29" ht="42.75">
      <c r="A19" s="387"/>
      <c r="B19" s="410" t="s">
        <v>2498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994"/>
      <c r="Q19" s="1537" t="str">
        <f>B19</f>
        <v>公共配套设施</v>
      </c>
      <c r="R19" s="714" t="s">
        <v>17</v>
      </c>
      <c r="S19" s="715">
        <f>F19</f>
        <v>100</v>
      </c>
      <c r="T19" s="714" t="s">
        <v>17</v>
      </c>
      <c r="U19" s="715">
        <f>H19</f>
        <v>100</v>
      </c>
      <c r="V19" s="714" t="s">
        <v>17</v>
      </c>
      <c r="W19" s="715">
        <f>J19</f>
        <v>100</v>
      </c>
      <c r="X19" s="1540"/>
      <c r="Y19" s="3994"/>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3"/>
      <c r="M20" s="1044"/>
      <c r="N20" s="1044"/>
      <c r="O20" s="1052"/>
      <c r="P20" s="3994"/>
      <c r="Q20" s="1537"/>
      <c r="R20" s="714"/>
      <c r="S20" s="715"/>
      <c r="T20" s="714"/>
      <c r="U20" s="715"/>
      <c r="V20" s="714"/>
      <c r="W20" s="715"/>
      <c r="X20" s="1540"/>
      <c r="Y20" s="3994"/>
      <c r="Z20" s="1541"/>
      <c r="AA20" s="1538">
        <v>1</v>
      </c>
      <c r="AB20" s="1538">
        <v>1</v>
      </c>
      <c r="AC20" s="1538">
        <v>1</v>
      </c>
    </row>
    <row r="21" spans="1:29" ht="28.5">
      <c r="A21" s="387"/>
      <c r="B21" s="1292" t="s">
        <v>2499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994"/>
      <c r="Q21" s="1537" t="str">
        <f>B21</f>
        <v>基础设施水平</v>
      </c>
      <c r="R21" s="714" t="s">
        <v>17</v>
      </c>
      <c r="S21" s="715">
        <f>F21</f>
        <v>100</v>
      </c>
      <c r="T21" s="714" t="s">
        <v>17</v>
      </c>
      <c r="U21" s="715">
        <f>H21</f>
        <v>100</v>
      </c>
      <c r="V21" s="714" t="s">
        <v>17</v>
      </c>
      <c r="W21" s="715">
        <f>J21</f>
        <v>100</v>
      </c>
      <c r="X21" s="1540"/>
      <c r="Y21" s="3994"/>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3"/>
      <c r="M22" s="1044"/>
      <c r="N22" s="1044"/>
      <c r="O22" s="1052"/>
      <c r="P22" s="3994"/>
      <c r="Q22" s="1537"/>
      <c r="R22" s="714"/>
      <c r="S22" s="715"/>
      <c r="T22" s="714"/>
      <c r="U22" s="715"/>
      <c r="V22" s="714"/>
      <c r="W22" s="715"/>
      <c r="X22" s="1540"/>
      <c r="Y22" s="3994"/>
      <c r="Z22" s="1541"/>
      <c r="AA22" s="1538">
        <v>1</v>
      </c>
      <c r="AB22" s="1538">
        <v>1</v>
      </c>
      <c r="AC22" s="1538">
        <v>1</v>
      </c>
    </row>
    <row r="23" spans="1:29" ht="71.25">
      <c r="A23" s="387"/>
      <c r="B23" s="410" t="s">
        <v>2500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994"/>
      <c r="Q23" s="1537" t="str">
        <f>B23</f>
        <v>环境质量</v>
      </c>
      <c r="R23" s="714" t="s">
        <v>17</v>
      </c>
      <c r="S23" s="715">
        <f>F23</f>
        <v>100</v>
      </c>
      <c r="T23" s="714" t="s">
        <v>17</v>
      </c>
      <c r="U23" s="715">
        <f>H23</f>
        <v>100</v>
      </c>
      <c r="V23" s="714" t="s">
        <v>17</v>
      </c>
      <c r="W23" s="715">
        <f>J23</f>
        <v>100</v>
      </c>
      <c r="X23" s="1540"/>
      <c r="Y23" s="3994"/>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3"/>
      <c r="M24" s="1044"/>
      <c r="N24" s="1044"/>
      <c r="O24" s="1052"/>
      <c r="P24" s="3994"/>
      <c r="Q24" s="1537"/>
      <c r="R24" s="714"/>
      <c r="S24" s="715"/>
      <c r="T24" s="714"/>
      <c r="U24" s="715"/>
      <c r="V24" s="714"/>
      <c r="W24" s="715"/>
      <c r="X24" s="1540"/>
      <c r="Y24" s="3994"/>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994"/>
      <c r="Q25" s="1537">
        <f>B25</f>
        <v>111</v>
      </c>
      <c r="R25" s="714" t="s">
        <v>17</v>
      </c>
      <c r="S25" s="715">
        <f>F25</f>
        <v>100</v>
      </c>
      <c r="T25" s="714" t="s">
        <v>17</v>
      </c>
      <c r="U25" s="715">
        <f>H25</f>
        <v>100</v>
      </c>
      <c r="V25" s="714" t="s">
        <v>17</v>
      </c>
      <c r="W25" s="715">
        <f>J25</f>
        <v>100</v>
      </c>
      <c r="X25" s="1540"/>
      <c r="Y25" s="3994"/>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994"/>
      <c r="Q26" s="1537">
        <f t="shared" ref="Q26:Q40" si="11">B26</f>
        <v>111</v>
      </c>
      <c r="R26" s="714" t="s">
        <v>17</v>
      </c>
      <c r="S26" s="715">
        <f>F26</f>
        <v>100</v>
      </c>
      <c r="T26" s="714" t="s">
        <v>17</v>
      </c>
      <c r="U26" s="715">
        <f>H26</f>
        <v>100</v>
      </c>
      <c r="V26" s="714" t="s">
        <v>17</v>
      </c>
      <c r="W26" s="715">
        <f>J26</f>
        <v>100</v>
      </c>
      <c r="X26" s="1540"/>
      <c r="Y26" s="3994"/>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994"/>
      <c r="Q27" s="1528">
        <f t="shared" si="11"/>
        <v>111</v>
      </c>
      <c r="R27" s="710" t="s">
        <v>17</v>
      </c>
      <c r="S27" s="711">
        <f>F27</f>
        <v>100</v>
      </c>
      <c r="T27" s="710" t="s">
        <v>17</v>
      </c>
      <c r="U27" s="711">
        <f>H27</f>
        <v>100</v>
      </c>
      <c r="V27" s="710" t="s">
        <v>17</v>
      </c>
      <c r="W27" s="711">
        <f>J27</f>
        <v>100</v>
      </c>
      <c r="X27" s="712"/>
      <c r="Y27" s="3994"/>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994"/>
      <c r="Q28" s="1537">
        <f t="shared" si="11"/>
        <v>111</v>
      </c>
      <c r="R28" s="714" t="s">
        <v>17</v>
      </c>
      <c r="S28" s="715">
        <f t="shared" ref="S28:S40" si="12">F28</f>
        <v>100</v>
      </c>
      <c r="T28" s="714" t="s">
        <v>17</v>
      </c>
      <c r="U28" s="715">
        <f t="shared" ref="U28:U40" si="13">H28</f>
        <v>100</v>
      </c>
      <c r="V28" s="714" t="s">
        <v>17</v>
      </c>
      <c r="W28" s="715">
        <f t="shared" ref="W28:W40" si="14">J28</f>
        <v>100</v>
      </c>
      <c r="X28" s="1540"/>
      <c r="Y28" s="3994"/>
      <c r="Z28" s="1541">
        <f t="shared" ref="Z28:Z40" si="15">Q28</f>
        <v>111</v>
      </c>
      <c r="AA28" s="1538">
        <f t="shared" si="3"/>
        <v>1</v>
      </c>
      <c r="AB28" s="1538">
        <f t="shared" si="4"/>
        <v>1</v>
      </c>
      <c r="AC28" s="1538">
        <f t="shared" si="5"/>
        <v>1</v>
      </c>
    </row>
    <row r="29" spans="1:29" ht="28.5">
      <c r="A29" s="425" t="s">
        <v>2373</v>
      </c>
      <c r="B29" s="67" t="s">
        <v>2503</v>
      </c>
      <c r="C29" s="2154"/>
      <c r="D29" s="426">
        <v>100</v>
      </c>
      <c r="E29" s="2154"/>
      <c r="F29" s="420">
        <f>SUMIF(88:88,E29,89:89)-SUMIF(88:88,C29,89:89)+100</f>
        <v>100</v>
      </c>
      <c r="G29" s="2154"/>
      <c r="H29" s="394">
        <f>SUMIF(88:88,G29,89:89)-SUMIF(88:88,C29,89:89)+100</f>
        <v>100</v>
      </c>
      <c r="I29" s="2154"/>
      <c r="J29" s="426">
        <f>SUMIF(88:88,I29,89:89)-SUMIF(88:88,C29,89:89)+100</f>
        <v>100</v>
      </c>
      <c r="K29" s="569"/>
      <c r="L29" s="1053"/>
      <c r="M29" s="1044"/>
      <c r="N29" s="1044"/>
      <c r="O29" s="1052"/>
      <c r="P29" s="3995" t="s">
        <v>2375</v>
      </c>
      <c r="Q29" s="1537" t="str">
        <f t="shared" si="11"/>
        <v>建筑类型</v>
      </c>
      <c r="R29" s="714" t="s">
        <v>17</v>
      </c>
      <c r="S29" s="715">
        <f t="shared" si="12"/>
        <v>100</v>
      </c>
      <c r="T29" s="714" t="s">
        <v>17</v>
      </c>
      <c r="U29" s="715">
        <f t="shared" si="13"/>
        <v>100</v>
      </c>
      <c r="V29" s="714" t="s">
        <v>17</v>
      </c>
      <c r="W29" s="715">
        <f t="shared" si="14"/>
        <v>100</v>
      </c>
      <c r="X29" s="1540"/>
      <c r="Y29" s="3996" t="s">
        <v>2375</v>
      </c>
      <c r="Z29" s="1541" t="str">
        <f t="shared" si="15"/>
        <v>建筑类型</v>
      </c>
      <c r="AA29" s="1538">
        <f t="shared" si="3"/>
        <v>1</v>
      </c>
      <c r="AB29" s="1538">
        <f t="shared" si="4"/>
        <v>1</v>
      </c>
      <c r="AC29" s="1538">
        <f t="shared" si="5"/>
        <v>1</v>
      </c>
    </row>
    <row r="30" spans="1:29" s="430" customFormat="1" ht="15">
      <c r="A30" s="427"/>
      <c r="B30" s="381" t="s">
        <v>2376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996"/>
      <c r="Q30" s="716" t="str">
        <f t="shared" si="11"/>
        <v>项目建筑规模</v>
      </c>
      <c r="R30" s="717" t="s">
        <v>17</v>
      </c>
      <c r="S30" s="718" t="e">
        <f t="shared" si="12"/>
        <v>#N/A</v>
      </c>
      <c r="T30" s="717" t="s">
        <v>17</v>
      </c>
      <c r="U30" s="718" t="e">
        <f t="shared" si="13"/>
        <v>#N/A</v>
      </c>
      <c r="V30" s="717" t="s">
        <v>17</v>
      </c>
      <c r="W30" s="718" t="e">
        <f t="shared" si="14"/>
        <v>#N/A</v>
      </c>
      <c r="X30" s="719"/>
      <c r="Y30" s="3996"/>
      <c r="Z30" s="720" t="str">
        <f t="shared" si="15"/>
        <v>项目建筑规模</v>
      </c>
      <c r="AA30" s="1538" t="e">
        <f t="shared" si="3"/>
        <v>#N/A</v>
      </c>
      <c r="AB30" s="1538" t="e">
        <f t="shared" si="4"/>
        <v>#N/A</v>
      </c>
      <c r="AC30" s="1538" t="e">
        <f t="shared" si="5"/>
        <v>#N/A</v>
      </c>
    </row>
    <row r="31" spans="1:29" ht="15">
      <c r="A31" s="431"/>
      <c r="B31" s="381" t="s">
        <v>2377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996"/>
      <c r="Q31" s="1537" t="str">
        <f t="shared" si="11"/>
        <v>建筑结构</v>
      </c>
      <c r="R31" s="714" t="s">
        <v>17</v>
      </c>
      <c r="S31" s="715">
        <f t="shared" si="12"/>
        <v>100</v>
      </c>
      <c r="T31" s="714" t="s">
        <v>17</v>
      </c>
      <c r="U31" s="715">
        <f t="shared" si="13"/>
        <v>100</v>
      </c>
      <c r="V31" s="714" t="s">
        <v>17</v>
      </c>
      <c r="W31" s="715">
        <f t="shared" si="14"/>
        <v>100</v>
      </c>
      <c r="X31" s="1540"/>
      <c r="Y31" s="3996"/>
      <c r="Z31" s="1541" t="str">
        <f t="shared" si="15"/>
        <v>建筑结构</v>
      </c>
      <c r="AA31" s="1538">
        <f t="shared" si="3"/>
        <v>1</v>
      </c>
      <c r="AB31" s="1538">
        <f t="shared" si="4"/>
        <v>1</v>
      </c>
      <c r="AC31" s="1538">
        <f t="shared" si="5"/>
        <v>1</v>
      </c>
    </row>
    <row r="32" spans="1:29" ht="15">
      <c r="A32" s="431"/>
      <c r="B32" s="381" t="s">
        <v>2471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996"/>
      <c r="Q32" s="1537" t="str">
        <f t="shared" si="11"/>
        <v>公共部分装修</v>
      </c>
      <c r="R32" s="714" t="s">
        <v>17</v>
      </c>
      <c r="S32" s="715">
        <f t="shared" si="12"/>
        <v>100</v>
      </c>
      <c r="T32" s="714" t="s">
        <v>17</v>
      </c>
      <c r="U32" s="715">
        <f t="shared" si="13"/>
        <v>100</v>
      </c>
      <c r="V32" s="714" t="s">
        <v>17</v>
      </c>
      <c r="W32" s="715">
        <f t="shared" si="14"/>
        <v>100</v>
      </c>
      <c r="X32" s="1540"/>
      <c r="Y32" s="3996"/>
      <c r="Z32" s="1541" t="str">
        <f t="shared" si="15"/>
        <v>公共部分装修</v>
      </c>
      <c r="AA32" s="1538">
        <f t="shared" si="3"/>
        <v>1</v>
      </c>
      <c r="AB32" s="1538">
        <f t="shared" si="4"/>
        <v>1</v>
      </c>
      <c r="AC32" s="1538">
        <f t="shared" si="5"/>
        <v>1</v>
      </c>
    </row>
    <row r="33" spans="1:29" ht="15">
      <c r="A33" s="431"/>
      <c r="B33" s="381" t="s">
        <v>2472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996"/>
      <c r="Q33" s="1537" t="str">
        <f t="shared" si="11"/>
        <v>成新度</v>
      </c>
      <c r="R33" s="714" t="s">
        <v>17</v>
      </c>
      <c r="S33" s="715" t="e">
        <f t="shared" si="12"/>
        <v>#N/A</v>
      </c>
      <c r="T33" s="714" t="s">
        <v>17</v>
      </c>
      <c r="U33" s="715" t="e">
        <f t="shared" si="13"/>
        <v>#N/A</v>
      </c>
      <c r="V33" s="714" t="s">
        <v>17</v>
      </c>
      <c r="W33" s="715" t="e">
        <f t="shared" si="14"/>
        <v>#N/A</v>
      </c>
      <c r="X33" s="1540"/>
      <c r="Y33" s="3996"/>
      <c r="Z33" s="1541" t="str">
        <f t="shared" si="15"/>
        <v>成新度</v>
      </c>
      <c r="AA33" s="1538" t="e">
        <f t="shared" si="3"/>
        <v>#N/A</v>
      </c>
      <c r="AB33" s="1538" t="e">
        <f t="shared" si="4"/>
        <v>#N/A</v>
      </c>
      <c r="AC33" s="1538" t="e">
        <f t="shared" si="5"/>
        <v>#N/A</v>
      </c>
    </row>
    <row r="34" spans="1:29" s="113" customFormat="1" ht="15">
      <c r="A34" s="432"/>
      <c r="B34" s="381" t="s">
        <v>2505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996"/>
      <c r="Q34" s="1528" t="str">
        <f t="shared" si="11"/>
        <v>物业管理</v>
      </c>
      <c r="R34" s="710" t="s">
        <v>17</v>
      </c>
      <c r="S34" s="711">
        <f t="shared" si="12"/>
        <v>100</v>
      </c>
      <c r="T34" s="710" t="s">
        <v>17</v>
      </c>
      <c r="U34" s="711">
        <f t="shared" si="13"/>
        <v>100</v>
      </c>
      <c r="V34" s="710" t="s">
        <v>17</v>
      </c>
      <c r="W34" s="711">
        <f t="shared" si="14"/>
        <v>100</v>
      </c>
      <c r="X34" s="712"/>
      <c r="Y34" s="3996"/>
      <c r="Z34" s="55" t="str">
        <f t="shared" si="15"/>
        <v>物业管理</v>
      </c>
      <c r="AA34" s="713">
        <f t="shared" si="3"/>
        <v>1</v>
      </c>
      <c r="AB34" s="713">
        <f t="shared" si="4"/>
        <v>1</v>
      </c>
      <c r="AC34" s="713">
        <f t="shared" si="5"/>
        <v>1</v>
      </c>
    </row>
    <row r="35" spans="1:29" ht="15">
      <c r="A35" s="431"/>
      <c r="B35" s="381" t="s">
        <v>2473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996" t="s">
        <v>2375</v>
      </c>
      <c r="Q35" s="1537" t="str">
        <f t="shared" si="11"/>
        <v>市政基础设施</v>
      </c>
      <c r="R35" s="714" t="s">
        <v>17</v>
      </c>
      <c r="S35" s="715">
        <f t="shared" si="12"/>
        <v>100</v>
      </c>
      <c r="T35" s="714" t="s">
        <v>17</v>
      </c>
      <c r="U35" s="715">
        <f t="shared" si="13"/>
        <v>100</v>
      </c>
      <c r="V35" s="714" t="s">
        <v>17</v>
      </c>
      <c r="W35" s="715">
        <f t="shared" si="14"/>
        <v>100</v>
      </c>
      <c r="X35" s="1540"/>
      <c r="Y35" s="3996" t="s">
        <v>2375</v>
      </c>
      <c r="Z35" s="1541" t="str">
        <f t="shared" si="15"/>
        <v>市政基础设施</v>
      </c>
      <c r="AA35" s="1538">
        <f t="shared" si="3"/>
        <v>1</v>
      </c>
      <c r="AB35" s="1538">
        <f t="shared" si="4"/>
        <v>1</v>
      </c>
      <c r="AC35" s="1538">
        <f t="shared" si="5"/>
        <v>1</v>
      </c>
    </row>
    <row r="36" spans="1:29" ht="15">
      <c r="A36" s="431"/>
      <c r="B36" s="381" t="s">
        <v>2478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996"/>
      <c r="Q36" s="1537" t="str">
        <f t="shared" si="11"/>
        <v>内部装修</v>
      </c>
      <c r="R36" s="714" t="s">
        <v>17</v>
      </c>
      <c r="S36" s="715">
        <f t="shared" si="12"/>
        <v>100</v>
      </c>
      <c r="T36" s="714" t="s">
        <v>17</v>
      </c>
      <c r="U36" s="715">
        <f t="shared" si="13"/>
        <v>100</v>
      </c>
      <c r="V36" s="714" t="s">
        <v>17</v>
      </c>
      <c r="W36" s="715">
        <f t="shared" si="14"/>
        <v>100</v>
      </c>
      <c r="X36" s="1540"/>
      <c r="Y36" s="3996"/>
      <c r="Z36" s="1541" t="str">
        <f t="shared" si="15"/>
        <v>内部装修</v>
      </c>
      <c r="AA36" s="1538">
        <f t="shared" si="3"/>
        <v>1</v>
      </c>
      <c r="AB36" s="1538">
        <f t="shared" si="4"/>
        <v>1</v>
      </c>
      <c r="AC36" s="1538">
        <f t="shared" si="5"/>
        <v>1</v>
      </c>
    </row>
    <row r="37" spans="1:29" ht="15">
      <c r="A37" s="431"/>
      <c r="B37" s="381" t="s">
        <v>2514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996"/>
      <c r="Q37" s="1537" t="str">
        <f t="shared" si="11"/>
        <v>内部装修状况</v>
      </c>
      <c r="R37" s="714" t="s">
        <v>17</v>
      </c>
      <c r="S37" s="715">
        <f t="shared" si="12"/>
        <v>100</v>
      </c>
      <c r="T37" s="714" t="s">
        <v>17</v>
      </c>
      <c r="U37" s="715">
        <f t="shared" si="13"/>
        <v>100</v>
      </c>
      <c r="V37" s="714" t="s">
        <v>17</v>
      </c>
      <c r="W37" s="715">
        <f t="shared" si="14"/>
        <v>100</v>
      </c>
      <c r="X37" s="1540"/>
      <c r="Y37" s="3996"/>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996"/>
      <c r="Q38" s="716">
        <f t="shared" si="11"/>
        <v>111</v>
      </c>
      <c r="R38" s="717" t="s">
        <v>17</v>
      </c>
      <c r="S38" s="718">
        <f t="shared" si="12"/>
        <v>100</v>
      </c>
      <c r="T38" s="717" t="s">
        <v>17</v>
      </c>
      <c r="U38" s="718">
        <f t="shared" si="13"/>
        <v>100</v>
      </c>
      <c r="V38" s="717" t="s">
        <v>17</v>
      </c>
      <c r="W38" s="718">
        <f t="shared" si="14"/>
        <v>100</v>
      </c>
      <c r="X38" s="719"/>
      <c r="Y38" s="3996"/>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996"/>
      <c r="Q39" s="1537">
        <f t="shared" si="11"/>
        <v>111</v>
      </c>
      <c r="R39" s="714" t="s">
        <v>17</v>
      </c>
      <c r="S39" s="715">
        <f t="shared" si="12"/>
        <v>100</v>
      </c>
      <c r="T39" s="714" t="s">
        <v>17</v>
      </c>
      <c r="U39" s="715">
        <f t="shared" si="13"/>
        <v>100</v>
      </c>
      <c r="V39" s="714" t="s">
        <v>17</v>
      </c>
      <c r="W39" s="715">
        <f t="shared" si="14"/>
        <v>100</v>
      </c>
      <c r="X39" s="1540"/>
      <c r="Y39" s="3996"/>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4040"/>
      <c r="Q40" s="1537">
        <f t="shared" si="11"/>
        <v>111</v>
      </c>
      <c r="R40" s="714" t="s">
        <v>17</v>
      </c>
      <c r="S40" s="715">
        <f t="shared" si="12"/>
        <v>100</v>
      </c>
      <c r="T40" s="714" t="s">
        <v>17</v>
      </c>
      <c r="U40" s="715">
        <f t="shared" si="13"/>
        <v>100</v>
      </c>
      <c r="V40" s="714" t="s">
        <v>17</v>
      </c>
      <c r="W40" s="715">
        <f t="shared" si="14"/>
        <v>100</v>
      </c>
      <c r="X40" s="1540"/>
      <c r="Y40" s="4040"/>
      <c r="Z40" s="1541">
        <f t="shared" si="15"/>
        <v>111</v>
      </c>
      <c r="AA40" s="1538">
        <f t="shared" si="3"/>
        <v>1</v>
      </c>
      <c r="AB40" s="1538">
        <f t="shared" si="4"/>
        <v>1</v>
      </c>
      <c r="AC40" s="1538">
        <f t="shared" si="5"/>
        <v>1</v>
      </c>
    </row>
    <row r="41" spans="1:29" ht="15">
      <c r="A41" s="438" t="s">
        <v>2387</v>
      </c>
      <c r="B41" s="439"/>
      <c r="C41" s="1315" t="s">
        <v>1</v>
      </c>
      <c r="D41" s="1316"/>
      <c r="E41" s="1317"/>
      <c r="F41" s="1318"/>
      <c r="G41" s="1319"/>
      <c r="H41" s="1320"/>
      <c r="I41" s="1317"/>
      <c r="J41" s="1320"/>
      <c r="K41" s="723"/>
      <c r="L41" s="1056"/>
      <c r="M41" s="1057"/>
      <c r="N41" s="1044"/>
      <c r="O41" s="1057"/>
      <c r="P41" s="3978" t="str">
        <f>A41</f>
        <v>成交单价（元/平方米）</v>
      </c>
      <c r="Q41" s="3978"/>
      <c r="R41" s="4036">
        <f>E41</f>
        <v>0</v>
      </c>
      <c r="S41" s="4036"/>
      <c r="T41" s="4036">
        <f>G41</f>
        <v>0</v>
      </c>
      <c r="U41" s="4036"/>
      <c r="V41" s="4036">
        <f>I41</f>
        <v>0</v>
      </c>
      <c r="W41" s="4036"/>
      <c r="X41" s="699"/>
      <c r="Y41" s="721"/>
      <c r="Z41" s="699"/>
      <c r="AA41" s="699"/>
      <c r="AB41" s="699"/>
      <c r="AC41" s="699"/>
    </row>
    <row r="42" spans="1:29" ht="15.75" thickBot="1">
      <c r="A42" s="445" t="s">
        <v>2479</v>
      </c>
      <c r="B42" s="446"/>
      <c r="C42" s="1321" t="e">
        <f>R43</f>
        <v>#DIV/0!</v>
      </c>
      <c r="D42" s="2539" t="s">
        <v>2870</v>
      </c>
      <c r="E42" s="1322" t="e">
        <f>R42</f>
        <v>#DIV/0!</v>
      </c>
      <c r="F42" s="2540"/>
      <c r="G42" s="1321" t="e">
        <f>T42</f>
        <v>#DIV/0!</v>
      </c>
      <c r="H42" s="2540"/>
      <c r="I42" s="1322" t="e">
        <f>V42</f>
        <v>#DIV/0!</v>
      </c>
      <c r="J42" s="2540"/>
      <c r="K42" s="2542">
        <f>F42+H42+J42</f>
        <v>0</v>
      </c>
      <c r="L42" s="1056"/>
      <c r="M42" s="1057"/>
      <c r="N42" s="1044"/>
      <c r="O42" s="1057"/>
      <c r="P42" s="3978" t="str">
        <f>A42</f>
        <v>比较价值（元/平方米）</v>
      </c>
      <c r="Q42" s="3978"/>
      <c r="R42" s="4036" t="e">
        <f>IF(F1="售价",ROUND(PRODUCT(R41,AA7:AA40),0),ROUND(PRODUCT(R41,AA7:AA40),1))</f>
        <v>#DIV/0!</v>
      </c>
      <c r="S42" s="4036"/>
      <c r="T42" s="4036" t="e">
        <f>IF(F1="售价",ROUND(PRODUCT(T41,AB7:AB40),0),ROUND(PRODUCT(T41,AB7:AB40),1))</f>
        <v>#DIV/0!</v>
      </c>
      <c r="U42" s="4036"/>
      <c r="V42" s="4036" t="e">
        <f>IF(F1="售价",ROUND(PRODUCT(V41,AC7:AC40),0),ROUND(PRODUCT(V41,AC7:AC40),1))</f>
        <v>#DIV/0!</v>
      </c>
      <c r="W42" s="4036"/>
      <c r="X42" s="699"/>
      <c r="Y42" s="699"/>
      <c r="Z42" s="699"/>
      <c r="AA42" s="699"/>
      <c r="AB42" s="699"/>
      <c r="AC42" s="699"/>
    </row>
    <row r="43" spans="1:29" ht="15.75" thickBot="1">
      <c r="A43" s="449" t="s">
        <v>2480</v>
      </c>
      <c r="B43" s="450"/>
      <c r="C43" s="1324" t="e">
        <f>R43</f>
        <v>#DIV/0!</v>
      </c>
      <c r="D43" s="1324"/>
      <c r="E43" s="1324"/>
      <c r="F43" s="1324"/>
      <c r="G43" s="1324"/>
      <c r="H43" s="1324"/>
      <c r="I43" s="1324"/>
      <c r="J43" s="1324"/>
      <c r="K43" s="724"/>
      <c r="L43" s="1056"/>
      <c r="M43" s="1057"/>
      <c r="N43" s="1057"/>
      <c r="O43" s="1057"/>
      <c r="P43" s="3998" t="str">
        <f>A43</f>
        <v>估价对象XX用房的比较价值（楼面单价，元/平方米）</v>
      </c>
      <c r="Q43" s="3999"/>
      <c r="R43" s="4035" t="e">
        <f>IF(F1="售价",ROUND(IF(D42="简单平均",AVERAGE(R42:V42),R42*F42+T42*H42+V42*J42),0),ROUND(IF(D42="简单平均",AVERAGE(R42:V42),R42*F42+T42*H42+V42*J42),1))</f>
        <v>#DIV/0!</v>
      </c>
      <c r="S43" s="4035"/>
      <c r="T43" s="4035"/>
      <c r="U43" s="4035"/>
      <c r="V43" s="4035"/>
      <c r="W43" s="4035"/>
      <c r="X43" s="699"/>
      <c r="Y43" s="699"/>
      <c r="Z43" s="699"/>
      <c r="AA43" s="699"/>
      <c r="AB43" s="699"/>
      <c r="AC43" s="699"/>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4" t="s">
        <v>2481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9"/>
      <c r="M46" s="1057"/>
      <c r="N46" s="1057"/>
      <c r="O46" s="1057"/>
    </row>
    <row r="47" spans="1:29" ht="13.5" customHeight="1">
      <c r="A47" s="2951"/>
      <c r="B47" s="2951"/>
      <c r="C47" s="454" t="s">
        <v>2482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9"/>
      <c r="M47" s="1057"/>
      <c r="N47" s="1057"/>
      <c r="O47" s="1057"/>
    </row>
    <row r="48" spans="1:29" s="459" customFormat="1" ht="13.5" customHeight="1">
      <c r="A48" s="2954"/>
      <c r="B48" s="2954"/>
      <c r="C48" s="454" t="s">
        <v>2483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0"/>
      <c r="M48" s="1058"/>
      <c r="N48" s="1058"/>
      <c r="O48" s="1058"/>
    </row>
    <row r="49" spans="1:17" s="459"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3" t="s">
        <v>2484</v>
      </c>
      <c r="B51" s="699"/>
      <c r="C51" s="704"/>
      <c r="D51" s="704"/>
      <c r="E51" s="704"/>
      <c r="F51" s="705"/>
      <c r="G51" s="705"/>
      <c r="H51" s="704"/>
      <c r="I51" s="704"/>
      <c r="J51" s="704"/>
      <c r="K51" s="1071"/>
      <c r="L51" s="1072"/>
      <c r="M51" s="1070"/>
      <c r="N51" s="1070"/>
      <c r="O51" s="1070"/>
      <c r="P51" s="460"/>
      <c r="Q51" s="461"/>
    </row>
    <row r="52" spans="1:17" s="465" customFormat="1" ht="15">
      <c r="A52" s="462" t="s">
        <v>2358</v>
      </c>
      <c r="B52" s="463"/>
      <c r="C52" s="1345" t="str">
        <f>YEAR(C7)&amp;"-"&amp;MONTH(C7)</f>
        <v>2020-12</v>
      </c>
      <c r="D52" s="1346">
        <f>EDATE(C52,-1)</f>
        <v>44136</v>
      </c>
      <c r="E52" s="1346">
        <f t="shared" ref="E52:O52" si="16">EDATE(D52,-1)</f>
        <v>44105</v>
      </c>
      <c r="F52" s="1346">
        <f t="shared" si="16"/>
        <v>44075</v>
      </c>
      <c r="G52" s="1346">
        <f t="shared" si="16"/>
        <v>44044</v>
      </c>
      <c r="H52" s="1346">
        <f t="shared" si="16"/>
        <v>44013</v>
      </c>
      <c r="I52" s="1346">
        <f t="shared" si="16"/>
        <v>43983</v>
      </c>
      <c r="J52" s="1346">
        <f t="shared" si="16"/>
        <v>43952</v>
      </c>
      <c r="K52" s="1346">
        <f t="shared" si="16"/>
        <v>43922</v>
      </c>
      <c r="L52" s="1346">
        <f t="shared" si="16"/>
        <v>43891</v>
      </c>
      <c r="M52" s="1346">
        <f t="shared" si="16"/>
        <v>43862</v>
      </c>
      <c r="N52" s="1346">
        <f t="shared" si="16"/>
        <v>43831</v>
      </c>
      <c r="O52" s="1346">
        <f t="shared" si="16"/>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2395</v>
      </c>
      <c r="B54" s="473"/>
      <c r="C54" s="474"/>
      <c r="D54" s="475"/>
      <c r="E54" s="475"/>
      <c r="F54" s="475"/>
      <c r="G54" s="475"/>
      <c r="H54" s="475"/>
      <c r="I54" s="475"/>
      <c r="J54" s="475"/>
      <c r="K54" s="475"/>
      <c r="L54" s="475"/>
      <c r="M54" s="476"/>
      <c r="N54" s="2996"/>
      <c r="O54" s="2997"/>
      <c r="P54" s="461"/>
      <c r="Q54" s="461"/>
    </row>
    <row r="55" spans="1:17" s="113" customFormat="1" ht="15">
      <c r="A55" s="478" t="s">
        <v>2360</v>
      </c>
      <c r="B55" s="467"/>
      <c r="C55" s="479" t="s">
        <v>2462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2398</v>
      </c>
      <c r="B57" s="485" t="s">
        <v>2364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2367</v>
      </c>
      <c r="C59" s="496" t="s">
        <v>2399</v>
      </c>
      <c r="D59" s="496" t="s">
        <v>2400</v>
      </c>
      <c r="E59" s="496" t="s">
        <v>2401</v>
      </c>
      <c r="F59" s="496" t="s">
        <v>2402</v>
      </c>
      <c r="G59" s="496" t="s">
        <v>2403</v>
      </c>
      <c r="H59" s="496" t="s">
        <v>2404</v>
      </c>
      <c r="I59" s="496" t="s">
        <v>2405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2368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2369</v>
      </c>
      <c r="B70" s="485" t="s">
        <v>2515</v>
      </c>
      <c r="C70" s="530" t="s">
        <v>2407</v>
      </c>
      <c r="D70" s="530" t="s">
        <v>2408</v>
      </c>
      <c r="E70" s="530" t="s">
        <v>2409</v>
      </c>
      <c r="F70" s="530" t="s">
        <v>2410</v>
      </c>
      <c r="G70" s="530" t="s">
        <v>2411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2412</v>
      </c>
      <c r="C72" s="535" t="s">
        <v>2407</v>
      </c>
      <c r="D72" s="535" t="s">
        <v>2408</v>
      </c>
      <c r="E72" s="535" t="s">
        <v>2409</v>
      </c>
      <c r="F72" s="535" t="s">
        <v>2410</v>
      </c>
      <c r="G72" s="535" t="s">
        <v>2411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2413</v>
      </c>
      <c r="C74" s="535" t="s">
        <v>2407</v>
      </c>
      <c r="D74" s="535" t="s">
        <v>2408</v>
      </c>
      <c r="E74" s="535" t="s">
        <v>2409</v>
      </c>
      <c r="F74" s="535" t="s">
        <v>2410</v>
      </c>
      <c r="G74" s="535" t="s">
        <v>2411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2499</v>
      </c>
      <c r="C76" s="616" t="s">
        <v>2485</v>
      </c>
      <c r="D76" s="616" t="s">
        <v>2486</v>
      </c>
      <c r="E76" s="616" t="s">
        <v>2487</v>
      </c>
      <c r="F76" s="616" t="s">
        <v>2488</v>
      </c>
      <c r="G76" s="616" t="s">
        <v>2489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2508</v>
      </c>
      <c r="C78" s="535" t="s">
        <v>2407</v>
      </c>
      <c r="D78" s="535" t="s">
        <v>2408</v>
      </c>
      <c r="E78" s="535" t="s">
        <v>2409</v>
      </c>
      <c r="F78" s="535" t="s">
        <v>2410</v>
      </c>
      <c r="G78" s="535" t="s">
        <v>2411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5"/>
      <c r="B87" s="526"/>
      <c r="C87" s="527"/>
      <c r="D87" s="527"/>
      <c r="E87" s="527"/>
      <c r="F87" s="527"/>
      <c r="G87" s="548"/>
      <c r="H87" s="548"/>
      <c r="I87" s="548"/>
      <c r="J87" s="548"/>
      <c r="K87" s="548"/>
      <c r="L87" s="548"/>
      <c r="M87" s="549"/>
      <c r="N87" s="1064"/>
      <c r="O87" s="1064"/>
      <c r="P87" s="45"/>
      <c r="Q87" s="461"/>
    </row>
    <row r="88" spans="1:17">
      <c r="A88" s="484" t="s">
        <v>2373</v>
      </c>
      <c r="B88" s="485" t="s">
        <v>2422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2423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2424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2426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1867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2427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2428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2430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2516</v>
      </c>
      <c r="C106" s="535" t="s">
        <v>2407</v>
      </c>
      <c r="D106" s="535" t="s">
        <v>2408</v>
      </c>
      <c r="E106" s="535" t="s">
        <v>2409</v>
      </c>
      <c r="F106" s="535" t="s">
        <v>2410</v>
      </c>
      <c r="G106" s="535" t="s">
        <v>2411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5"/>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2517</v>
      </c>
      <c r="B1" s="1390"/>
      <c r="C1" s="1391" t="s">
        <v>2340</v>
      </c>
      <c r="D1" s="1392"/>
      <c r="E1" s="1393"/>
      <c r="F1" s="2066"/>
      <c r="G1" s="1394" t="s">
        <v>2453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2140</v>
      </c>
      <c r="B2" s="1325" t="e">
        <f ca="1">IF(C2="——",IF(B37="元/平方米",ROUND(C39*D3/10000,0),ROUND(F3*C39/10000,0)),IF(B37="元/平方米",ROUND(C39*D3/10000,0),ROUND(F3*C39/10000,0))-D2)</f>
        <v>#DIV/0!</v>
      </c>
      <c r="C2" s="2068"/>
      <c r="D2" s="1037" t="e">
        <f ca="1">SUMIF(INDIRECT("'"&amp;F2&amp;"'"&amp;"!A:A"),"承租人权益价值",INDIRECT("'"&amp;F2&amp;"'"&amp;"!c:c"))</f>
        <v>#REF!</v>
      </c>
      <c r="E2" s="2069" t="s">
        <v>2141</v>
      </c>
      <c r="F2" s="2070"/>
      <c r="G2" s="1038"/>
      <c r="H2" s="1038"/>
      <c r="I2" s="1038"/>
      <c r="J2" s="1038"/>
      <c r="K2" s="1040"/>
      <c r="L2" s="2960"/>
      <c r="M2" s="2961"/>
      <c r="N2" s="2961"/>
      <c r="O2" s="2961"/>
      <c r="P2" s="1326"/>
      <c r="Q2" s="708"/>
      <c r="R2" s="708"/>
      <c r="S2" s="708"/>
      <c r="T2" s="708"/>
      <c r="U2" s="708"/>
      <c r="V2" s="708"/>
      <c r="W2" s="708"/>
      <c r="X2" s="708"/>
      <c r="Y2" s="708"/>
      <c r="Z2" s="708"/>
      <c r="AA2" s="708"/>
      <c r="AB2" s="708"/>
      <c r="AC2" s="709"/>
    </row>
    <row r="3" spans="1:29" s="358" customFormat="1" ht="28.5" customHeight="1" thickBot="1">
      <c r="A3" s="209" t="s">
        <v>2142</v>
      </c>
      <c r="B3" s="566" t="e">
        <f ca="1">IF(AND(C2="——",B37="元/平方米"),C39,ROUND(B2*10000/D3,0))</f>
        <v>#DIV/0!</v>
      </c>
      <c r="C3" s="360" t="s">
        <v>2454</v>
      </c>
      <c r="D3" s="359">
        <f>SUMIF('数据-汇总表'!$C19:$C33,D1,'数据-汇总表'!$E19:$E33)</f>
        <v>0</v>
      </c>
      <c r="E3" s="360" t="s">
        <v>2518</v>
      </c>
      <c r="F3" s="359">
        <f>SUMIF('数据-取费表'!A5:A15,D1,'数据-取费表'!AH5:AH15)</f>
        <v>0</v>
      </c>
      <c r="G3" s="1038"/>
      <c r="H3" s="1038"/>
      <c r="I3" s="1038"/>
      <c r="J3" s="1038"/>
      <c r="K3" s="1040"/>
      <c r="L3" s="2960"/>
      <c r="M3" s="2961"/>
      <c r="N3" s="2961"/>
      <c r="O3" s="2961"/>
      <c r="P3" s="1326"/>
      <c r="Q3" s="708"/>
      <c r="R3" s="708"/>
      <c r="S3" s="708"/>
      <c r="T3" s="708"/>
      <c r="U3" s="708"/>
      <c r="V3" s="708"/>
      <c r="W3" s="708"/>
      <c r="X3" s="708"/>
      <c r="Y3" s="708"/>
      <c r="Z3" s="708"/>
      <c r="AA3" s="708"/>
      <c r="AB3" s="725"/>
      <c r="AC3" s="722"/>
    </row>
    <row r="4" spans="1:29" ht="15">
      <c r="A4" s="361" t="s">
        <v>2455</v>
      </c>
      <c r="B4" s="362"/>
      <c r="C4" s="3979" t="s">
        <v>2456</v>
      </c>
      <c r="D4" s="3980"/>
      <c r="E4" s="3981" t="s">
        <v>2457</v>
      </c>
      <c r="F4" s="3982"/>
      <c r="G4" s="3979" t="s">
        <v>2458</v>
      </c>
      <c r="H4" s="3980"/>
      <c r="I4" s="3979" t="s">
        <v>2459</v>
      </c>
      <c r="J4" s="3980"/>
      <c r="K4" s="567" t="s">
        <v>2460</v>
      </c>
      <c r="L4" s="2941"/>
      <c r="M4" s="2942"/>
      <c r="N4" s="2942"/>
      <c r="O4" s="2942"/>
      <c r="P4" s="3983" t="s">
        <v>2461</v>
      </c>
      <c r="Q4" s="3984"/>
      <c r="R4" s="3966" t="s">
        <v>2457</v>
      </c>
      <c r="S4" s="3967"/>
      <c r="T4" s="3966" t="s">
        <v>2458</v>
      </c>
      <c r="U4" s="3967"/>
      <c r="V4" s="3991" t="s">
        <v>2459</v>
      </c>
      <c r="W4" s="3991"/>
      <c r="X4" s="1540"/>
      <c r="Y4" s="3966" t="s">
        <v>2461</v>
      </c>
      <c r="Z4" s="3967"/>
      <c r="AA4" s="3961" t="s">
        <v>2457</v>
      </c>
      <c r="AB4" s="3962" t="s">
        <v>2458</v>
      </c>
      <c r="AC4" s="3961" t="s">
        <v>2459</v>
      </c>
    </row>
    <row r="5" spans="1:29" ht="15">
      <c r="A5" s="364"/>
      <c r="B5" s="365"/>
      <c r="C5" s="3972" t="s">
        <v>2352</v>
      </c>
      <c r="D5" s="3973"/>
      <c r="E5" s="3970" t="s">
        <v>2353</v>
      </c>
      <c r="F5" s="3971"/>
      <c r="G5" s="3972" t="s">
        <v>2354</v>
      </c>
      <c r="H5" s="3973"/>
      <c r="I5" s="3972" t="s">
        <v>2355</v>
      </c>
      <c r="J5" s="3973"/>
      <c r="K5" s="567"/>
      <c r="L5" s="2941"/>
      <c r="M5" s="2942"/>
      <c r="N5" s="2942"/>
      <c r="O5" s="2942"/>
      <c r="P5" s="3985"/>
      <c r="Q5" s="3986"/>
      <c r="R5" s="3968"/>
      <c r="S5" s="3969"/>
      <c r="T5" s="3968"/>
      <c r="U5" s="3969"/>
      <c r="V5" s="3991"/>
      <c r="W5" s="3991"/>
      <c r="X5" s="1540"/>
      <c r="Y5" s="3968"/>
      <c r="Z5" s="3969"/>
      <c r="AA5" s="3962"/>
      <c r="AB5" s="3962"/>
      <c r="AC5" s="3962"/>
    </row>
    <row r="6" spans="1:29" ht="15.75" thickBot="1">
      <c r="A6" s="366"/>
      <c r="B6" s="367"/>
      <c r="C6" s="3974" t="s">
        <v>2356</v>
      </c>
      <c r="D6" s="3975"/>
      <c r="E6" s="3976" t="s">
        <v>2356</v>
      </c>
      <c r="F6" s="3977"/>
      <c r="G6" s="3974" t="s">
        <v>2356</v>
      </c>
      <c r="H6" s="3975"/>
      <c r="I6" s="3974" t="s">
        <v>2356</v>
      </c>
      <c r="J6" s="3975"/>
      <c r="K6" s="567" t="s">
        <v>2357</v>
      </c>
      <c r="L6" s="2941"/>
      <c r="M6" s="2942"/>
      <c r="N6" s="2942"/>
      <c r="O6" s="2942"/>
      <c r="P6" s="3987"/>
      <c r="Q6" s="3988"/>
      <c r="R6" s="3968"/>
      <c r="S6" s="3969"/>
      <c r="T6" s="3989"/>
      <c r="U6" s="3990"/>
      <c r="V6" s="3991"/>
      <c r="W6" s="3991"/>
      <c r="X6" s="1540"/>
      <c r="Y6" s="3989"/>
      <c r="Z6" s="3990"/>
      <c r="AA6" s="3963"/>
      <c r="AB6" s="3963"/>
      <c r="AC6" s="3963"/>
    </row>
    <row r="7" spans="1:29" s="113" customFormat="1" ht="15.75" thickBot="1">
      <c r="A7" s="368" t="s">
        <v>2358</v>
      </c>
      <c r="B7" s="369"/>
      <c r="C7" s="370">
        <f>'数据-取费表'!B2</f>
        <v>44186</v>
      </c>
      <c r="D7" s="371">
        <v>100</v>
      </c>
      <c r="E7" s="372"/>
      <c r="F7" s="373">
        <f>SUMIF(48:48,YEAR(E7)&amp;"-"&amp;MONTH(E7),49:49)</f>
        <v>0</v>
      </c>
      <c r="G7" s="372"/>
      <c r="H7" s="371">
        <f>SUMIF(48:48,YEAR(G7)&amp;"-"&amp;MONTH(G7),49:49)</f>
        <v>0</v>
      </c>
      <c r="I7" s="372"/>
      <c r="J7" s="371">
        <f>SUMIF(48:48,YEAR(I7)&amp;"-"&amp;MONTH(I7),49:49)</f>
        <v>0</v>
      </c>
      <c r="K7" s="568"/>
      <c r="L7" s="2943"/>
      <c r="M7" s="2944"/>
      <c r="N7" s="2944"/>
      <c r="O7" s="2944"/>
      <c r="P7" s="3964" t="s">
        <v>2359</v>
      </c>
      <c r="Q7" s="3992"/>
      <c r="R7" s="710" t="s">
        <v>17</v>
      </c>
      <c r="S7" s="711">
        <f t="shared" ref="S7:S14" si="0">F7</f>
        <v>0</v>
      </c>
      <c r="T7" s="710" t="s">
        <v>17</v>
      </c>
      <c r="U7" s="711">
        <f t="shared" ref="U7:U14" si="1">H7</f>
        <v>0</v>
      </c>
      <c r="V7" s="710" t="s">
        <v>17</v>
      </c>
      <c r="W7" s="711">
        <f t="shared" ref="W7:W14" si="2">J7</f>
        <v>0</v>
      </c>
      <c r="X7" s="712"/>
      <c r="Y7" s="3964" t="s">
        <v>2359</v>
      </c>
      <c r="Z7" s="3965"/>
      <c r="AA7" s="713" t="e">
        <f>D7/F7</f>
        <v>#DIV/0!</v>
      </c>
      <c r="AB7" s="713" t="e">
        <f>D7/H7</f>
        <v>#DIV/0!</v>
      </c>
      <c r="AC7" s="713" t="e">
        <f>D7/J7</f>
        <v>#DIV/0!</v>
      </c>
    </row>
    <row r="8" spans="1:29" s="113" customFormat="1" ht="15.75" thickBot="1">
      <c r="A8" s="368" t="s">
        <v>2360</v>
      </c>
      <c r="B8" s="369"/>
      <c r="C8" s="374" t="s">
        <v>2462</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964" t="s">
        <v>2362</v>
      </c>
      <c r="Q8" s="3965"/>
      <c r="R8" s="710" t="s">
        <v>17</v>
      </c>
      <c r="S8" s="711">
        <f t="shared" si="0"/>
        <v>0</v>
      </c>
      <c r="T8" s="710" t="s">
        <v>17</v>
      </c>
      <c r="U8" s="711">
        <f t="shared" si="1"/>
        <v>0</v>
      </c>
      <c r="V8" s="710" t="s">
        <v>17</v>
      </c>
      <c r="W8" s="711">
        <f t="shared" si="2"/>
        <v>0</v>
      </c>
      <c r="X8" s="712"/>
      <c r="Y8" s="3964" t="s">
        <v>2362</v>
      </c>
      <c r="Z8" s="3965"/>
      <c r="AA8" s="713" t="e">
        <f t="shared" ref="AA8:AA36" si="3">D8/F8</f>
        <v>#DIV/0!</v>
      </c>
      <c r="AB8" s="713" t="e">
        <f t="shared" ref="AB8:AB36" si="4">D8/H8</f>
        <v>#DIV/0!</v>
      </c>
      <c r="AC8" s="713" t="e">
        <f t="shared" ref="AC8:AC36" si="5">D8/J8</f>
        <v>#DIV/0!</v>
      </c>
    </row>
    <row r="9" spans="1:29" s="113" customFormat="1">
      <c r="A9" s="64" t="s">
        <v>2363</v>
      </c>
      <c r="B9" s="596" t="s">
        <v>2364</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978" t="s">
        <v>2365</v>
      </c>
      <c r="Q9" s="1528" t="str">
        <f t="shared" ref="Q9:Q14" si="6">B9</f>
        <v>用途</v>
      </c>
      <c r="R9" s="710" t="s">
        <v>17</v>
      </c>
      <c r="S9" s="711">
        <f t="shared" si="0"/>
        <v>100</v>
      </c>
      <c r="T9" s="710" t="s">
        <v>17</v>
      </c>
      <c r="U9" s="711">
        <f t="shared" si="1"/>
        <v>100</v>
      </c>
      <c r="V9" s="710" t="s">
        <v>17</v>
      </c>
      <c r="W9" s="711">
        <f t="shared" si="2"/>
        <v>100</v>
      </c>
      <c r="X9" s="712"/>
      <c r="Y9" s="3937" t="s">
        <v>2366</v>
      </c>
      <c r="Z9" s="55" t="str">
        <f t="shared" ref="Z9:Z14" si="7">Q9</f>
        <v>用途</v>
      </c>
      <c r="AA9" s="713">
        <f t="shared" si="3"/>
        <v>1</v>
      </c>
      <c r="AB9" s="713">
        <f t="shared" si="4"/>
        <v>1</v>
      </c>
      <c r="AC9" s="713">
        <f t="shared" si="5"/>
        <v>1</v>
      </c>
    </row>
    <row r="10" spans="1:29" s="386" customFormat="1" ht="27">
      <c r="A10" s="597"/>
      <c r="B10" s="598" t="s">
        <v>2367</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978"/>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978"/>
      <c r="Q11" s="1528">
        <f t="shared" si="6"/>
        <v>111</v>
      </c>
      <c r="R11" s="710" t="s">
        <v>17</v>
      </c>
      <c r="S11" s="711">
        <f t="shared" si="0"/>
        <v>100</v>
      </c>
      <c r="T11" s="710" t="s">
        <v>17</v>
      </c>
      <c r="U11" s="711">
        <f t="shared" si="1"/>
        <v>100</v>
      </c>
      <c r="V11" s="710" t="s">
        <v>17</v>
      </c>
      <c r="W11" s="711">
        <f t="shared" si="2"/>
        <v>100</v>
      </c>
      <c r="X11" s="712"/>
      <c r="Y11" s="39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978"/>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978"/>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713">
        <f t="shared" si="5"/>
        <v>1</v>
      </c>
    </row>
    <row r="14" spans="1:29" ht="15">
      <c r="A14" s="361" t="s">
        <v>2369</v>
      </c>
      <c r="B14" s="585" t="s">
        <v>2519</v>
      </c>
      <c r="C14" s="2158" t="str">
        <f>IF(B1="工业",估价对象房地状况!G4,估价对象房地状况!C6)</f>
        <v>较差</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993" t="s">
        <v>2370</v>
      </c>
      <c r="Q14" s="1537" t="str">
        <f t="shared" si="6"/>
        <v>交通便捷度</v>
      </c>
      <c r="R14" s="714" t="s">
        <v>17</v>
      </c>
      <c r="S14" s="715">
        <f t="shared" si="0"/>
        <v>100</v>
      </c>
      <c r="T14" s="714" t="s">
        <v>17</v>
      </c>
      <c r="U14" s="715">
        <f t="shared" si="1"/>
        <v>100</v>
      </c>
      <c r="V14" s="714" t="s">
        <v>17</v>
      </c>
      <c r="W14" s="715">
        <f t="shared" si="2"/>
        <v>100</v>
      </c>
      <c r="X14" s="1540"/>
      <c r="Y14" s="3993" t="s">
        <v>2370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994"/>
      <c r="Q15" s="1537"/>
      <c r="R15" s="714"/>
      <c r="S15" s="715"/>
      <c r="T15" s="714"/>
      <c r="U15" s="715"/>
      <c r="V15" s="714"/>
      <c r="W15" s="715"/>
      <c r="X15" s="1540"/>
      <c r="Y15" s="3994"/>
      <c r="Z15" s="1541"/>
      <c r="AA15" s="1538">
        <v>1</v>
      </c>
      <c r="AB15" s="1538">
        <v>1</v>
      </c>
      <c r="AC15" s="1538">
        <v>1</v>
      </c>
    </row>
    <row r="16" spans="1:29" ht="15">
      <c r="A16" s="364"/>
      <c r="B16" s="587" t="s">
        <v>2498</v>
      </c>
      <c r="C16" s="2087" t="str">
        <f>IF(B1="工业",估价对象房地状况!G5,估价对象房地状况!C7)</f>
        <v>较差</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994"/>
      <c r="Q16" s="1537" t="str">
        <f>B16</f>
        <v>公共配套设施</v>
      </c>
      <c r="R16" s="714" t="s">
        <v>17</v>
      </c>
      <c r="S16" s="715">
        <f>F16</f>
        <v>100</v>
      </c>
      <c r="T16" s="714" t="s">
        <v>17</v>
      </c>
      <c r="U16" s="715">
        <f>H16</f>
        <v>100</v>
      </c>
      <c r="V16" s="714" t="s">
        <v>17</v>
      </c>
      <c r="W16" s="715">
        <f>J16</f>
        <v>100</v>
      </c>
      <c r="X16" s="1540"/>
      <c r="Y16" s="3994"/>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8"/>
      <c r="M17" s="2942"/>
      <c r="N17" s="2942"/>
      <c r="O17" s="2942"/>
      <c r="P17" s="3994"/>
      <c r="Q17" s="1537"/>
      <c r="R17" s="714"/>
      <c r="S17" s="715"/>
      <c r="T17" s="714"/>
      <c r="U17" s="715"/>
      <c r="V17" s="714"/>
      <c r="W17" s="715"/>
      <c r="X17" s="1540"/>
      <c r="Y17" s="3994"/>
      <c r="Z17" s="1541"/>
      <c r="AA17" s="1538">
        <v>1</v>
      </c>
      <c r="AB17" s="1538">
        <v>1</v>
      </c>
      <c r="AC17" s="1538">
        <v>1</v>
      </c>
    </row>
    <row r="18" spans="1:29" ht="15">
      <c r="A18" s="364"/>
      <c r="B18" s="589" t="s">
        <v>2499</v>
      </c>
      <c r="C18" s="208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994"/>
      <c r="Q18" s="1537" t="str">
        <f>B18</f>
        <v>基础设施水平</v>
      </c>
      <c r="R18" s="714" t="s">
        <v>17</v>
      </c>
      <c r="S18" s="715">
        <f>F18</f>
        <v>100</v>
      </c>
      <c r="T18" s="714" t="s">
        <v>17</v>
      </c>
      <c r="U18" s="715">
        <f>H18</f>
        <v>100</v>
      </c>
      <c r="V18" s="714" t="s">
        <v>17</v>
      </c>
      <c r="W18" s="715">
        <f>J18</f>
        <v>100</v>
      </c>
      <c r="X18" s="1540"/>
      <c r="Y18" s="3994"/>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48"/>
      <c r="M19" s="2942"/>
      <c r="N19" s="2942"/>
      <c r="O19" s="2942"/>
      <c r="P19" s="3994"/>
      <c r="Q19" s="1537"/>
      <c r="R19" s="714"/>
      <c r="S19" s="715"/>
      <c r="T19" s="714"/>
      <c r="U19" s="715"/>
      <c r="V19" s="714"/>
      <c r="W19" s="715"/>
      <c r="X19" s="1540"/>
      <c r="Y19" s="3994"/>
      <c r="Z19" s="1541"/>
      <c r="AA19" s="1538">
        <v>1</v>
      </c>
      <c r="AB19" s="1538">
        <v>1</v>
      </c>
      <c r="AC19" s="1538">
        <v>1</v>
      </c>
    </row>
    <row r="20" spans="1:29" ht="15">
      <c r="A20" s="364"/>
      <c r="B20" s="587" t="s">
        <v>2520</v>
      </c>
      <c r="C20" s="2087"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994"/>
      <c r="Q20" s="1537" t="str">
        <f>B20</f>
        <v>自然及人文环境</v>
      </c>
      <c r="R20" s="714" t="s">
        <v>17</v>
      </c>
      <c r="S20" s="715">
        <f>F20</f>
        <v>100</v>
      </c>
      <c r="T20" s="714" t="s">
        <v>17</v>
      </c>
      <c r="U20" s="715">
        <f>H20</f>
        <v>100</v>
      </c>
      <c r="V20" s="714" t="s">
        <v>17</v>
      </c>
      <c r="W20" s="715">
        <f>J20</f>
        <v>100</v>
      </c>
      <c r="X20" s="1540"/>
      <c r="Y20" s="3994"/>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994"/>
      <c r="Q21" s="1537"/>
      <c r="R21" s="714"/>
      <c r="S21" s="715"/>
      <c r="T21" s="714"/>
      <c r="U21" s="715"/>
      <c r="V21" s="714"/>
      <c r="W21" s="715"/>
      <c r="X21" s="1540"/>
      <c r="Y21" s="3994"/>
      <c r="Z21" s="1541"/>
      <c r="AA21" s="1538">
        <v>1</v>
      </c>
      <c r="AB21" s="1538">
        <v>1</v>
      </c>
      <c r="AC21" s="1538">
        <v>1</v>
      </c>
    </row>
    <row r="22" spans="1:29" ht="15">
      <c r="A22" s="364"/>
      <c r="B22" s="587" t="s">
        <v>2521</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994"/>
      <c r="Q22" s="1537" t="str">
        <f>B22</f>
        <v>楼层</v>
      </c>
      <c r="R22" s="714" t="s">
        <v>17</v>
      </c>
      <c r="S22" s="715">
        <f>F22</f>
        <v>100</v>
      </c>
      <c r="T22" s="714" t="s">
        <v>17</v>
      </c>
      <c r="U22" s="715">
        <f>H22</f>
        <v>100</v>
      </c>
      <c r="V22" s="714" t="s">
        <v>17</v>
      </c>
      <c r="W22" s="715">
        <f>J22</f>
        <v>100</v>
      </c>
      <c r="X22" s="1540"/>
      <c r="Y22" s="3994"/>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994"/>
      <c r="Q23" s="1537">
        <f>B23</f>
        <v>111</v>
      </c>
      <c r="R23" s="714" t="s">
        <v>17</v>
      </c>
      <c r="S23" s="715">
        <f>F23</f>
        <v>100</v>
      </c>
      <c r="T23" s="714" t="s">
        <v>17</v>
      </c>
      <c r="U23" s="715">
        <f>H23</f>
        <v>100</v>
      </c>
      <c r="V23" s="714" t="s">
        <v>17</v>
      </c>
      <c r="W23" s="715">
        <f>J23</f>
        <v>100</v>
      </c>
      <c r="X23" s="1540"/>
      <c r="Y23" s="3994"/>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994"/>
      <c r="Q24" s="1537">
        <f t="shared" ref="Q24:Q36" si="11">B24</f>
        <v>111</v>
      </c>
      <c r="R24" s="714" t="s">
        <v>17</v>
      </c>
      <c r="S24" s="715">
        <f>F24</f>
        <v>100</v>
      </c>
      <c r="T24" s="714" t="s">
        <v>17</v>
      </c>
      <c r="U24" s="715">
        <f>H24</f>
        <v>100</v>
      </c>
      <c r="V24" s="714" t="s">
        <v>17</v>
      </c>
      <c r="W24" s="715">
        <f>J24</f>
        <v>100</v>
      </c>
      <c r="X24" s="1540"/>
      <c r="Y24" s="3994"/>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994"/>
      <c r="Q25" s="1528">
        <f t="shared" si="11"/>
        <v>111</v>
      </c>
      <c r="R25" s="710" t="s">
        <v>17</v>
      </c>
      <c r="S25" s="711">
        <f>F25</f>
        <v>100</v>
      </c>
      <c r="T25" s="710" t="s">
        <v>17</v>
      </c>
      <c r="U25" s="711">
        <f>H25</f>
        <v>100</v>
      </c>
      <c r="V25" s="710" t="s">
        <v>17</v>
      </c>
      <c r="W25" s="711">
        <f>J25</f>
        <v>100</v>
      </c>
      <c r="X25" s="712"/>
      <c r="Y25" s="3994"/>
      <c r="Z25" s="55">
        <f>Q25</f>
        <v>111</v>
      </c>
      <c r="AA25" s="1538">
        <f>D25/F25</f>
        <v>1</v>
      </c>
      <c r="AB25" s="1538">
        <f>D25/H25</f>
        <v>1</v>
      </c>
      <c r="AC25" s="1538">
        <f>D25/J25</f>
        <v>1</v>
      </c>
    </row>
    <row r="26" spans="1:29" ht="28.5">
      <c r="A26" s="608" t="s">
        <v>2373</v>
      </c>
      <c r="B26" s="66" t="s">
        <v>2522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995" t="s">
        <v>2375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996" t="s">
        <v>2375</v>
      </c>
      <c r="Z26" s="1541" t="str">
        <f t="shared" ref="Z26:Z36" si="15">Q26</f>
        <v>配套类型</v>
      </c>
      <c r="AA26" s="1538">
        <f t="shared" si="3"/>
        <v>1</v>
      </c>
      <c r="AB26" s="1538">
        <f t="shared" si="4"/>
        <v>1</v>
      </c>
      <c r="AC26" s="1538">
        <f t="shared" si="5"/>
        <v>1</v>
      </c>
    </row>
    <row r="27" spans="1:29" s="430" customFormat="1" ht="15">
      <c r="A27" s="609"/>
      <c r="B27" s="610" t="s">
        <v>2523</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996"/>
      <c r="Q27" s="716" t="str">
        <f t="shared" si="11"/>
        <v>项目停车位配比</v>
      </c>
      <c r="R27" s="717" t="s">
        <v>17</v>
      </c>
      <c r="S27" s="718">
        <f t="shared" si="12"/>
        <v>100</v>
      </c>
      <c r="T27" s="717" t="s">
        <v>17</v>
      </c>
      <c r="U27" s="718">
        <f t="shared" si="13"/>
        <v>100</v>
      </c>
      <c r="V27" s="717" t="s">
        <v>17</v>
      </c>
      <c r="W27" s="718">
        <f t="shared" si="14"/>
        <v>100</v>
      </c>
      <c r="X27" s="719"/>
      <c r="Y27" s="3996"/>
      <c r="Z27" s="720" t="str">
        <f t="shared" si="15"/>
        <v>项目停车位配比</v>
      </c>
      <c r="AA27" s="1538">
        <f t="shared" si="3"/>
        <v>1</v>
      </c>
      <c r="AB27" s="1538">
        <f t="shared" si="4"/>
        <v>1</v>
      </c>
      <c r="AC27" s="1538">
        <f t="shared" si="5"/>
        <v>1</v>
      </c>
    </row>
    <row r="28" spans="1:29" ht="15">
      <c r="A28" s="612"/>
      <c r="B28" s="610" t="s">
        <v>2524</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996"/>
      <c r="Q28" s="1537" t="str">
        <f t="shared" si="11"/>
        <v>公共部分装修</v>
      </c>
      <c r="R28" s="714" t="s">
        <v>17</v>
      </c>
      <c r="S28" s="715">
        <f t="shared" si="12"/>
        <v>100</v>
      </c>
      <c r="T28" s="714" t="s">
        <v>17</v>
      </c>
      <c r="U28" s="715">
        <f t="shared" si="13"/>
        <v>100</v>
      </c>
      <c r="V28" s="714" t="s">
        <v>17</v>
      </c>
      <c r="W28" s="715">
        <f t="shared" si="14"/>
        <v>100</v>
      </c>
      <c r="X28" s="1540"/>
      <c r="Y28" s="3996"/>
      <c r="Z28" s="1541" t="str">
        <f t="shared" si="15"/>
        <v>公共部分装修</v>
      </c>
      <c r="AA28" s="1538">
        <f t="shared" si="3"/>
        <v>1</v>
      </c>
      <c r="AB28" s="1538">
        <f t="shared" si="4"/>
        <v>1</v>
      </c>
      <c r="AC28" s="1538">
        <f t="shared" si="5"/>
        <v>1</v>
      </c>
    </row>
    <row r="29" spans="1:29" ht="15">
      <c r="A29" s="612"/>
      <c r="B29" s="610" t="s">
        <v>2525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996"/>
      <c r="Q29" s="1537" t="str">
        <f t="shared" si="11"/>
        <v>成新率</v>
      </c>
      <c r="R29" s="714" t="s">
        <v>17</v>
      </c>
      <c r="S29" s="715" t="e">
        <f t="shared" si="12"/>
        <v>#N/A</v>
      </c>
      <c r="T29" s="714" t="s">
        <v>17</v>
      </c>
      <c r="U29" s="715" t="e">
        <f t="shared" si="13"/>
        <v>#N/A</v>
      </c>
      <c r="V29" s="714" t="s">
        <v>17</v>
      </c>
      <c r="W29" s="715" t="e">
        <f t="shared" si="14"/>
        <v>#N/A</v>
      </c>
      <c r="X29" s="1540"/>
      <c r="Y29" s="3996"/>
      <c r="Z29" s="1541" t="str">
        <f t="shared" si="15"/>
        <v>成新率</v>
      </c>
      <c r="AA29" s="1538" t="e">
        <f t="shared" si="3"/>
        <v>#N/A</v>
      </c>
      <c r="AB29" s="1538" t="e">
        <f t="shared" si="4"/>
        <v>#N/A</v>
      </c>
      <c r="AC29" s="1538" t="e">
        <f t="shared" si="5"/>
        <v>#N/A</v>
      </c>
    </row>
    <row r="30" spans="1:29" ht="15">
      <c r="A30" s="612"/>
      <c r="B30" s="610" t="s">
        <v>2526</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996"/>
      <c r="Q30" s="1537" t="str">
        <f t="shared" si="11"/>
        <v>物业等级</v>
      </c>
      <c r="R30" s="714" t="s">
        <v>17</v>
      </c>
      <c r="S30" s="715">
        <f t="shared" si="12"/>
        <v>100</v>
      </c>
      <c r="T30" s="714" t="s">
        <v>17</v>
      </c>
      <c r="U30" s="715">
        <f t="shared" si="13"/>
        <v>100</v>
      </c>
      <c r="V30" s="714" t="s">
        <v>17</v>
      </c>
      <c r="W30" s="715">
        <f t="shared" si="14"/>
        <v>100</v>
      </c>
      <c r="X30" s="1540"/>
      <c r="Y30" s="3996"/>
      <c r="Z30" s="1541" t="str">
        <f t="shared" si="15"/>
        <v>物业等级</v>
      </c>
      <c r="AA30" s="1538">
        <f t="shared" si="3"/>
        <v>1</v>
      </c>
      <c r="AB30" s="1538">
        <f t="shared" si="4"/>
        <v>1</v>
      </c>
      <c r="AC30" s="1538">
        <f t="shared" si="5"/>
        <v>1</v>
      </c>
    </row>
    <row r="31" spans="1:29" s="113" customFormat="1" ht="15">
      <c r="A31" s="614"/>
      <c r="B31" s="610" t="s">
        <v>2527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996"/>
      <c r="Q31" s="1528" t="str">
        <f t="shared" si="11"/>
        <v>停车位面积</v>
      </c>
      <c r="R31" s="710" t="s">
        <v>17</v>
      </c>
      <c r="S31" s="711" t="e">
        <f t="shared" si="12"/>
        <v>#N/A</v>
      </c>
      <c r="T31" s="710" t="s">
        <v>17</v>
      </c>
      <c r="U31" s="711" t="e">
        <f t="shared" si="13"/>
        <v>#N/A</v>
      </c>
      <c r="V31" s="710" t="s">
        <v>17</v>
      </c>
      <c r="W31" s="711" t="e">
        <f t="shared" si="14"/>
        <v>#N/A</v>
      </c>
      <c r="X31" s="712"/>
      <c r="Y31" s="3996"/>
      <c r="Z31" s="55" t="str">
        <f t="shared" si="15"/>
        <v>停车位面积</v>
      </c>
      <c r="AA31" s="713" t="e">
        <f t="shared" si="3"/>
        <v>#N/A</v>
      </c>
      <c r="AB31" s="713" t="e">
        <f t="shared" si="4"/>
        <v>#N/A</v>
      </c>
      <c r="AC31" s="713" t="e">
        <f t="shared" si="5"/>
        <v>#N/A</v>
      </c>
    </row>
    <row r="32" spans="1:29" ht="15">
      <c r="A32" s="612"/>
      <c r="B32" s="610" t="s">
        <v>2528</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996" t="s">
        <v>2375</v>
      </c>
      <c r="Q32" s="1537" t="str">
        <f t="shared" si="11"/>
        <v>车位类型</v>
      </c>
      <c r="R32" s="714" t="s">
        <v>17</v>
      </c>
      <c r="S32" s="715">
        <f t="shared" si="12"/>
        <v>100</v>
      </c>
      <c r="T32" s="714" t="s">
        <v>17</v>
      </c>
      <c r="U32" s="715">
        <f t="shared" si="13"/>
        <v>100</v>
      </c>
      <c r="V32" s="714" t="s">
        <v>17</v>
      </c>
      <c r="W32" s="715">
        <f t="shared" si="14"/>
        <v>100</v>
      </c>
      <c r="X32" s="1540"/>
      <c r="Y32" s="3996" t="s">
        <v>2375</v>
      </c>
      <c r="Z32" s="1541" t="str">
        <f t="shared" si="15"/>
        <v>车位类型</v>
      </c>
      <c r="AA32" s="1538">
        <f t="shared" si="3"/>
        <v>1</v>
      </c>
      <c r="AB32" s="1538">
        <f t="shared" si="4"/>
        <v>1</v>
      </c>
      <c r="AC32" s="1538">
        <f t="shared" si="5"/>
        <v>1</v>
      </c>
    </row>
    <row r="33" spans="1:29" ht="15">
      <c r="A33" s="612"/>
      <c r="B33" s="610" t="s">
        <v>2529</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996"/>
      <c r="Q33" s="1537" t="str">
        <f t="shared" si="11"/>
        <v>是否直接入户</v>
      </c>
      <c r="R33" s="714" t="s">
        <v>17</v>
      </c>
      <c r="S33" s="715">
        <f t="shared" si="12"/>
        <v>100</v>
      </c>
      <c r="T33" s="714" t="s">
        <v>17</v>
      </c>
      <c r="U33" s="715">
        <f t="shared" si="13"/>
        <v>100</v>
      </c>
      <c r="V33" s="714" t="s">
        <v>17</v>
      </c>
      <c r="W33" s="715">
        <f t="shared" si="14"/>
        <v>100</v>
      </c>
      <c r="X33" s="1540"/>
      <c r="Y33" s="3996"/>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996"/>
      <c r="Q34" s="1537">
        <f t="shared" si="11"/>
        <v>111</v>
      </c>
      <c r="R34" s="714" t="s">
        <v>17</v>
      </c>
      <c r="S34" s="715">
        <f t="shared" si="12"/>
        <v>100</v>
      </c>
      <c r="T34" s="714" t="s">
        <v>17</v>
      </c>
      <c r="U34" s="715">
        <f t="shared" si="13"/>
        <v>100</v>
      </c>
      <c r="V34" s="714" t="s">
        <v>17</v>
      </c>
      <c r="W34" s="715">
        <f t="shared" si="14"/>
        <v>100</v>
      </c>
      <c r="X34" s="1540"/>
      <c r="Y34" s="3996"/>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996"/>
      <c r="Q35" s="716">
        <f t="shared" si="11"/>
        <v>111</v>
      </c>
      <c r="R35" s="717" t="s">
        <v>17</v>
      </c>
      <c r="S35" s="718">
        <f t="shared" si="12"/>
        <v>100</v>
      </c>
      <c r="T35" s="717" t="s">
        <v>17</v>
      </c>
      <c r="U35" s="718">
        <f t="shared" si="13"/>
        <v>100</v>
      </c>
      <c r="V35" s="717" t="s">
        <v>17</v>
      </c>
      <c r="W35" s="718">
        <f t="shared" si="14"/>
        <v>100</v>
      </c>
      <c r="X35" s="719"/>
      <c r="Y35" s="3996"/>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996"/>
      <c r="Q36" s="1537">
        <f t="shared" si="11"/>
        <v>111</v>
      </c>
      <c r="R36" s="714" t="s">
        <v>17</v>
      </c>
      <c r="S36" s="715">
        <f t="shared" si="12"/>
        <v>100</v>
      </c>
      <c r="T36" s="714" t="s">
        <v>17</v>
      </c>
      <c r="U36" s="715">
        <f t="shared" si="13"/>
        <v>100</v>
      </c>
      <c r="V36" s="714" t="s">
        <v>17</v>
      </c>
      <c r="W36" s="715">
        <f t="shared" si="14"/>
        <v>100</v>
      </c>
      <c r="X36" s="1540"/>
      <c r="Y36" s="3996"/>
      <c r="Z36" s="1541">
        <f t="shared" si="15"/>
        <v>111</v>
      </c>
      <c r="AA36" s="1538">
        <f t="shared" si="3"/>
        <v>1</v>
      </c>
      <c r="AB36" s="1538">
        <f t="shared" si="4"/>
        <v>1</v>
      </c>
      <c r="AC36" s="1538">
        <f t="shared" si="5"/>
        <v>1</v>
      </c>
    </row>
    <row r="37" spans="1:29" ht="15">
      <c r="A37" s="438" t="s">
        <v>2530</v>
      </c>
      <c r="B37" s="2160" t="s">
        <v>2531</v>
      </c>
      <c r="C37" s="1315" t="s">
        <v>1</v>
      </c>
      <c r="D37" s="1316"/>
      <c r="E37" s="1317"/>
      <c r="F37" s="1318"/>
      <c r="G37" s="1319"/>
      <c r="H37" s="1320"/>
      <c r="I37" s="1317"/>
      <c r="J37" s="1320"/>
      <c r="K37" s="576"/>
      <c r="L37" s="2950"/>
      <c r="M37" s="2951"/>
      <c r="N37" s="2942"/>
      <c r="O37" s="2951"/>
      <c r="P37" s="3978" t="str">
        <f>A37</f>
        <v>成交单价</v>
      </c>
      <c r="Q37" s="3978"/>
      <c r="R37" s="4036">
        <f>E37</f>
        <v>0</v>
      </c>
      <c r="S37" s="4036"/>
      <c r="T37" s="4036">
        <f>G37</f>
        <v>0</v>
      </c>
      <c r="U37" s="4036"/>
      <c r="V37" s="4036">
        <f>I37</f>
        <v>0</v>
      </c>
      <c r="W37" s="4036"/>
      <c r="X37" s="699"/>
      <c r="Y37" s="721"/>
      <c r="Z37" s="699"/>
      <c r="AA37" s="699"/>
      <c r="AB37" s="699"/>
      <c r="AC37" s="699"/>
    </row>
    <row r="38" spans="1:29" ht="15.75" thickBot="1">
      <c r="A38" s="445" t="s">
        <v>2532</v>
      </c>
      <c r="B38" s="446" t="str">
        <f>B37</f>
        <v>元/车位</v>
      </c>
      <c r="C38" s="1321" t="e">
        <f>R39</f>
        <v>#DIV/0!</v>
      </c>
      <c r="D38" s="2539" t="s">
        <v>2870</v>
      </c>
      <c r="E38" s="1322" t="e">
        <f>R38</f>
        <v>#DIV/0!</v>
      </c>
      <c r="F38" s="2540"/>
      <c r="G38" s="1321" t="e">
        <f>T38</f>
        <v>#DIV/0!</v>
      </c>
      <c r="H38" s="2540"/>
      <c r="I38" s="1322" t="e">
        <f>V38</f>
        <v>#DIV/0!</v>
      </c>
      <c r="J38" s="2540"/>
      <c r="K38" s="2542">
        <f>F38+H38+J38</f>
        <v>0</v>
      </c>
      <c r="L38" s="2950"/>
      <c r="M38" s="2951"/>
      <c r="N38" s="2951"/>
      <c r="O38" s="2951"/>
      <c r="P38" s="3978" t="str">
        <f>A38</f>
        <v>比较价值（元/平方米）</v>
      </c>
      <c r="Q38" s="3978"/>
      <c r="R38" s="4036" t="e">
        <f>IF(F1="售价",ROUND(PRODUCT(R37,AA7:AA36),0),ROUND(PRODUCT(R37,AA7:AA36),1))</f>
        <v>#DIV/0!</v>
      </c>
      <c r="S38" s="4036"/>
      <c r="T38" s="4036" t="e">
        <f>IF(F1="售价",ROUND(PRODUCT(T37,AB7:AB36),0),ROUND(PRODUCT(T37,AB7:AB36),1))</f>
        <v>#DIV/0!</v>
      </c>
      <c r="U38" s="4036"/>
      <c r="V38" s="4036" t="e">
        <f>IF(F1="售价",ROUND(PRODUCT(V37,AC7:AC36),0),ROUND(PRODUCT(V37,AC7:AC36),1))</f>
        <v>#DIV/0!</v>
      </c>
      <c r="W38" s="4036"/>
      <c r="X38" s="699"/>
      <c r="Y38" s="699"/>
      <c r="Z38" s="699"/>
      <c r="AA38" s="699"/>
      <c r="AB38" s="699"/>
      <c r="AC38" s="699"/>
    </row>
    <row r="39" spans="1:29" ht="15.75" thickBot="1">
      <c r="A39" s="449" t="s">
        <v>2533</v>
      </c>
      <c r="B39" s="450"/>
      <c r="C39" s="1324" t="e">
        <f>R39</f>
        <v>#DIV/0!</v>
      </c>
      <c r="D39" s="1324"/>
      <c r="E39" s="1324"/>
      <c r="F39" s="1324"/>
      <c r="G39" s="1324"/>
      <c r="H39" s="1324"/>
      <c r="I39" s="1324"/>
      <c r="J39" s="1324"/>
      <c r="K39" s="577"/>
      <c r="L39" s="2950"/>
      <c r="M39" s="2951"/>
      <c r="N39" s="2951"/>
      <c r="O39" s="2951"/>
      <c r="P39" s="3998" t="str">
        <f>A39</f>
        <v>估价对象XX用房的比较价值（楼面单价，元/平方米）</v>
      </c>
      <c r="Q39" s="3999"/>
      <c r="R39" s="4058" t="e">
        <f>IF(F1="售价",ROUND(IF(D38="简单平均",AVERAGE(R38:W38),R38*F38+T38*H38+V38*J38),0),ROUND(IF(D38="简单平均",AVERAGE(R38:V38),R38*F38+T38*H38+V38*J38),1))</f>
        <v>#DIV/0!</v>
      </c>
      <c r="S39" s="4058"/>
      <c r="T39" s="4058"/>
      <c r="U39" s="4058"/>
      <c r="V39" s="4058"/>
      <c r="W39" s="4058"/>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2534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2535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2536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2537</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5" customFormat="1" ht="15">
      <c r="A48" s="462" t="s">
        <v>2538</v>
      </c>
      <c r="B48" s="463"/>
      <c r="C48" s="1345" t="str">
        <f>YEAR(C7)&amp;"-"&amp;MONTH(C7)</f>
        <v>2020-12</v>
      </c>
      <c r="D48" s="1346">
        <f>EDATE(C48,-1)</f>
        <v>44136</v>
      </c>
      <c r="E48" s="1346">
        <f t="shared" ref="E48:O48" si="16">EDATE(D48,-1)</f>
        <v>44105</v>
      </c>
      <c r="F48" s="1346">
        <f t="shared" si="16"/>
        <v>44075</v>
      </c>
      <c r="G48" s="1346">
        <f t="shared" si="16"/>
        <v>44044</v>
      </c>
      <c r="H48" s="1346">
        <f t="shared" si="16"/>
        <v>44013</v>
      </c>
      <c r="I48" s="1346">
        <f t="shared" si="16"/>
        <v>43983</v>
      </c>
      <c r="J48" s="1346">
        <f t="shared" si="16"/>
        <v>43952</v>
      </c>
      <c r="K48" s="1346">
        <f t="shared" si="16"/>
        <v>43922</v>
      </c>
      <c r="L48" s="1346">
        <f t="shared" si="16"/>
        <v>43891</v>
      </c>
      <c r="M48" s="1346">
        <f t="shared" si="16"/>
        <v>43862</v>
      </c>
      <c r="N48" s="1346">
        <f t="shared" si="16"/>
        <v>43831</v>
      </c>
      <c r="O48" s="1346">
        <f t="shared" si="16"/>
        <v>43800</v>
      </c>
      <c r="P48" s="2985"/>
      <c r="Q48" s="2967"/>
      <c r="R48" s="2967"/>
      <c r="S48" s="2967"/>
      <c r="T48" s="2967"/>
      <c r="U48" s="2967"/>
      <c r="V48" s="2967"/>
      <c r="W48" s="2967"/>
      <c r="X48" s="2967"/>
      <c r="Y48" s="2967"/>
      <c r="Z48" s="2967"/>
      <c r="AA48" s="2967"/>
      <c r="AB48" s="2967"/>
      <c r="AC48" s="2967"/>
    </row>
    <row r="49" spans="1:29" s="113" customFormat="1" ht="15">
      <c r="A49" s="466"/>
      <c r="B49" s="467"/>
      <c r="C49" s="1338">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2395</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2360</v>
      </c>
      <c r="B51" s="467"/>
      <c r="C51" s="479" t="s">
        <v>2462</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2398</v>
      </c>
      <c r="B53" s="485" t="s">
        <v>2364</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2367</v>
      </c>
      <c r="C55" s="496" t="s">
        <v>2399</v>
      </c>
      <c r="D55" s="496" t="s">
        <v>2400</v>
      </c>
      <c r="E55" s="496" t="s">
        <v>2401</v>
      </c>
      <c r="F55" s="496" t="s">
        <v>2402</v>
      </c>
      <c r="G55" s="496" t="s">
        <v>2403</v>
      </c>
      <c r="H55" s="496" t="s">
        <v>2404</v>
      </c>
      <c r="I55" s="496" t="s">
        <v>2405</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2369</v>
      </c>
      <c r="B63" s="485" t="s">
        <v>2412</v>
      </c>
      <c r="C63" s="530" t="s">
        <v>2407</v>
      </c>
      <c r="D63" s="530" t="s">
        <v>2408</v>
      </c>
      <c r="E63" s="530" t="s">
        <v>2409</v>
      </c>
      <c r="F63" s="530" t="s">
        <v>2410</v>
      </c>
      <c r="G63" s="530" t="s">
        <v>2411</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2413</v>
      </c>
      <c r="C65" s="535" t="s">
        <v>2407</v>
      </c>
      <c r="D65" s="535" t="s">
        <v>2408</v>
      </c>
      <c r="E65" s="535" t="s">
        <v>2409</v>
      </c>
      <c r="F65" s="535" t="s">
        <v>2410</v>
      </c>
      <c r="G65" s="535" t="s">
        <v>2411</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2499</v>
      </c>
      <c r="C67" s="616" t="s">
        <v>2485</v>
      </c>
      <c r="D67" s="616" t="s">
        <v>2486</v>
      </c>
      <c r="E67" s="616" t="s">
        <v>2487</v>
      </c>
      <c r="F67" s="616" t="s">
        <v>2488</v>
      </c>
      <c r="G67" s="616" t="s">
        <v>2489</v>
      </c>
      <c r="H67" s="496"/>
      <c r="I67" s="496"/>
      <c r="J67" s="496"/>
      <c r="K67" s="496"/>
      <c r="L67" s="496"/>
      <c r="M67" s="1290"/>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2419</v>
      </c>
      <c r="C69" s="535" t="s">
        <v>2407</v>
      </c>
      <c r="D69" s="535" t="s">
        <v>2408</v>
      </c>
      <c r="E69" s="535" t="s">
        <v>2409</v>
      </c>
      <c r="F69" s="535" t="s">
        <v>2410</v>
      </c>
      <c r="G69" s="535" t="s">
        <v>2411</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2539</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2373</v>
      </c>
      <c r="B79" s="485" t="s">
        <v>2540</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2541</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2426</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2543</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2544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2545</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2546</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2517</v>
      </c>
      <c r="B1" s="1390"/>
      <c r="C1" s="1391" t="s">
        <v>2340</v>
      </c>
      <c r="D1" s="1392"/>
      <c r="E1" s="1401"/>
      <c r="F1" s="2066"/>
      <c r="G1" s="1402" t="s">
        <v>2453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5" t="e">
        <f ca="1">IF(C2="——",ROUND(C37*D3/10000,0),ROUND(C37*D3/10000,0)-D2)</f>
        <v>#DIV/0!</v>
      </c>
      <c r="C2" s="2068"/>
      <c r="D2" s="1037" t="e">
        <f ca="1">SUMIF(INDIRECT("'"&amp;F2&amp;"'"&amp;"!A:A"),"承租人权益价值",INDIRECT("'"&amp;F2&amp;"'"&amp;"!c:c"))</f>
        <v>#REF!</v>
      </c>
      <c r="E2" s="2069" t="s">
        <v>2141</v>
      </c>
      <c r="F2" s="2070"/>
      <c r="G2" s="1038"/>
      <c r="H2" s="1038"/>
      <c r="I2" s="1038"/>
      <c r="J2" s="1038"/>
      <c r="K2" s="1040"/>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2142</v>
      </c>
      <c r="B3" s="566" t="e">
        <f ca="1">IF(C2="——",C37,ROUND(B2*10000/D3,0))</f>
        <v>#DIV/0!</v>
      </c>
      <c r="C3" s="360" t="s">
        <v>2454</v>
      </c>
      <c r="D3" s="359">
        <f>SUMIF('数据-汇总表'!$C19:$C33,D1,'数据-汇总表'!$E19:$E33)</f>
        <v>0</v>
      </c>
      <c r="E3" s="1038"/>
      <c r="F3" s="1039"/>
      <c r="G3" s="1038"/>
      <c r="H3" s="1038"/>
      <c r="I3" s="1038"/>
      <c r="J3" s="1038"/>
      <c r="K3" s="1040"/>
      <c r="L3" s="2960"/>
      <c r="M3" s="2961"/>
      <c r="N3" s="2961"/>
      <c r="O3" s="2961"/>
      <c r="P3" s="708"/>
      <c r="Q3" s="708"/>
      <c r="R3" s="708"/>
      <c r="S3" s="708"/>
      <c r="T3" s="708"/>
      <c r="U3" s="708"/>
      <c r="V3" s="708"/>
      <c r="W3" s="708"/>
      <c r="X3" s="708"/>
      <c r="Y3" s="708"/>
      <c r="Z3" s="708"/>
      <c r="AA3" s="708"/>
      <c r="AB3" s="725"/>
      <c r="AC3" s="722"/>
    </row>
    <row r="4" spans="1:29" ht="15">
      <c r="A4" s="361" t="s">
        <v>2455</v>
      </c>
      <c r="B4" s="362"/>
      <c r="C4" s="3979" t="s">
        <v>2456</v>
      </c>
      <c r="D4" s="3980"/>
      <c r="E4" s="3981" t="s">
        <v>2457</v>
      </c>
      <c r="F4" s="3982"/>
      <c r="G4" s="3979" t="s">
        <v>2458</v>
      </c>
      <c r="H4" s="3980"/>
      <c r="I4" s="3979" t="s">
        <v>2459</v>
      </c>
      <c r="J4" s="3980"/>
      <c r="K4" s="567" t="s">
        <v>2460</v>
      </c>
      <c r="L4" s="2941"/>
      <c r="M4" s="2942"/>
      <c r="N4" s="2942"/>
      <c r="O4" s="2942"/>
      <c r="P4" s="3983" t="s">
        <v>2461</v>
      </c>
      <c r="Q4" s="3984"/>
      <c r="R4" s="3966" t="s">
        <v>2457</v>
      </c>
      <c r="S4" s="3967"/>
      <c r="T4" s="3966" t="s">
        <v>2458</v>
      </c>
      <c r="U4" s="3967"/>
      <c r="V4" s="3991" t="s">
        <v>2459</v>
      </c>
      <c r="W4" s="3991"/>
      <c r="X4" s="1540"/>
      <c r="Y4" s="3966" t="s">
        <v>2461</v>
      </c>
      <c r="Z4" s="3967"/>
      <c r="AA4" s="3961" t="s">
        <v>2457</v>
      </c>
      <c r="AB4" s="3962" t="s">
        <v>2458</v>
      </c>
      <c r="AC4" s="3961" t="s">
        <v>2459</v>
      </c>
    </row>
    <row r="5" spans="1:29" ht="15">
      <c r="A5" s="364"/>
      <c r="B5" s="365"/>
      <c r="C5" s="3972" t="s">
        <v>2352</v>
      </c>
      <c r="D5" s="3973"/>
      <c r="E5" s="3970" t="s">
        <v>2353</v>
      </c>
      <c r="F5" s="3971"/>
      <c r="G5" s="3972" t="s">
        <v>2354</v>
      </c>
      <c r="H5" s="3973"/>
      <c r="I5" s="3972" t="s">
        <v>2355</v>
      </c>
      <c r="J5" s="3973"/>
      <c r="K5" s="567"/>
      <c r="L5" s="2941"/>
      <c r="M5" s="2942"/>
      <c r="N5" s="2942"/>
      <c r="O5" s="2942"/>
      <c r="P5" s="3985"/>
      <c r="Q5" s="3986"/>
      <c r="R5" s="3968"/>
      <c r="S5" s="3969"/>
      <c r="T5" s="3968"/>
      <c r="U5" s="3969"/>
      <c r="V5" s="3991"/>
      <c r="W5" s="3991"/>
      <c r="X5" s="1540"/>
      <c r="Y5" s="3968"/>
      <c r="Z5" s="3969"/>
      <c r="AA5" s="3962"/>
      <c r="AB5" s="3962"/>
      <c r="AC5" s="3962"/>
    </row>
    <row r="6" spans="1:29" ht="15.75" thickBot="1">
      <c r="A6" s="366"/>
      <c r="B6" s="367"/>
      <c r="C6" s="3974" t="s">
        <v>2356</v>
      </c>
      <c r="D6" s="3975"/>
      <c r="E6" s="3976" t="s">
        <v>2356</v>
      </c>
      <c r="F6" s="3977"/>
      <c r="G6" s="3974" t="s">
        <v>2356</v>
      </c>
      <c r="H6" s="3975"/>
      <c r="I6" s="3974" t="s">
        <v>2356</v>
      </c>
      <c r="J6" s="3975"/>
      <c r="K6" s="567" t="s">
        <v>2357</v>
      </c>
      <c r="L6" s="2941"/>
      <c r="M6" s="2942"/>
      <c r="N6" s="2942"/>
      <c r="O6" s="2942"/>
      <c r="P6" s="3987"/>
      <c r="Q6" s="3988"/>
      <c r="R6" s="3968"/>
      <c r="S6" s="3969"/>
      <c r="T6" s="3989"/>
      <c r="U6" s="3990"/>
      <c r="V6" s="3991"/>
      <c r="W6" s="3991"/>
      <c r="X6" s="1540"/>
      <c r="Y6" s="3989"/>
      <c r="Z6" s="3990"/>
      <c r="AA6" s="3963"/>
      <c r="AB6" s="3963"/>
      <c r="AC6" s="3963"/>
    </row>
    <row r="7" spans="1:29" s="113" customFormat="1" ht="15.75" thickBot="1">
      <c r="A7" s="368" t="s">
        <v>2358</v>
      </c>
      <c r="B7" s="369"/>
      <c r="C7" s="370">
        <f>'数据-取费表'!B2</f>
        <v>44186</v>
      </c>
      <c r="D7" s="371">
        <v>100</v>
      </c>
      <c r="E7" s="372"/>
      <c r="F7" s="373">
        <f>SUMIF(46:46,YEAR(E7)&amp;"-"&amp;MONTH(E7),47:47)</f>
        <v>0</v>
      </c>
      <c r="G7" s="2161"/>
      <c r="H7" s="371">
        <f>SUMIF(46:46,YEAR(G7)&amp;"-"&amp;MONTH(G7),47:47)</f>
        <v>0</v>
      </c>
      <c r="I7" s="372"/>
      <c r="J7" s="371">
        <f>SUMIF(46:46,YEAR(I7)&amp;"-"&amp;MONTH(I7),47:47)</f>
        <v>0</v>
      </c>
      <c r="K7" s="568"/>
      <c r="L7" s="2943"/>
      <c r="M7" s="2944"/>
      <c r="N7" s="2944"/>
      <c r="O7" s="2944"/>
      <c r="P7" s="3964" t="s">
        <v>2359</v>
      </c>
      <c r="Q7" s="3992"/>
      <c r="R7" s="710" t="s">
        <v>17</v>
      </c>
      <c r="S7" s="711">
        <f t="shared" ref="S7:S14" si="0">F7</f>
        <v>0</v>
      </c>
      <c r="T7" s="710" t="s">
        <v>17</v>
      </c>
      <c r="U7" s="711">
        <f t="shared" ref="U7:U14" si="1">H7</f>
        <v>0</v>
      </c>
      <c r="V7" s="710" t="s">
        <v>17</v>
      </c>
      <c r="W7" s="711">
        <f t="shared" ref="W7:W14" si="2">J7</f>
        <v>0</v>
      </c>
      <c r="X7" s="712"/>
      <c r="Y7" s="3964" t="s">
        <v>2359</v>
      </c>
      <c r="Z7" s="3965"/>
      <c r="AA7" s="713" t="e">
        <f>D7/F7</f>
        <v>#DIV/0!</v>
      </c>
      <c r="AB7" s="713" t="e">
        <f>D7/H7</f>
        <v>#DIV/0!</v>
      </c>
      <c r="AC7" s="713" t="e">
        <f>D7/J7</f>
        <v>#DIV/0!</v>
      </c>
    </row>
    <row r="8" spans="1:29" s="113" customFormat="1" ht="15.75" thickBot="1">
      <c r="A8" s="368" t="s">
        <v>2360</v>
      </c>
      <c r="B8" s="369"/>
      <c r="C8" s="374" t="s">
        <v>2462</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964" t="s">
        <v>2362</v>
      </c>
      <c r="Q8" s="3965"/>
      <c r="R8" s="710" t="s">
        <v>17</v>
      </c>
      <c r="S8" s="711">
        <f t="shared" si="0"/>
        <v>0</v>
      </c>
      <c r="T8" s="710" t="s">
        <v>17</v>
      </c>
      <c r="U8" s="711">
        <f t="shared" si="1"/>
        <v>0</v>
      </c>
      <c r="V8" s="710" t="s">
        <v>17</v>
      </c>
      <c r="W8" s="711">
        <f t="shared" si="2"/>
        <v>0</v>
      </c>
      <c r="X8" s="712"/>
      <c r="Y8" s="3964" t="s">
        <v>2362</v>
      </c>
      <c r="Z8" s="3965"/>
      <c r="AA8" s="713" t="e">
        <f t="shared" ref="AA8:AA34" si="3">D8/F8</f>
        <v>#DIV/0!</v>
      </c>
      <c r="AB8" s="713" t="e">
        <f t="shared" ref="AB8:AB34" si="4">D8/H8</f>
        <v>#DIV/0!</v>
      </c>
      <c r="AC8" s="713" t="e">
        <f t="shared" ref="AC8:AC34" si="5">D8/J8</f>
        <v>#DIV/0!</v>
      </c>
    </row>
    <row r="9" spans="1:29" s="113" customFormat="1">
      <c r="A9" s="375" t="s">
        <v>2363</v>
      </c>
      <c r="B9" s="67" t="s">
        <v>2364</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978" t="s">
        <v>2365</v>
      </c>
      <c r="Q9" s="1528" t="str">
        <f t="shared" ref="Q9:Q14" si="6">B9</f>
        <v>用途</v>
      </c>
      <c r="R9" s="710" t="s">
        <v>17</v>
      </c>
      <c r="S9" s="711">
        <f t="shared" si="0"/>
        <v>100</v>
      </c>
      <c r="T9" s="710" t="s">
        <v>17</v>
      </c>
      <c r="U9" s="711">
        <f t="shared" si="1"/>
        <v>100</v>
      </c>
      <c r="V9" s="710" t="s">
        <v>17</v>
      </c>
      <c r="W9" s="711">
        <f t="shared" si="2"/>
        <v>100</v>
      </c>
      <c r="X9" s="712"/>
      <c r="Y9" s="3937" t="s">
        <v>2366</v>
      </c>
      <c r="Z9" s="55" t="str">
        <f t="shared" ref="Z9:Z14" si="7">Q9</f>
        <v>用途</v>
      </c>
      <c r="AA9" s="713">
        <f t="shared" si="3"/>
        <v>1</v>
      </c>
      <c r="AB9" s="713">
        <f t="shared" si="4"/>
        <v>1</v>
      </c>
      <c r="AC9" s="713">
        <f t="shared" si="5"/>
        <v>1</v>
      </c>
    </row>
    <row r="10" spans="1:29" s="386" customFormat="1" ht="27">
      <c r="A10" s="380"/>
      <c r="B10" s="381" t="s">
        <v>2367</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978"/>
      <c r="Q10" s="1528" t="str">
        <f t="shared" si="6"/>
        <v>土地使用年限（年）</v>
      </c>
      <c r="R10" s="710" t="s">
        <v>17</v>
      </c>
      <c r="S10" s="711">
        <f t="shared" si="0"/>
        <v>100</v>
      </c>
      <c r="T10" s="710" t="s">
        <v>17</v>
      </c>
      <c r="U10" s="711">
        <f t="shared" si="1"/>
        <v>100</v>
      </c>
      <c r="V10" s="710" t="s">
        <v>17</v>
      </c>
      <c r="W10" s="711">
        <f t="shared" si="2"/>
        <v>100</v>
      </c>
      <c r="X10" s="712"/>
      <c r="Y10" s="3937"/>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978"/>
      <c r="Q11" s="1528">
        <f t="shared" si="6"/>
        <v>111</v>
      </c>
      <c r="R11" s="710" t="s">
        <v>17</v>
      </c>
      <c r="S11" s="711">
        <f t="shared" si="0"/>
        <v>100</v>
      </c>
      <c r="T11" s="710" t="s">
        <v>17</v>
      </c>
      <c r="U11" s="711">
        <f t="shared" si="1"/>
        <v>100</v>
      </c>
      <c r="V11" s="710" t="s">
        <v>17</v>
      </c>
      <c r="W11" s="711">
        <f t="shared" si="2"/>
        <v>100</v>
      </c>
      <c r="X11" s="712"/>
      <c r="Y11" s="3937"/>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978"/>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8"/>
      <c r="M13" s="2942"/>
      <c r="N13" s="2942"/>
      <c r="O13" s="3000"/>
      <c r="P13" s="3978"/>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713">
        <f t="shared" si="5"/>
        <v>1</v>
      </c>
    </row>
    <row r="14" spans="1:29" ht="15">
      <c r="A14" s="399" t="s">
        <v>2369</v>
      </c>
      <c r="B14" s="65" t="s">
        <v>2519</v>
      </c>
      <c r="C14" s="2158" t="str">
        <f>IF(B1="工业",估价对象房地状况!G4,估价对象房地状况!C6)</f>
        <v>较差</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993" t="s">
        <v>2370</v>
      </c>
      <c r="Q14" s="1537" t="str">
        <f t="shared" si="6"/>
        <v>交通便捷度</v>
      </c>
      <c r="R14" s="714" t="s">
        <v>17</v>
      </c>
      <c r="S14" s="715">
        <f t="shared" si="0"/>
        <v>100</v>
      </c>
      <c r="T14" s="714" t="s">
        <v>17</v>
      </c>
      <c r="U14" s="715">
        <f t="shared" si="1"/>
        <v>100</v>
      </c>
      <c r="V14" s="714" t="s">
        <v>17</v>
      </c>
      <c r="W14" s="715">
        <f t="shared" si="2"/>
        <v>100</v>
      </c>
      <c r="X14" s="1540"/>
      <c r="Y14" s="3993" t="s">
        <v>2370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994"/>
      <c r="Q15" s="1537"/>
      <c r="R15" s="714"/>
      <c r="S15" s="715"/>
      <c r="T15" s="714"/>
      <c r="U15" s="715"/>
      <c r="V15" s="714"/>
      <c r="W15" s="715"/>
      <c r="X15" s="1540"/>
      <c r="Y15" s="3994"/>
      <c r="Z15" s="1541"/>
      <c r="AA15" s="1538">
        <v>1</v>
      </c>
      <c r="AB15" s="1538">
        <v>1</v>
      </c>
      <c r="AC15" s="1538">
        <v>1</v>
      </c>
    </row>
    <row r="16" spans="1:29" ht="15">
      <c r="A16" s="387"/>
      <c r="B16" s="410" t="s">
        <v>2498</v>
      </c>
      <c r="C16" s="2087" t="str">
        <f>IF(B1="工业",估价对象房地状况!G5,估价对象房地状况!C7)</f>
        <v>较差</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994"/>
      <c r="Q16" s="1537" t="str">
        <f>B16</f>
        <v>公共配套设施</v>
      </c>
      <c r="R16" s="714" t="s">
        <v>17</v>
      </c>
      <c r="S16" s="715">
        <f>F16</f>
        <v>100</v>
      </c>
      <c r="T16" s="714" t="s">
        <v>17</v>
      </c>
      <c r="U16" s="715">
        <f>H16</f>
        <v>100</v>
      </c>
      <c r="V16" s="714" t="s">
        <v>17</v>
      </c>
      <c r="W16" s="715">
        <f>J16</f>
        <v>100</v>
      </c>
      <c r="X16" s="1540"/>
      <c r="Y16" s="3994"/>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8"/>
      <c r="M17" s="2942"/>
      <c r="N17" s="2942"/>
      <c r="O17" s="3000"/>
      <c r="P17" s="3994"/>
      <c r="Q17" s="1537"/>
      <c r="R17" s="714"/>
      <c r="S17" s="715"/>
      <c r="T17" s="714"/>
      <c r="U17" s="715"/>
      <c r="V17" s="714"/>
      <c r="W17" s="715"/>
      <c r="X17" s="1540"/>
      <c r="Y17" s="3994"/>
      <c r="Z17" s="1541"/>
      <c r="AA17" s="1538">
        <v>1</v>
      </c>
      <c r="AB17" s="1538">
        <v>1</v>
      </c>
      <c r="AC17" s="1538">
        <v>1</v>
      </c>
    </row>
    <row r="18" spans="1:29" ht="15">
      <c r="A18" s="387"/>
      <c r="B18" s="1292" t="s">
        <v>2499</v>
      </c>
      <c r="C18" s="208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994"/>
      <c r="Q18" s="1537" t="str">
        <f>B18</f>
        <v>基础设施水平</v>
      </c>
      <c r="R18" s="714" t="s">
        <v>17</v>
      </c>
      <c r="S18" s="715">
        <f>F18</f>
        <v>100</v>
      </c>
      <c r="T18" s="714" t="s">
        <v>17</v>
      </c>
      <c r="U18" s="715">
        <f>H18</f>
        <v>100</v>
      </c>
      <c r="V18" s="714" t="s">
        <v>17</v>
      </c>
      <c r="W18" s="715">
        <f>J18</f>
        <v>100</v>
      </c>
      <c r="X18" s="1540"/>
      <c r="Y18" s="3994"/>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48"/>
      <c r="M19" s="2942"/>
      <c r="N19" s="2942"/>
      <c r="O19" s="3000"/>
      <c r="P19" s="3994"/>
      <c r="Q19" s="1537"/>
      <c r="R19" s="714"/>
      <c r="S19" s="715"/>
      <c r="T19" s="714"/>
      <c r="U19" s="715"/>
      <c r="V19" s="714"/>
      <c r="W19" s="715"/>
      <c r="X19" s="1540"/>
      <c r="Y19" s="3994"/>
      <c r="Z19" s="1541"/>
      <c r="AA19" s="1538">
        <v>1</v>
      </c>
      <c r="AB19" s="1538">
        <v>1</v>
      </c>
      <c r="AC19" s="1538">
        <v>1</v>
      </c>
    </row>
    <row r="20" spans="1:29" ht="15">
      <c r="A20" s="387"/>
      <c r="B20" s="410" t="s">
        <v>2520</v>
      </c>
      <c r="C20" s="2087"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994"/>
      <c r="Q20" s="1537" t="str">
        <f>B20</f>
        <v>自然及人文环境</v>
      </c>
      <c r="R20" s="714" t="s">
        <v>17</v>
      </c>
      <c r="S20" s="715">
        <f>F20</f>
        <v>100</v>
      </c>
      <c r="T20" s="714" t="s">
        <v>17</v>
      </c>
      <c r="U20" s="715">
        <f>H20</f>
        <v>100</v>
      </c>
      <c r="V20" s="714" t="s">
        <v>17</v>
      </c>
      <c r="W20" s="715">
        <f>J20</f>
        <v>100</v>
      </c>
      <c r="X20" s="1540"/>
      <c r="Y20" s="3994"/>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994"/>
      <c r="Q21" s="1537"/>
      <c r="R21" s="714"/>
      <c r="S21" s="715"/>
      <c r="T21" s="714"/>
      <c r="U21" s="715"/>
      <c r="V21" s="714"/>
      <c r="W21" s="715"/>
      <c r="X21" s="1540"/>
      <c r="Y21" s="3994"/>
      <c r="Z21" s="1541"/>
      <c r="AA21" s="1538">
        <v>1</v>
      </c>
      <c r="AB21" s="1538">
        <v>1</v>
      </c>
      <c r="AC21" s="1538">
        <v>1</v>
      </c>
    </row>
    <row r="22" spans="1:29" ht="15">
      <c r="A22" s="387"/>
      <c r="B22" s="410" t="s">
        <v>2521</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994"/>
      <c r="Q22" s="1537" t="str">
        <f>B22</f>
        <v>楼层</v>
      </c>
      <c r="R22" s="714" t="s">
        <v>17</v>
      </c>
      <c r="S22" s="715">
        <f>F22</f>
        <v>100</v>
      </c>
      <c r="T22" s="714" t="s">
        <v>17</v>
      </c>
      <c r="U22" s="715">
        <f>H22</f>
        <v>100</v>
      </c>
      <c r="V22" s="714" t="s">
        <v>17</v>
      </c>
      <c r="W22" s="715">
        <f>J22</f>
        <v>100</v>
      </c>
      <c r="X22" s="1540"/>
      <c r="Y22" s="3994"/>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994"/>
      <c r="Q23" s="1537">
        <f>B23</f>
        <v>111</v>
      </c>
      <c r="R23" s="714" t="s">
        <v>17</v>
      </c>
      <c r="S23" s="715">
        <f>F23</f>
        <v>100</v>
      </c>
      <c r="T23" s="714" t="s">
        <v>17</v>
      </c>
      <c r="U23" s="715">
        <f>H23</f>
        <v>100</v>
      </c>
      <c r="V23" s="714" t="s">
        <v>17</v>
      </c>
      <c r="W23" s="715">
        <f>J23</f>
        <v>100</v>
      </c>
      <c r="X23" s="1540"/>
      <c r="Y23" s="3994"/>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994"/>
      <c r="Q24" s="1537">
        <f t="shared" ref="Q24:Q34" si="11">B24</f>
        <v>111</v>
      </c>
      <c r="R24" s="714" t="s">
        <v>17</v>
      </c>
      <c r="S24" s="715">
        <f>F24</f>
        <v>100</v>
      </c>
      <c r="T24" s="714" t="s">
        <v>17</v>
      </c>
      <c r="U24" s="715">
        <f>H24</f>
        <v>100</v>
      </c>
      <c r="V24" s="714" t="s">
        <v>17</v>
      </c>
      <c r="W24" s="715">
        <f>J24</f>
        <v>100</v>
      </c>
      <c r="X24" s="1540"/>
      <c r="Y24" s="3994"/>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3"/>
      <c r="M25" s="2944"/>
      <c r="N25" s="2944"/>
      <c r="O25" s="2998"/>
      <c r="P25" s="3994"/>
      <c r="Q25" s="1528">
        <f t="shared" si="11"/>
        <v>111</v>
      </c>
      <c r="R25" s="710" t="s">
        <v>17</v>
      </c>
      <c r="S25" s="711">
        <f>F25</f>
        <v>100</v>
      </c>
      <c r="T25" s="710" t="s">
        <v>17</v>
      </c>
      <c r="U25" s="711">
        <f>H25</f>
        <v>100</v>
      </c>
      <c r="V25" s="710" t="s">
        <v>17</v>
      </c>
      <c r="W25" s="711">
        <f>J25</f>
        <v>100</v>
      </c>
      <c r="X25" s="712"/>
      <c r="Y25" s="3994"/>
      <c r="Z25" s="55">
        <f>Q25</f>
        <v>111</v>
      </c>
      <c r="AA25" s="1538">
        <f>D25/F25</f>
        <v>1</v>
      </c>
      <c r="AB25" s="1538">
        <f>D25/H25</f>
        <v>1</v>
      </c>
      <c r="AC25" s="1538">
        <f>D25/J25</f>
        <v>1</v>
      </c>
    </row>
    <row r="26" spans="1:29" ht="28.5">
      <c r="A26" s="425" t="s">
        <v>2373</v>
      </c>
      <c r="B26" s="67" t="s">
        <v>2524</v>
      </c>
      <c r="C26" s="2154"/>
      <c r="D26" s="426">
        <v>100</v>
      </c>
      <c r="E26" s="2154"/>
      <c r="F26" s="623">
        <f>SUMIF(77:77,E26,78:78)-SUMIF(77:77,C26,78:78)+100</f>
        <v>100</v>
      </c>
      <c r="G26" s="2154"/>
      <c r="H26" s="426">
        <f>SUMIF(77:77,G26,78:78)-SUMIF(77:77,C26,78:78)+100</f>
        <v>100</v>
      </c>
      <c r="I26" s="2154"/>
      <c r="J26" s="426">
        <f>SUMIF(77:77,I26,78:78)-SUMIF(77:77,C26,78:78)+100</f>
        <v>100</v>
      </c>
      <c r="K26" s="569"/>
      <c r="L26" s="2948"/>
      <c r="M26" s="2942"/>
      <c r="N26" s="2942"/>
      <c r="O26" s="3000"/>
      <c r="P26" s="3995" t="s">
        <v>2375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996" t="s">
        <v>2375</v>
      </c>
      <c r="Z26" s="1541" t="str">
        <f t="shared" ref="Z26:Z34" si="15">Q26</f>
        <v>公共部分装修</v>
      </c>
      <c r="AA26" s="1538">
        <f t="shared" si="3"/>
        <v>1</v>
      </c>
      <c r="AB26" s="1538">
        <f t="shared" si="4"/>
        <v>1</v>
      </c>
      <c r="AC26" s="1538">
        <f t="shared" si="5"/>
        <v>1</v>
      </c>
    </row>
    <row r="27" spans="1:29" s="430" customFormat="1" ht="15">
      <c r="A27" s="427"/>
      <c r="B27" s="381" t="s">
        <v>2525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996"/>
      <c r="Q27" s="716" t="str">
        <f t="shared" si="11"/>
        <v>成新率</v>
      </c>
      <c r="R27" s="717" t="s">
        <v>17</v>
      </c>
      <c r="S27" s="718" t="e">
        <f t="shared" si="12"/>
        <v>#N/A</v>
      </c>
      <c r="T27" s="717" t="s">
        <v>17</v>
      </c>
      <c r="U27" s="718" t="e">
        <f t="shared" si="13"/>
        <v>#N/A</v>
      </c>
      <c r="V27" s="717" t="s">
        <v>17</v>
      </c>
      <c r="W27" s="718" t="e">
        <f t="shared" si="14"/>
        <v>#N/A</v>
      </c>
      <c r="X27" s="719"/>
      <c r="Y27" s="3996"/>
      <c r="Z27" s="720" t="str">
        <f t="shared" si="15"/>
        <v>成新率</v>
      </c>
      <c r="AA27" s="1538" t="e">
        <f t="shared" si="3"/>
        <v>#N/A</v>
      </c>
      <c r="AB27" s="1538" t="e">
        <f t="shared" si="4"/>
        <v>#N/A</v>
      </c>
      <c r="AC27" s="1538" t="e">
        <f t="shared" si="5"/>
        <v>#N/A</v>
      </c>
    </row>
    <row r="28" spans="1:29" ht="15">
      <c r="A28" s="431"/>
      <c r="B28" s="381" t="s">
        <v>2526</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996"/>
      <c r="Q28" s="1537" t="str">
        <f t="shared" si="11"/>
        <v>物业等级</v>
      </c>
      <c r="R28" s="714" t="s">
        <v>17</v>
      </c>
      <c r="S28" s="715">
        <f t="shared" si="12"/>
        <v>100</v>
      </c>
      <c r="T28" s="714" t="s">
        <v>17</v>
      </c>
      <c r="U28" s="715">
        <f t="shared" si="13"/>
        <v>100</v>
      </c>
      <c r="V28" s="714" t="s">
        <v>17</v>
      </c>
      <c r="W28" s="715">
        <f t="shared" si="14"/>
        <v>100</v>
      </c>
      <c r="X28" s="1540"/>
      <c r="Y28" s="3996"/>
      <c r="Z28" s="1541" t="str">
        <f t="shared" si="15"/>
        <v>物业等级</v>
      </c>
      <c r="AA28" s="1538">
        <f t="shared" si="3"/>
        <v>1</v>
      </c>
      <c r="AB28" s="1538">
        <f t="shared" si="4"/>
        <v>1</v>
      </c>
      <c r="AC28" s="1538">
        <f t="shared" si="5"/>
        <v>1</v>
      </c>
    </row>
    <row r="29" spans="1:29" ht="15">
      <c r="A29" s="431"/>
      <c r="B29" s="381" t="s">
        <v>2547</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996"/>
      <c r="Q29" s="1537" t="str">
        <f t="shared" si="11"/>
        <v>有无电梯</v>
      </c>
      <c r="R29" s="714" t="s">
        <v>17</v>
      </c>
      <c r="S29" s="715">
        <f t="shared" si="12"/>
        <v>100</v>
      </c>
      <c r="T29" s="714" t="s">
        <v>17</v>
      </c>
      <c r="U29" s="715">
        <f t="shared" si="13"/>
        <v>100</v>
      </c>
      <c r="V29" s="714" t="s">
        <v>17</v>
      </c>
      <c r="W29" s="715">
        <f t="shared" si="14"/>
        <v>100</v>
      </c>
      <c r="X29" s="1540"/>
      <c r="Y29" s="3996"/>
      <c r="Z29" s="1541" t="str">
        <f t="shared" si="15"/>
        <v>有无电梯</v>
      </c>
      <c r="AA29" s="1538">
        <f t="shared" si="3"/>
        <v>1</v>
      </c>
      <c r="AB29" s="1538">
        <f t="shared" si="4"/>
        <v>1</v>
      </c>
      <c r="AC29" s="1538">
        <f t="shared" si="5"/>
        <v>1</v>
      </c>
    </row>
    <row r="30" spans="1:29" ht="15">
      <c r="A30" s="431"/>
      <c r="B30" s="381" t="s">
        <v>2548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996"/>
      <c r="Q30" s="1537" t="str">
        <f t="shared" si="11"/>
        <v>建筑面积</v>
      </c>
      <c r="R30" s="714" t="s">
        <v>17</v>
      </c>
      <c r="S30" s="715" t="e">
        <f t="shared" si="12"/>
        <v>#N/A</v>
      </c>
      <c r="T30" s="714" t="s">
        <v>17</v>
      </c>
      <c r="U30" s="715" t="e">
        <f t="shared" si="13"/>
        <v>#N/A</v>
      </c>
      <c r="V30" s="714" t="s">
        <v>17</v>
      </c>
      <c r="W30" s="715" t="e">
        <f t="shared" si="14"/>
        <v>#N/A</v>
      </c>
      <c r="X30" s="1540"/>
      <c r="Y30" s="3996"/>
      <c r="Z30" s="1541" t="str">
        <f t="shared" si="15"/>
        <v>建筑面积</v>
      </c>
      <c r="AA30" s="1538" t="e">
        <f t="shared" si="3"/>
        <v>#N/A</v>
      </c>
      <c r="AB30" s="1538" t="e">
        <f t="shared" si="4"/>
        <v>#N/A</v>
      </c>
      <c r="AC30" s="1538" t="e">
        <f t="shared" si="5"/>
        <v>#N/A</v>
      </c>
    </row>
    <row r="31" spans="1:29" s="113" customFormat="1" ht="15">
      <c r="A31" s="432"/>
      <c r="B31" s="381" t="s">
        <v>2549</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996"/>
      <c r="Q31" s="1528" t="str">
        <f t="shared" si="11"/>
        <v>是否封闭</v>
      </c>
      <c r="R31" s="710" t="s">
        <v>17</v>
      </c>
      <c r="S31" s="711">
        <f t="shared" si="12"/>
        <v>100</v>
      </c>
      <c r="T31" s="710" t="s">
        <v>17</v>
      </c>
      <c r="U31" s="711">
        <f t="shared" si="13"/>
        <v>100</v>
      </c>
      <c r="V31" s="710" t="s">
        <v>17</v>
      </c>
      <c r="W31" s="711">
        <f t="shared" si="14"/>
        <v>100</v>
      </c>
      <c r="X31" s="712"/>
      <c r="Y31" s="3996"/>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996" t="s">
        <v>2375</v>
      </c>
      <c r="Q32" s="1537">
        <f t="shared" si="11"/>
        <v>111</v>
      </c>
      <c r="R32" s="714" t="s">
        <v>17</v>
      </c>
      <c r="S32" s="715">
        <f t="shared" si="12"/>
        <v>100</v>
      </c>
      <c r="T32" s="714" t="s">
        <v>17</v>
      </c>
      <c r="U32" s="715">
        <f t="shared" si="13"/>
        <v>100</v>
      </c>
      <c r="V32" s="714" t="s">
        <v>17</v>
      </c>
      <c r="W32" s="715">
        <f t="shared" si="14"/>
        <v>100</v>
      </c>
      <c r="X32" s="1540"/>
      <c r="Y32" s="3996" t="s">
        <v>2375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996"/>
      <c r="Q33" s="1537">
        <f t="shared" si="11"/>
        <v>111</v>
      </c>
      <c r="R33" s="714" t="s">
        <v>17</v>
      </c>
      <c r="S33" s="715">
        <f t="shared" si="12"/>
        <v>100</v>
      </c>
      <c r="T33" s="714" t="s">
        <v>17</v>
      </c>
      <c r="U33" s="715">
        <f t="shared" si="13"/>
        <v>100</v>
      </c>
      <c r="V33" s="714" t="s">
        <v>17</v>
      </c>
      <c r="W33" s="715">
        <f t="shared" si="14"/>
        <v>100</v>
      </c>
      <c r="X33" s="1540"/>
      <c r="Y33" s="3996"/>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8"/>
      <c r="M34" s="2942"/>
      <c r="N34" s="2942"/>
      <c r="O34" s="3000"/>
      <c r="P34" s="3996"/>
      <c r="Q34" s="1537">
        <f t="shared" si="11"/>
        <v>111</v>
      </c>
      <c r="R34" s="714" t="s">
        <v>17</v>
      </c>
      <c r="S34" s="715">
        <f t="shared" si="12"/>
        <v>100</v>
      </c>
      <c r="T34" s="714" t="s">
        <v>17</v>
      </c>
      <c r="U34" s="715">
        <f t="shared" si="13"/>
        <v>100</v>
      </c>
      <c r="V34" s="714" t="s">
        <v>17</v>
      </c>
      <c r="W34" s="715">
        <f t="shared" si="14"/>
        <v>100</v>
      </c>
      <c r="X34" s="1540"/>
      <c r="Y34" s="3996"/>
      <c r="Z34" s="1541">
        <f t="shared" si="15"/>
        <v>111</v>
      </c>
      <c r="AA34" s="1538">
        <f t="shared" si="3"/>
        <v>1</v>
      </c>
      <c r="AB34" s="1538">
        <f t="shared" si="4"/>
        <v>1</v>
      </c>
      <c r="AC34" s="1538">
        <f t="shared" si="5"/>
        <v>1</v>
      </c>
    </row>
    <row r="35" spans="1:30" ht="15">
      <c r="A35" s="438" t="s">
        <v>2387</v>
      </c>
      <c r="B35" s="439"/>
      <c r="C35" s="1315" t="s">
        <v>1</v>
      </c>
      <c r="D35" s="1316"/>
      <c r="E35" s="1317"/>
      <c r="F35" s="1318"/>
      <c r="G35" s="1319"/>
      <c r="H35" s="1320"/>
      <c r="I35" s="1317"/>
      <c r="J35" s="1320"/>
      <c r="K35" s="723"/>
      <c r="L35" s="2950"/>
      <c r="M35" s="2951"/>
      <c r="N35" s="2942"/>
      <c r="O35" s="2951"/>
      <c r="P35" s="3978" t="str">
        <f>A35</f>
        <v>成交单价（元/平方米）</v>
      </c>
      <c r="Q35" s="3978"/>
      <c r="R35" s="4036">
        <f>E35</f>
        <v>0</v>
      </c>
      <c r="S35" s="4036"/>
      <c r="T35" s="4036">
        <f>G35</f>
        <v>0</v>
      </c>
      <c r="U35" s="4036"/>
      <c r="V35" s="4036">
        <f>I35</f>
        <v>0</v>
      </c>
      <c r="W35" s="4036"/>
      <c r="X35" s="699"/>
      <c r="Y35" s="721"/>
      <c r="Z35" s="699"/>
      <c r="AA35" s="699"/>
      <c r="AB35" s="699"/>
      <c r="AC35" s="699"/>
    </row>
    <row r="36" spans="1:30" ht="15.75" thickBot="1">
      <c r="A36" s="445" t="s">
        <v>2479</v>
      </c>
      <c r="B36" s="446"/>
      <c r="C36" s="1321" t="e">
        <f>R37</f>
        <v>#DIV/0!</v>
      </c>
      <c r="D36" s="2539" t="s">
        <v>2870</v>
      </c>
      <c r="E36" s="1322" t="e">
        <f>R36</f>
        <v>#DIV/0!</v>
      </c>
      <c r="F36" s="2540"/>
      <c r="G36" s="1321" t="e">
        <f>T36</f>
        <v>#DIV/0!</v>
      </c>
      <c r="H36" s="2540"/>
      <c r="I36" s="1322" t="e">
        <f>V36</f>
        <v>#DIV/0!</v>
      </c>
      <c r="J36" s="2540"/>
      <c r="K36" s="2542">
        <f>F36+H36+J36</f>
        <v>0</v>
      </c>
      <c r="L36" s="2950"/>
      <c r="M36" s="2951"/>
      <c r="N36" s="2942"/>
      <c r="O36" s="2951"/>
      <c r="P36" s="3978" t="str">
        <f>A36</f>
        <v>比较价值（元/平方米）</v>
      </c>
      <c r="Q36" s="3978"/>
      <c r="R36" s="4036" t="e">
        <f>IF(F1="售价",ROUND(PRODUCT(R35,AA7:AA34),0),ROUND(PRODUCT(R35,AA7:AA34),1))</f>
        <v>#DIV/0!</v>
      </c>
      <c r="S36" s="4036"/>
      <c r="T36" s="4036" t="e">
        <f>IF(F1="售价",ROUND(PRODUCT(T35,AB7:AB34),0),ROUND(PRODUCT(T35,AB7:AB34),1))</f>
        <v>#DIV/0!</v>
      </c>
      <c r="U36" s="4036"/>
      <c r="V36" s="4036" t="e">
        <f>IF(F1="售价",ROUND(PRODUCT(V35,AC7:AC34),0),ROUND(PRODUCT(V35,AC7:AC34),1))</f>
        <v>#DIV/0!</v>
      </c>
      <c r="W36" s="4036"/>
      <c r="X36" s="699"/>
      <c r="Y36" s="699"/>
      <c r="Z36" s="699"/>
      <c r="AA36" s="699"/>
      <c r="AB36" s="699"/>
      <c r="AC36" s="699"/>
    </row>
    <row r="37" spans="1:30" ht="15.75" thickBot="1">
      <c r="A37" s="449" t="s">
        <v>2480</v>
      </c>
      <c r="B37" s="450"/>
      <c r="C37" s="1324" t="e">
        <f>R37</f>
        <v>#DIV/0!</v>
      </c>
      <c r="D37" s="1324"/>
      <c r="E37" s="1324"/>
      <c r="F37" s="1324"/>
      <c r="G37" s="1324"/>
      <c r="H37" s="1324"/>
      <c r="I37" s="1324"/>
      <c r="J37" s="1324"/>
      <c r="K37" s="724"/>
      <c r="L37" s="2950"/>
      <c r="M37" s="2951"/>
      <c r="N37" s="2951"/>
      <c r="O37" s="2951"/>
      <c r="P37" s="3998" t="str">
        <f>A37</f>
        <v>估价对象XX用房的比较价值（楼面单价，元/平方米）</v>
      </c>
      <c r="Q37" s="3999"/>
      <c r="R37" s="4058" t="e">
        <f>IF(F1="售价",ROUND(IF(D36="简单平均",AVERAGE(R36:W36),R36*F36+T36*H36+V36*J36),0),ROUND(IF(D36="简单平均",AVERAGE(R36:V36),R36*F36+T36*H36+V36*J36),1))</f>
        <v>#DIV/0!</v>
      </c>
      <c r="S37" s="4058"/>
      <c r="T37" s="4058"/>
      <c r="U37" s="4058"/>
      <c r="V37" s="4058"/>
      <c r="W37" s="4058"/>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2483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2484</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2358</v>
      </c>
      <c r="B46" s="463"/>
      <c r="C46" s="1345" t="str">
        <f>YEAR(C7)&amp;"-"&amp;MONTH(C7)</f>
        <v>2020-12</v>
      </c>
      <c r="D46" s="1346">
        <f>EDATE(C46,-1)</f>
        <v>44136</v>
      </c>
      <c r="E46" s="1346">
        <f t="shared" ref="E46:O46" si="16">EDATE(D46,-1)</f>
        <v>44105</v>
      </c>
      <c r="F46" s="1346">
        <f t="shared" si="16"/>
        <v>44075</v>
      </c>
      <c r="G46" s="1346">
        <f t="shared" si="16"/>
        <v>44044</v>
      </c>
      <c r="H46" s="1346">
        <f t="shared" si="16"/>
        <v>44013</v>
      </c>
      <c r="I46" s="1346">
        <f t="shared" si="16"/>
        <v>43983</v>
      </c>
      <c r="J46" s="1346">
        <f t="shared" si="16"/>
        <v>43952</v>
      </c>
      <c r="K46" s="1346">
        <f t="shared" si="16"/>
        <v>43922</v>
      </c>
      <c r="L46" s="1346">
        <f t="shared" si="16"/>
        <v>43891</v>
      </c>
      <c r="M46" s="1346">
        <f t="shared" si="16"/>
        <v>43862</v>
      </c>
      <c r="N46" s="1346">
        <f t="shared" si="16"/>
        <v>43831</v>
      </c>
      <c r="O46" s="1346">
        <f t="shared" si="16"/>
        <v>43800</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4">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2395</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2360</v>
      </c>
      <c r="B49" s="467"/>
      <c r="C49" s="479" t="s">
        <v>2462</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2398</v>
      </c>
      <c r="B51" s="485" t="s">
        <v>2364</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2367</v>
      </c>
      <c r="C53" s="496" t="s">
        <v>2399</v>
      </c>
      <c r="D53" s="496" t="s">
        <v>2400</v>
      </c>
      <c r="E53" s="496" t="s">
        <v>2401</v>
      </c>
      <c r="F53" s="496" t="s">
        <v>2402</v>
      </c>
      <c r="G53" s="496" t="s">
        <v>2403</v>
      </c>
      <c r="H53" s="496" t="s">
        <v>2404</v>
      </c>
      <c r="I53" s="496" t="s">
        <v>2405</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2369</v>
      </c>
      <c r="B61" s="485" t="s">
        <v>2412</v>
      </c>
      <c r="C61" s="530" t="s">
        <v>2407</v>
      </c>
      <c r="D61" s="530" t="s">
        <v>2408</v>
      </c>
      <c r="E61" s="530" t="s">
        <v>2409</v>
      </c>
      <c r="F61" s="530" t="s">
        <v>2410</v>
      </c>
      <c r="G61" s="530" t="s">
        <v>2411</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2550</v>
      </c>
      <c r="C63" s="535" t="s">
        <v>2407</v>
      </c>
      <c r="D63" s="535" t="s">
        <v>2408</v>
      </c>
      <c r="E63" s="535" t="s">
        <v>2409</v>
      </c>
      <c r="F63" s="535" t="s">
        <v>2410</v>
      </c>
      <c r="G63" s="535" t="s">
        <v>2411</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2499</v>
      </c>
      <c r="C65" s="616" t="s">
        <v>2485</v>
      </c>
      <c r="D65" s="616" t="s">
        <v>2486</v>
      </c>
      <c r="E65" s="616" t="s">
        <v>2487</v>
      </c>
      <c r="F65" s="616" t="s">
        <v>2488</v>
      </c>
      <c r="G65" s="616" t="s">
        <v>2489</v>
      </c>
      <c r="H65" s="496"/>
      <c r="I65" s="496"/>
      <c r="J65" s="496"/>
      <c r="K65" s="496"/>
      <c r="L65" s="496"/>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2419</v>
      </c>
      <c r="C67" s="535" t="s">
        <v>2407</v>
      </c>
      <c r="D67" s="535" t="s">
        <v>2408</v>
      </c>
      <c r="E67" s="535" t="s">
        <v>2409</v>
      </c>
      <c r="F67" s="535" t="s">
        <v>2410</v>
      </c>
      <c r="G67" s="535" t="s">
        <v>2411</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2539</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2373</v>
      </c>
      <c r="B77" s="485" t="s">
        <v>2426</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2543</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2551</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2553</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2554</v>
      </c>
      <c r="B1" s="355"/>
      <c r="C1" s="356" t="s">
        <v>2606</v>
      </c>
      <c r="D1" s="695"/>
      <c r="E1" s="695"/>
      <c r="F1" s="694" t="s">
        <v>2453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2140</v>
      </c>
      <c r="B2" s="627" t="e">
        <f>F61</f>
        <v>#DIV/0!</v>
      </c>
      <c r="C2" s="1038"/>
      <c r="D2" s="1038"/>
      <c r="E2" s="1038"/>
      <c r="F2" s="1039"/>
      <c r="G2" s="1038"/>
      <c r="H2" s="1038"/>
      <c r="I2" s="1038"/>
      <c r="J2" s="1038"/>
      <c r="K2" s="1040"/>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2142</v>
      </c>
      <c r="B3" s="566" t="e">
        <f>ROUND(IF(D3="",B2*10000/'数据-汇总表'!E3,B2*10000/D3),0)</f>
        <v>#DIV/0!</v>
      </c>
      <c r="C3" s="209" t="s">
        <v>2556</v>
      </c>
      <c r="D3" s="1354"/>
      <c r="E3" s="1038"/>
      <c r="F3" s="1039"/>
      <c r="G3" s="1038"/>
      <c r="H3" s="1038"/>
      <c r="I3" s="1038"/>
      <c r="J3" s="1038"/>
      <c r="K3" s="1040"/>
      <c r="L3" s="2960"/>
      <c r="M3" s="2961"/>
      <c r="N3" s="2961"/>
      <c r="O3" s="2961"/>
      <c r="P3" s="708"/>
      <c r="Q3" s="708"/>
      <c r="R3" s="708"/>
      <c r="S3" s="708"/>
      <c r="T3" s="708"/>
      <c r="U3" s="708"/>
      <c r="V3" s="708"/>
      <c r="W3" s="708"/>
      <c r="X3" s="708"/>
      <c r="Y3" s="708"/>
      <c r="Z3" s="708"/>
      <c r="AA3" s="708"/>
      <c r="AB3" s="725"/>
      <c r="AC3" s="722"/>
    </row>
    <row r="4" spans="1:29" ht="15">
      <c r="A4" s="361" t="s">
        <v>2455</v>
      </c>
      <c r="B4" s="362"/>
      <c r="C4" s="3979" t="s">
        <v>2456</v>
      </c>
      <c r="D4" s="3980"/>
      <c r="E4" s="3981" t="s">
        <v>2457</v>
      </c>
      <c r="F4" s="3982"/>
      <c r="G4" s="3979" t="s">
        <v>2458</v>
      </c>
      <c r="H4" s="3980"/>
      <c r="I4" s="3979" t="s">
        <v>2459</v>
      </c>
      <c r="J4" s="3980"/>
      <c r="K4" s="567" t="s">
        <v>2460</v>
      </c>
      <c r="L4" s="2941"/>
      <c r="M4" s="2942"/>
      <c r="N4" s="2942"/>
      <c r="O4" s="2942"/>
      <c r="P4" s="3983" t="s">
        <v>2461</v>
      </c>
      <c r="Q4" s="3984"/>
      <c r="R4" s="3966" t="s">
        <v>2457</v>
      </c>
      <c r="S4" s="3967"/>
      <c r="T4" s="3966" t="s">
        <v>2458</v>
      </c>
      <c r="U4" s="3967"/>
      <c r="V4" s="3991" t="s">
        <v>2459</v>
      </c>
      <c r="W4" s="3991"/>
      <c r="X4" s="1540"/>
      <c r="Y4" s="3966" t="s">
        <v>2461</v>
      </c>
      <c r="Z4" s="3967"/>
      <c r="AA4" s="3961" t="s">
        <v>2457</v>
      </c>
      <c r="AB4" s="3962" t="s">
        <v>2458</v>
      </c>
      <c r="AC4" s="3961" t="s">
        <v>2459</v>
      </c>
    </row>
    <row r="5" spans="1:29" ht="15">
      <c r="A5" s="364"/>
      <c r="B5" s="365"/>
      <c r="C5" s="3972" t="s">
        <v>2352</v>
      </c>
      <c r="D5" s="3973"/>
      <c r="E5" s="3970" t="s">
        <v>2353</v>
      </c>
      <c r="F5" s="3971"/>
      <c r="G5" s="3972" t="s">
        <v>2354</v>
      </c>
      <c r="H5" s="3973"/>
      <c r="I5" s="3972" t="s">
        <v>2355</v>
      </c>
      <c r="J5" s="3973"/>
      <c r="K5" s="567"/>
      <c r="L5" s="2941"/>
      <c r="M5" s="2942"/>
      <c r="N5" s="2942"/>
      <c r="O5" s="2942"/>
      <c r="P5" s="3985"/>
      <c r="Q5" s="3986"/>
      <c r="R5" s="3968"/>
      <c r="S5" s="3969"/>
      <c r="T5" s="3968"/>
      <c r="U5" s="3969"/>
      <c r="V5" s="3991"/>
      <c r="W5" s="3991"/>
      <c r="X5" s="1540"/>
      <c r="Y5" s="3968"/>
      <c r="Z5" s="3969"/>
      <c r="AA5" s="3962"/>
      <c r="AB5" s="3962"/>
      <c r="AC5" s="3962"/>
    </row>
    <row r="6" spans="1:29" ht="15.75" thickBot="1">
      <c r="A6" s="366"/>
      <c r="B6" s="367"/>
      <c r="C6" s="4059" t="s">
        <v>2607</v>
      </c>
      <c r="D6" s="4060"/>
      <c r="E6" s="4061" t="s">
        <v>2607</v>
      </c>
      <c r="F6" s="4062"/>
      <c r="G6" s="4059" t="s">
        <v>2607</v>
      </c>
      <c r="H6" s="4060"/>
      <c r="I6" s="4059" t="s">
        <v>2607</v>
      </c>
      <c r="J6" s="4060"/>
      <c r="K6" s="567" t="s">
        <v>2357</v>
      </c>
      <c r="L6" s="2941"/>
      <c r="M6" s="2942"/>
      <c r="N6" s="2942"/>
      <c r="O6" s="2942"/>
      <c r="P6" s="3987"/>
      <c r="Q6" s="3988"/>
      <c r="R6" s="3968"/>
      <c r="S6" s="3969"/>
      <c r="T6" s="3989"/>
      <c r="U6" s="3990"/>
      <c r="V6" s="3991"/>
      <c r="W6" s="3991"/>
      <c r="X6" s="1540"/>
      <c r="Y6" s="3989"/>
      <c r="Z6" s="3990"/>
      <c r="AA6" s="3963"/>
      <c r="AB6" s="3963"/>
      <c r="AC6" s="3963"/>
    </row>
    <row r="7" spans="1:29" s="113" customFormat="1" ht="15.75" thickBot="1">
      <c r="A7" s="368" t="s">
        <v>2358</v>
      </c>
      <c r="B7" s="369"/>
      <c r="C7" s="370">
        <f>'数据-取费表'!B2</f>
        <v>44186</v>
      </c>
      <c r="D7" s="371">
        <v>100</v>
      </c>
      <c r="E7" s="372"/>
      <c r="F7" s="373">
        <f>SUMIF(65:65,YEAR(E7)&amp;"-"&amp;INT((MONTH(E7)+2)/3),66:66)</f>
        <v>0</v>
      </c>
      <c r="G7" s="2161"/>
      <c r="H7" s="371">
        <f>SUMIF(65:65,YEAR(G7)&amp;"-"&amp;INT((MONTH(G7)+2)/3),66:66)</f>
        <v>0</v>
      </c>
      <c r="I7" s="2161"/>
      <c r="J7" s="371">
        <f>SUMIF(65:65,YEAR(I7)&amp;"-"&amp;INT((MONTH(I7)+2)/3),66:66)</f>
        <v>0</v>
      </c>
      <c r="K7" s="568"/>
      <c r="L7" s="2943"/>
      <c r="M7" s="2944"/>
      <c r="N7" s="2944"/>
      <c r="O7" s="2944"/>
      <c r="P7" s="3964" t="s">
        <v>2359</v>
      </c>
      <c r="Q7" s="3992"/>
      <c r="R7" s="710" t="s">
        <v>17</v>
      </c>
      <c r="S7" s="711">
        <f t="shared" ref="S7:S15" si="0">F7</f>
        <v>0</v>
      </c>
      <c r="T7" s="710" t="s">
        <v>17</v>
      </c>
      <c r="U7" s="711">
        <f t="shared" ref="U7:U15" si="1">H7</f>
        <v>0</v>
      </c>
      <c r="V7" s="710" t="s">
        <v>17</v>
      </c>
      <c r="W7" s="711">
        <f t="shared" ref="W7:W15" si="2">J7</f>
        <v>0</v>
      </c>
      <c r="X7" s="712"/>
      <c r="Y7" s="3964" t="s">
        <v>2359</v>
      </c>
      <c r="Z7" s="3965"/>
      <c r="AA7" s="713" t="e">
        <f>D7/F7</f>
        <v>#DIV/0!</v>
      </c>
      <c r="AB7" s="713" t="e">
        <f>D7/H7</f>
        <v>#DIV/0!</v>
      </c>
      <c r="AC7" s="713" t="e">
        <f>D7/J7</f>
        <v>#DIV/0!</v>
      </c>
    </row>
    <row r="8" spans="1:29" s="113" customFormat="1" ht="15.75" thickBot="1">
      <c r="A8" s="368" t="s">
        <v>2360</v>
      </c>
      <c r="B8" s="369"/>
      <c r="C8" s="374" t="s">
        <v>2361</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964" t="s">
        <v>2362</v>
      </c>
      <c r="Q8" s="3965"/>
      <c r="R8" s="710" t="s">
        <v>17</v>
      </c>
      <c r="S8" s="711">
        <f t="shared" si="0"/>
        <v>0</v>
      </c>
      <c r="T8" s="710" t="s">
        <v>17</v>
      </c>
      <c r="U8" s="711">
        <f t="shared" si="1"/>
        <v>0</v>
      </c>
      <c r="V8" s="710" t="s">
        <v>17</v>
      </c>
      <c r="W8" s="711">
        <f t="shared" si="2"/>
        <v>0</v>
      </c>
      <c r="X8" s="712"/>
      <c r="Y8" s="3964" t="s">
        <v>2362</v>
      </c>
      <c r="Z8" s="3965"/>
      <c r="AA8" s="713" t="e">
        <f t="shared" ref="AA8:AA40" si="3">D8/F8</f>
        <v>#DIV/0!</v>
      </c>
      <c r="AB8" s="713" t="e">
        <f t="shared" ref="AB8:AB40" si="4">D8/H8</f>
        <v>#DIV/0!</v>
      </c>
      <c r="AC8" s="713" t="e">
        <f t="shared" ref="AC8:AC40" si="5">D8/J8</f>
        <v>#DIV/0!</v>
      </c>
    </row>
    <row r="9" spans="1:29" s="113" customFormat="1">
      <c r="A9" s="375" t="s">
        <v>2363</v>
      </c>
      <c r="B9" s="67" t="s">
        <v>2364</v>
      </c>
      <c r="C9" s="2164"/>
      <c r="D9" s="131">
        <v>100</v>
      </c>
      <c r="E9" s="2164"/>
      <c r="F9" s="131">
        <f>SUMIF(70:70,E9,71:71)-SUMIF(70:70,C9,71:71)+100</f>
        <v>100</v>
      </c>
      <c r="G9" s="2164"/>
      <c r="H9" s="131">
        <f>SUMIF(70:70,G9,71:71)-SUMIF(70:70,C9,71:71)+100</f>
        <v>100</v>
      </c>
      <c r="I9" s="2164"/>
      <c r="J9" s="131">
        <f>SUMIF(70:70,I9,71:71)-SUMIF(70:70,C9,71:71)+100</f>
        <v>100</v>
      </c>
      <c r="K9" s="568"/>
      <c r="L9" s="2943"/>
      <c r="M9" s="2944"/>
      <c r="N9" s="2944"/>
      <c r="O9" s="2998"/>
      <c r="P9" s="3978" t="s">
        <v>2365</v>
      </c>
      <c r="Q9" s="1528" t="str">
        <f t="shared" ref="Q9:Q15" si="6">B9</f>
        <v>用途</v>
      </c>
      <c r="R9" s="710" t="s">
        <v>17</v>
      </c>
      <c r="S9" s="711">
        <f t="shared" si="0"/>
        <v>100</v>
      </c>
      <c r="T9" s="710" t="s">
        <v>17</v>
      </c>
      <c r="U9" s="711">
        <f t="shared" si="1"/>
        <v>100</v>
      </c>
      <c r="V9" s="710" t="s">
        <v>17</v>
      </c>
      <c r="W9" s="711">
        <f t="shared" si="2"/>
        <v>100</v>
      </c>
      <c r="X9" s="712"/>
      <c r="Y9" s="3937" t="s">
        <v>2366</v>
      </c>
      <c r="Z9" s="55" t="str">
        <f t="shared" ref="Z9:Z15" si="7">Q9</f>
        <v>用途</v>
      </c>
      <c r="AA9" s="713">
        <f t="shared" si="3"/>
        <v>1</v>
      </c>
      <c r="AB9" s="713">
        <f t="shared" si="4"/>
        <v>1</v>
      </c>
      <c r="AC9" s="713">
        <f t="shared" si="5"/>
        <v>1</v>
      </c>
    </row>
    <row r="10" spans="1:29" s="386" customFormat="1" ht="27">
      <c r="A10" s="380"/>
      <c r="B10" s="381" t="s">
        <v>2367</v>
      </c>
      <c r="C10" s="391"/>
      <c r="D10" s="132">
        <v>100</v>
      </c>
      <c r="E10" s="391"/>
      <c r="F10" s="132">
        <f>ROUND(100/'数据-取费表'!G16,0)</f>
        <v>103</v>
      </c>
      <c r="G10" s="391"/>
      <c r="H10" s="132">
        <f>ROUND(100/'数据-取费表'!G16,0)</f>
        <v>103</v>
      </c>
      <c r="I10" s="391"/>
      <c r="J10" s="132">
        <f>ROUND(100/'数据-取费表'!G16,0)</f>
        <v>103</v>
      </c>
      <c r="K10" s="628"/>
      <c r="L10" s="2945"/>
      <c r="M10" s="2946"/>
      <c r="N10" s="2946"/>
      <c r="O10" s="2999"/>
      <c r="P10" s="3978"/>
      <c r="Q10" s="1528" t="str">
        <f t="shared" si="6"/>
        <v>土地使用年限（年）</v>
      </c>
      <c r="R10" s="710" t="s">
        <v>17</v>
      </c>
      <c r="S10" s="711">
        <f t="shared" si="0"/>
        <v>103</v>
      </c>
      <c r="T10" s="710" t="s">
        <v>17</v>
      </c>
      <c r="U10" s="711">
        <f t="shared" si="1"/>
        <v>103</v>
      </c>
      <c r="V10" s="710" t="s">
        <v>17</v>
      </c>
      <c r="W10" s="711">
        <f t="shared" si="2"/>
        <v>103</v>
      </c>
      <c r="X10" s="712"/>
      <c r="Y10" s="3937"/>
      <c r="Z10" s="55" t="str">
        <f t="shared" si="7"/>
        <v>土地使用年限（年）</v>
      </c>
      <c r="AA10" s="713">
        <f t="shared" si="3"/>
        <v>0.970873786407767</v>
      </c>
      <c r="AB10" s="713">
        <f t="shared" si="4"/>
        <v>0.970873786407767</v>
      </c>
      <c r="AC10" s="713">
        <f t="shared" si="5"/>
        <v>0.970873786407767</v>
      </c>
    </row>
    <row r="11" spans="1:29" ht="15">
      <c r="A11" s="387"/>
      <c r="B11" s="381" t="s">
        <v>2368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978"/>
      <c r="Q11" s="1528" t="str">
        <f t="shared" si="6"/>
        <v>容积率</v>
      </c>
      <c r="R11" s="710" t="s">
        <v>17</v>
      </c>
      <c r="S11" s="711" t="e">
        <f t="shared" si="0"/>
        <v>#N/A</v>
      </c>
      <c r="T11" s="710" t="s">
        <v>17</v>
      </c>
      <c r="U11" s="711" t="e">
        <f t="shared" si="1"/>
        <v>#N/A</v>
      </c>
      <c r="V11" s="710" t="s">
        <v>17</v>
      </c>
      <c r="W11" s="711" t="e">
        <f t="shared" si="2"/>
        <v>#N/A</v>
      </c>
      <c r="X11" s="712"/>
      <c r="Y11" s="3937"/>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978"/>
      <c r="Q12" s="1528">
        <f t="shared" si="6"/>
        <v>111</v>
      </c>
      <c r="R12" s="710" t="s">
        <v>17</v>
      </c>
      <c r="S12" s="711">
        <f t="shared" si="0"/>
        <v>100</v>
      </c>
      <c r="T12" s="710" t="s">
        <v>17</v>
      </c>
      <c r="U12" s="711">
        <f t="shared" si="1"/>
        <v>100</v>
      </c>
      <c r="V12" s="710" t="s">
        <v>17</v>
      </c>
      <c r="W12" s="711">
        <f t="shared" si="2"/>
        <v>100</v>
      </c>
      <c r="X12" s="712"/>
      <c r="Y12" s="3937"/>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978"/>
      <c r="Q13" s="1528">
        <f t="shared" si="6"/>
        <v>111</v>
      </c>
      <c r="R13" s="710" t="s">
        <v>17</v>
      </c>
      <c r="S13" s="711">
        <f t="shared" si="0"/>
        <v>100</v>
      </c>
      <c r="T13" s="710" t="s">
        <v>17</v>
      </c>
      <c r="U13" s="711">
        <f t="shared" si="1"/>
        <v>100</v>
      </c>
      <c r="V13" s="710" t="s">
        <v>17</v>
      </c>
      <c r="W13" s="711">
        <f t="shared" si="2"/>
        <v>100</v>
      </c>
      <c r="X13" s="712"/>
      <c r="Y13" s="3937"/>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978"/>
      <c r="Q14" s="1528">
        <f t="shared" si="6"/>
        <v>111</v>
      </c>
      <c r="R14" s="710" t="s">
        <v>17</v>
      </c>
      <c r="S14" s="711">
        <f t="shared" si="0"/>
        <v>100</v>
      </c>
      <c r="T14" s="710" t="s">
        <v>17</v>
      </c>
      <c r="U14" s="711">
        <f t="shared" si="1"/>
        <v>100</v>
      </c>
      <c r="V14" s="710" t="s">
        <v>17</v>
      </c>
      <c r="W14" s="711">
        <f t="shared" si="2"/>
        <v>100</v>
      </c>
      <c r="X14" s="712"/>
      <c r="Y14" s="3937"/>
      <c r="Z14" s="55">
        <f t="shared" si="7"/>
        <v>111</v>
      </c>
      <c r="AA14" s="713">
        <f t="shared" si="3"/>
        <v>1</v>
      </c>
      <c r="AB14" s="713">
        <f t="shared" si="4"/>
        <v>1</v>
      </c>
      <c r="AC14" s="713">
        <f t="shared" si="5"/>
        <v>1</v>
      </c>
    </row>
    <row r="15" spans="1:29" ht="57">
      <c r="A15" s="399" t="s">
        <v>2369</v>
      </c>
      <c r="B15" s="585" t="s">
        <v>2608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993" t="s">
        <v>2370</v>
      </c>
      <c r="Q15" s="1537" t="str">
        <f t="shared" si="6"/>
        <v>产业集聚程度</v>
      </c>
      <c r="R15" s="714" t="s">
        <v>17</v>
      </c>
      <c r="S15" s="715">
        <f t="shared" si="0"/>
        <v>100</v>
      </c>
      <c r="T15" s="714" t="s">
        <v>17</v>
      </c>
      <c r="U15" s="715">
        <f t="shared" si="1"/>
        <v>100</v>
      </c>
      <c r="V15" s="714" t="s">
        <v>17</v>
      </c>
      <c r="W15" s="715">
        <f t="shared" si="2"/>
        <v>100</v>
      </c>
      <c r="X15" s="1540"/>
      <c r="Y15" s="3993" t="s">
        <v>2370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48"/>
      <c r="M16" s="2942"/>
      <c r="N16" s="2942"/>
      <c r="O16" s="3000"/>
      <c r="P16" s="3994"/>
      <c r="Q16" s="1537"/>
      <c r="R16" s="714"/>
      <c r="S16" s="715"/>
      <c r="T16" s="714"/>
      <c r="U16" s="715"/>
      <c r="V16" s="714"/>
      <c r="W16" s="715"/>
      <c r="X16" s="1540"/>
      <c r="Y16" s="3994"/>
      <c r="Z16" s="1541"/>
      <c r="AA16" s="1538">
        <v>1</v>
      </c>
      <c r="AB16" s="1538">
        <v>1</v>
      </c>
      <c r="AC16" s="1538">
        <v>1</v>
      </c>
    </row>
    <row r="17" spans="1:29" ht="85.5">
      <c r="A17" s="387"/>
      <c r="B17" s="587" t="s">
        <v>2519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994"/>
      <c r="Q17" s="1537" t="str">
        <f>B17</f>
        <v>交通便捷度</v>
      </c>
      <c r="R17" s="714" t="s">
        <v>17</v>
      </c>
      <c r="S17" s="715">
        <f>F17</f>
        <v>100</v>
      </c>
      <c r="T17" s="714" t="s">
        <v>17</v>
      </c>
      <c r="U17" s="715">
        <f>H17</f>
        <v>100</v>
      </c>
      <c r="V17" s="714" t="s">
        <v>17</v>
      </c>
      <c r="W17" s="715">
        <f>J17</f>
        <v>100</v>
      </c>
      <c r="X17" s="1540"/>
      <c r="Y17" s="3994"/>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48"/>
      <c r="M18" s="2942"/>
      <c r="N18" s="2942"/>
      <c r="O18" s="3000"/>
      <c r="P18" s="3994"/>
      <c r="Q18" s="1537"/>
      <c r="R18" s="714"/>
      <c r="S18" s="715"/>
      <c r="T18" s="714"/>
      <c r="U18" s="715"/>
      <c r="V18" s="714"/>
      <c r="W18" s="715"/>
      <c r="X18" s="1540"/>
      <c r="Y18" s="3994"/>
      <c r="Z18" s="1541"/>
      <c r="AA18" s="1538">
        <v>1</v>
      </c>
      <c r="AB18" s="1538">
        <v>1</v>
      </c>
      <c r="AC18" s="1538">
        <v>1</v>
      </c>
    </row>
    <row r="19" spans="1:29" ht="15">
      <c r="A19" s="387"/>
      <c r="B19" s="587" t="s">
        <v>2558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994"/>
      <c r="Q19" s="1537" t="str">
        <f t="shared" ref="Q19:Q33" si="8">B19</f>
        <v>区域土地利用方向</v>
      </c>
      <c r="R19" s="714" t="s">
        <v>17</v>
      </c>
      <c r="S19" s="715">
        <f>F19</f>
        <v>100</v>
      </c>
      <c r="T19" s="714" t="s">
        <v>17</v>
      </c>
      <c r="U19" s="715">
        <f>H19</f>
        <v>100</v>
      </c>
      <c r="V19" s="714" t="s">
        <v>17</v>
      </c>
      <c r="W19" s="715">
        <f>J19</f>
        <v>100</v>
      </c>
      <c r="X19" s="1540"/>
      <c r="Y19" s="3994"/>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48"/>
      <c r="M20" s="2942"/>
      <c r="N20" s="2942"/>
      <c r="O20" s="3000"/>
      <c r="P20" s="3994"/>
      <c r="Q20" s="1537"/>
      <c r="R20" s="714"/>
      <c r="S20" s="715"/>
      <c r="T20" s="714"/>
      <c r="U20" s="715"/>
      <c r="V20" s="714"/>
      <c r="W20" s="715"/>
      <c r="X20" s="1540"/>
      <c r="Y20" s="3994"/>
      <c r="Z20" s="1541"/>
      <c r="AA20" s="1538"/>
      <c r="AB20" s="1538"/>
      <c r="AC20" s="1538"/>
    </row>
    <row r="21" spans="1:29" ht="71.25">
      <c r="A21" s="364"/>
      <c r="B21" s="587" t="s">
        <v>2609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994"/>
      <c r="Q21" s="1537" t="str">
        <f t="shared" si="8"/>
        <v>环境状况</v>
      </c>
      <c r="R21" s="714" t="s">
        <v>17</v>
      </c>
      <c r="S21" s="715">
        <f>F21</f>
        <v>100</v>
      </c>
      <c r="T21" s="714" t="s">
        <v>17</v>
      </c>
      <c r="U21" s="715">
        <f>H21</f>
        <v>100</v>
      </c>
      <c r="V21" s="714" t="s">
        <v>17</v>
      </c>
      <c r="W21" s="715">
        <f>J21</f>
        <v>100</v>
      </c>
      <c r="X21" s="1540"/>
      <c r="Y21" s="3994"/>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48"/>
      <c r="M22" s="2942"/>
      <c r="N22" s="2942"/>
      <c r="O22" s="3000"/>
      <c r="P22" s="3994"/>
      <c r="Q22" s="1537"/>
      <c r="R22" s="714"/>
      <c r="S22" s="715"/>
      <c r="T22" s="714"/>
      <c r="U22" s="715"/>
      <c r="V22" s="714"/>
      <c r="W22" s="715"/>
      <c r="X22" s="1540"/>
      <c r="Y22" s="3994"/>
      <c r="Z22" s="1541"/>
      <c r="AA22" s="1538">
        <v>1</v>
      </c>
      <c r="AB22" s="1538">
        <v>1</v>
      </c>
      <c r="AC22" s="1538">
        <v>1</v>
      </c>
    </row>
    <row r="23" spans="1:29" s="113" customFormat="1" ht="42.75">
      <c r="A23" s="605"/>
      <c r="B23" s="589" t="s">
        <v>2464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994"/>
      <c r="Q23" s="1528" t="str">
        <f t="shared" si="8"/>
        <v>公共配套设施</v>
      </c>
      <c r="R23" s="710" t="s">
        <v>17</v>
      </c>
      <c r="S23" s="711">
        <f>F23</f>
        <v>100</v>
      </c>
      <c r="T23" s="710" t="s">
        <v>17</v>
      </c>
      <c r="U23" s="711">
        <f>H23</f>
        <v>100</v>
      </c>
      <c r="V23" s="710" t="s">
        <v>17</v>
      </c>
      <c r="W23" s="711">
        <f>J23</f>
        <v>100</v>
      </c>
      <c r="X23" s="712"/>
      <c r="Y23" s="3994"/>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3"/>
      <c r="M24" s="2944"/>
      <c r="N24" s="2944"/>
      <c r="O24" s="2998"/>
      <c r="P24" s="3994"/>
      <c r="Q24" s="1528"/>
      <c r="R24" s="710"/>
      <c r="S24" s="711"/>
      <c r="T24" s="710"/>
      <c r="U24" s="711"/>
      <c r="V24" s="710"/>
      <c r="W24" s="711"/>
      <c r="X24" s="712"/>
      <c r="Y24" s="3994"/>
      <c r="Z24" s="55"/>
      <c r="AA24" s="713">
        <v>1</v>
      </c>
      <c r="AB24" s="713">
        <v>1</v>
      </c>
      <c r="AC24" s="713">
        <v>1</v>
      </c>
    </row>
    <row r="25" spans="1:29" s="113" customFormat="1" ht="28.5">
      <c r="A25" s="605"/>
      <c r="B25" s="589" t="s">
        <v>2465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994"/>
      <c r="Q25" s="1528" t="str">
        <f t="shared" ref="Q25" si="9">B25</f>
        <v>基础设施水平</v>
      </c>
      <c r="R25" s="710" t="s">
        <v>17</v>
      </c>
      <c r="S25" s="711">
        <f>F25</f>
        <v>100</v>
      </c>
      <c r="T25" s="710" t="s">
        <v>17</v>
      </c>
      <c r="U25" s="711">
        <f>H25</f>
        <v>100</v>
      </c>
      <c r="V25" s="710" t="s">
        <v>17</v>
      </c>
      <c r="W25" s="711">
        <f>J25</f>
        <v>100</v>
      </c>
      <c r="X25" s="712"/>
      <c r="Y25" s="3994"/>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3"/>
      <c r="M26" s="2944"/>
      <c r="N26" s="2944"/>
      <c r="O26" s="2998"/>
      <c r="P26" s="3994"/>
      <c r="Q26" s="1528"/>
      <c r="R26" s="710"/>
      <c r="S26" s="711"/>
      <c r="T26" s="710"/>
      <c r="U26" s="711"/>
      <c r="V26" s="710"/>
      <c r="W26" s="711"/>
      <c r="X26" s="712"/>
      <c r="Y26" s="3994"/>
      <c r="Z26" s="55"/>
      <c r="AA26" s="713">
        <v>1</v>
      </c>
      <c r="AB26" s="713">
        <v>1</v>
      </c>
      <c r="AC26" s="713">
        <v>1</v>
      </c>
    </row>
    <row r="27" spans="1:29" ht="15">
      <c r="A27" s="387"/>
      <c r="B27" s="588" t="s">
        <v>2466</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994"/>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994"/>
      <c r="Z27" s="1541" t="str">
        <f t="shared" ref="Z27:Z40" si="13">Q27</f>
        <v>临街状况</v>
      </c>
      <c r="AA27" s="1538">
        <f t="shared" si="3"/>
        <v>1</v>
      </c>
      <c r="AB27" s="1538">
        <f t="shared" si="4"/>
        <v>1</v>
      </c>
      <c r="AC27" s="1538">
        <f t="shared" si="5"/>
        <v>1</v>
      </c>
    </row>
    <row r="28" spans="1:29" ht="27">
      <c r="A28" s="387"/>
      <c r="B28" s="589" t="s">
        <v>2501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994"/>
      <c r="Q28" s="1537" t="str">
        <f t="shared" si="8"/>
        <v>毗邻道路的类型与等级</v>
      </c>
      <c r="R28" s="714" t="s">
        <v>17</v>
      </c>
      <c r="S28" s="715">
        <f t="shared" si="10"/>
        <v>100</v>
      </c>
      <c r="T28" s="714" t="s">
        <v>17</v>
      </c>
      <c r="U28" s="715">
        <f t="shared" si="11"/>
        <v>100</v>
      </c>
      <c r="V28" s="714" t="s">
        <v>17</v>
      </c>
      <c r="W28" s="715">
        <f t="shared" si="12"/>
        <v>100</v>
      </c>
      <c r="X28" s="1540"/>
      <c r="Y28" s="3994"/>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48"/>
      <c r="M29" s="2942"/>
      <c r="N29" s="2942"/>
      <c r="O29" s="3000"/>
      <c r="P29" s="3994"/>
      <c r="Q29" s="1537"/>
      <c r="R29" s="714"/>
      <c r="S29" s="715"/>
      <c r="T29" s="714"/>
      <c r="U29" s="715"/>
      <c r="V29" s="714"/>
      <c r="W29" s="715"/>
      <c r="X29" s="1540"/>
      <c r="Y29" s="3994"/>
      <c r="Z29" s="1541"/>
      <c r="AA29" s="1538">
        <v>1</v>
      </c>
      <c r="AB29" s="1538">
        <v>1</v>
      </c>
      <c r="AC29" s="1538">
        <v>1</v>
      </c>
    </row>
    <row r="30" spans="1:29" ht="15">
      <c r="A30" s="387"/>
      <c r="B30" s="610" t="s">
        <v>2560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994"/>
      <c r="Q30" s="1537" t="str">
        <f t="shared" si="8"/>
        <v>土地级别</v>
      </c>
      <c r="R30" s="714" t="s">
        <v>17</v>
      </c>
      <c r="S30" s="715">
        <f t="shared" si="10"/>
        <v>100</v>
      </c>
      <c r="T30" s="714" t="s">
        <v>17</v>
      </c>
      <c r="U30" s="715">
        <f t="shared" si="11"/>
        <v>100</v>
      </c>
      <c r="V30" s="714" t="s">
        <v>17</v>
      </c>
      <c r="W30" s="715">
        <f t="shared" si="12"/>
        <v>100</v>
      </c>
      <c r="X30" s="1540"/>
      <c r="Y30" s="3994"/>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994"/>
      <c r="Q31" s="1537">
        <f t="shared" si="8"/>
        <v>111</v>
      </c>
      <c r="R31" s="714" t="s">
        <v>17</v>
      </c>
      <c r="S31" s="715">
        <f t="shared" si="10"/>
        <v>100</v>
      </c>
      <c r="T31" s="714" t="s">
        <v>17</v>
      </c>
      <c r="U31" s="715">
        <f t="shared" si="11"/>
        <v>100</v>
      </c>
      <c r="V31" s="714" t="s">
        <v>17</v>
      </c>
      <c r="W31" s="715">
        <f t="shared" si="12"/>
        <v>100</v>
      </c>
      <c r="X31" s="1540"/>
      <c r="Y31" s="3994"/>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995" t="s">
        <v>2375</v>
      </c>
      <c r="Q32" s="1537">
        <f t="shared" si="8"/>
        <v>111</v>
      </c>
      <c r="R32" s="714" t="s">
        <v>17</v>
      </c>
      <c r="S32" s="715">
        <f t="shared" si="10"/>
        <v>100</v>
      </c>
      <c r="T32" s="714" t="s">
        <v>17</v>
      </c>
      <c r="U32" s="715">
        <f t="shared" si="11"/>
        <v>100</v>
      </c>
      <c r="V32" s="714" t="s">
        <v>17</v>
      </c>
      <c r="W32" s="715">
        <f t="shared" si="12"/>
        <v>100</v>
      </c>
      <c r="X32" s="1540"/>
      <c r="Y32" s="3996" t="s">
        <v>2375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996"/>
      <c r="Q33" s="1537">
        <f t="shared" si="8"/>
        <v>111</v>
      </c>
      <c r="R33" s="717" t="s">
        <v>17</v>
      </c>
      <c r="S33" s="718">
        <f t="shared" si="10"/>
        <v>100</v>
      </c>
      <c r="T33" s="717" t="s">
        <v>17</v>
      </c>
      <c r="U33" s="718">
        <f t="shared" si="11"/>
        <v>100</v>
      </c>
      <c r="V33" s="717" t="s">
        <v>17</v>
      </c>
      <c r="W33" s="718">
        <f t="shared" si="12"/>
        <v>100</v>
      </c>
      <c r="X33" s="719"/>
      <c r="Y33" s="3996"/>
      <c r="Z33" s="720">
        <f t="shared" si="13"/>
        <v>111</v>
      </c>
      <c r="AA33" s="1538">
        <f t="shared" si="3"/>
        <v>1</v>
      </c>
      <c r="AB33" s="1538">
        <f t="shared" si="4"/>
        <v>1</v>
      </c>
      <c r="AC33" s="1538">
        <f t="shared" si="5"/>
        <v>1</v>
      </c>
    </row>
    <row r="34" spans="1:31" ht="15">
      <c r="A34" s="399" t="s">
        <v>2373</v>
      </c>
      <c r="B34" s="415" t="s">
        <v>2561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996"/>
      <c r="Q34" s="1537" t="str">
        <f>B34</f>
        <v>宗地面积</v>
      </c>
      <c r="R34" s="714" t="s">
        <v>17</v>
      </c>
      <c r="S34" s="715" t="e">
        <f t="shared" si="10"/>
        <v>#N/A</v>
      </c>
      <c r="T34" s="714" t="s">
        <v>17</v>
      </c>
      <c r="U34" s="715" t="e">
        <f t="shared" si="11"/>
        <v>#N/A</v>
      </c>
      <c r="V34" s="714" t="s">
        <v>17</v>
      </c>
      <c r="W34" s="715" t="e">
        <f t="shared" si="12"/>
        <v>#N/A</v>
      </c>
      <c r="X34" s="1540"/>
      <c r="Y34" s="3996"/>
      <c r="Z34" s="1541" t="str">
        <f t="shared" si="13"/>
        <v>宗地面积</v>
      </c>
      <c r="AA34" s="1538" t="e">
        <f t="shared" si="3"/>
        <v>#N/A</v>
      </c>
      <c r="AB34" s="1538" t="e">
        <f t="shared" si="4"/>
        <v>#N/A</v>
      </c>
      <c r="AC34" s="1538" t="e">
        <f t="shared" si="5"/>
        <v>#N/A</v>
      </c>
    </row>
    <row r="35" spans="1:31" ht="15">
      <c r="A35" s="431"/>
      <c r="B35" s="381" t="s">
        <v>2562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996"/>
      <c r="Q35" s="1537" t="str">
        <f t="shared" ref="Q35:Q40" si="14">B35</f>
        <v>宗地形状</v>
      </c>
      <c r="R35" s="714" t="s">
        <v>17</v>
      </c>
      <c r="S35" s="715">
        <f t="shared" si="10"/>
        <v>100</v>
      </c>
      <c r="T35" s="714" t="s">
        <v>17</v>
      </c>
      <c r="U35" s="715">
        <f t="shared" si="11"/>
        <v>100</v>
      </c>
      <c r="V35" s="714" t="s">
        <v>17</v>
      </c>
      <c r="W35" s="715">
        <f t="shared" si="12"/>
        <v>100</v>
      </c>
      <c r="X35" s="1540"/>
      <c r="Y35" s="3996"/>
      <c r="Z35" s="1541" t="str">
        <f t="shared" si="13"/>
        <v>宗地形状</v>
      </c>
      <c r="AA35" s="1538">
        <f t="shared" si="3"/>
        <v>1</v>
      </c>
      <c r="AB35" s="1538">
        <f t="shared" si="4"/>
        <v>1</v>
      </c>
      <c r="AC35" s="1538">
        <f t="shared" si="5"/>
        <v>1</v>
      </c>
    </row>
    <row r="36" spans="1:31" s="113" customFormat="1" ht="15">
      <c r="A36" s="432"/>
      <c r="B36" s="381" t="s">
        <v>2564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3"/>
      <c r="M36" s="2944"/>
      <c r="N36" s="2944"/>
      <c r="O36" s="2998"/>
      <c r="P36" s="3996"/>
      <c r="Q36" s="1537" t="str">
        <f t="shared" si="14"/>
        <v>宗地开发程度</v>
      </c>
      <c r="R36" s="710" t="s">
        <v>17</v>
      </c>
      <c r="S36" s="711">
        <f t="shared" si="10"/>
        <v>100</v>
      </c>
      <c r="T36" s="710" t="s">
        <v>17</v>
      </c>
      <c r="U36" s="711">
        <f t="shared" si="11"/>
        <v>100</v>
      </c>
      <c r="V36" s="710" t="s">
        <v>17</v>
      </c>
      <c r="W36" s="711">
        <f t="shared" si="12"/>
        <v>100</v>
      </c>
      <c r="X36" s="712"/>
      <c r="Y36" s="3996"/>
      <c r="Z36" s="55" t="str">
        <f t="shared" si="13"/>
        <v>宗地开发程度</v>
      </c>
      <c r="AA36" s="713">
        <f t="shared" si="3"/>
        <v>1</v>
      </c>
      <c r="AB36" s="713">
        <f t="shared" si="4"/>
        <v>1</v>
      </c>
      <c r="AC36" s="713">
        <f t="shared" si="5"/>
        <v>1</v>
      </c>
    </row>
    <row r="37" spans="1:31" ht="15">
      <c r="A37" s="431"/>
      <c r="B37" s="381" t="s">
        <v>2565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996" t="s">
        <v>2375</v>
      </c>
      <c r="Q37" s="1537" t="str">
        <f t="shared" si="14"/>
        <v>工程地质条件</v>
      </c>
      <c r="R37" s="714" t="s">
        <v>17</v>
      </c>
      <c r="S37" s="715">
        <f t="shared" si="10"/>
        <v>100</v>
      </c>
      <c r="T37" s="714" t="s">
        <v>17</v>
      </c>
      <c r="U37" s="715">
        <f t="shared" si="11"/>
        <v>100</v>
      </c>
      <c r="V37" s="714" t="s">
        <v>17</v>
      </c>
      <c r="W37" s="715">
        <f t="shared" si="12"/>
        <v>100</v>
      </c>
      <c r="X37" s="1540"/>
      <c r="Y37" s="3996" t="s">
        <v>2375</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996"/>
      <c r="Q38" s="1537">
        <f t="shared" si="14"/>
        <v>111</v>
      </c>
      <c r="R38" s="714" t="s">
        <v>17</v>
      </c>
      <c r="S38" s="715">
        <f t="shared" si="10"/>
        <v>100</v>
      </c>
      <c r="T38" s="714" t="s">
        <v>17</v>
      </c>
      <c r="U38" s="715">
        <f t="shared" si="11"/>
        <v>100</v>
      </c>
      <c r="V38" s="714" t="s">
        <v>17</v>
      </c>
      <c r="W38" s="715">
        <f t="shared" si="12"/>
        <v>100</v>
      </c>
      <c r="X38" s="1540"/>
      <c r="Y38" s="3996"/>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996"/>
      <c r="Q39" s="1537">
        <f t="shared" si="14"/>
        <v>111</v>
      </c>
      <c r="R39" s="714" t="s">
        <v>17</v>
      </c>
      <c r="S39" s="715">
        <f t="shared" si="10"/>
        <v>100</v>
      </c>
      <c r="T39" s="714" t="s">
        <v>17</v>
      </c>
      <c r="U39" s="715">
        <f t="shared" si="11"/>
        <v>100</v>
      </c>
      <c r="V39" s="714" t="s">
        <v>17</v>
      </c>
      <c r="W39" s="715">
        <f t="shared" si="12"/>
        <v>100</v>
      </c>
      <c r="X39" s="1540"/>
      <c r="Y39" s="3996"/>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996"/>
      <c r="Q40" s="1537">
        <f t="shared" si="14"/>
        <v>111</v>
      </c>
      <c r="R40" s="717" t="s">
        <v>17</v>
      </c>
      <c r="S40" s="718">
        <f t="shared" si="10"/>
        <v>100</v>
      </c>
      <c r="T40" s="717" t="s">
        <v>17</v>
      </c>
      <c r="U40" s="718">
        <f t="shared" si="11"/>
        <v>100</v>
      </c>
      <c r="V40" s="717" t="s">
        <v>17</v>
      </c>
      <c r="W40" s="718">
        <f t="shared" si="12"/>
        <v>100</v>
      </c>
      <c r="X40" s="719"/>
      <c r="Y40" s="3996"/>
      <c r="Z40" s="720">
        <f t="shared" si="13"/>
        <v>111</v>
      </c>
      <c r="AA40" s="1538">
        <f t="shared" si="3"/>
        <v>1</v>
      </c>
      <c r="AB40" s="1538">
        <f t="shared" si="4"/>
        <v>1</v>
      </c>
      <c r="AC40" s="1538">
        <f t="shared" si="5"/>
        <v>1</v>
      </c>
    </row>
    <row r="41" spans="1:31" ht="15">
      <c r="A41" s="438" t="s">
        <v>2530</v>
      </c>
      <c r="B41" s="2169" t="s">
        <v>2610</v>
      </c>
      <c r="C41" s="638" t="s">
        <v>1</v>
      </c>
      <c r="D41" s="440"/>
      <c r="E41" s="441"/>
      <c r="F41" s="442"/>
      <c r="G41" s="443"/>
      <c r="H41" s="444"/>
      <c r="I41" s="441"/>
      <c r="J41" s="444"/>
      <c r="K41" s="723"/>
      <c r="L41" s="2950"/>
      <c r="M41" s="2942"/>
      <c r="N41" s="2942"/>
      <c r="O41" s="2951"/>
      <c r="P41" s="3978" t="str">
        <f>A41</f>
        <v>成交单价</v>
      </c>
      <c r="Q41" s="3978"/>
      <c r="R41" s="3991">
        <f>E41</f>
        <v>0</v>
      </c>
      <c r="S41" s="3991"/>
      <c r="T41" s="3991">
        <f>G41</f>
        <v>0</v>
      </c>
      <c r="U41" s="3991"/>
      <c r="V41" s="3991">
        <f>I41</f>
        <v>0</v>
      </c>
      <c r="W41" s="3991"/>
      <c r="X41" s="699"/>
      <c r="Y41" s="721"/>
      <c r="Z41" s="699"/>
      <c r="AA41" s="699"/>
      <c r="AB41" s="699"/>
      <c r="AC41" s="699"/>
    </row>
    <row r="42" spans="1:31" ht="15.75" thickBot="1">
      <c r="A42" s="445" t="s">
        <v>2479</v>
      </c>
      <c r="B42" s="639"/>
      <c r="C42" s="448" t="e">
        <f>R43</f>
        <v>#DIV/0!</v>
      </c>
      <c r="D42" s="2539" t="s">
        <v>2870</v>
      </c>
      <c r="E42" s="448" t="e">
        <f>R42</f>
        <v>#DIV/0!</v>
      </c>
      <c r="F42" s="2540"/>
      <c r="G42" s="447" t="e">
        <f>T42</f>
        <v>#DIV/0!</v>
      </c>
      <c r="H42" s="2540"/>
      <c r="I42" s="448" t="e">
        <f>V42</f>
        <v>#DIV/0!</v>
      </c>
      <c r="J42" s="2540"/>
      <c r="K42" s="2542">
        <f>F42+H42+J42</f>
        <v>0</v>
      </c>
      <c r="L42" s="2950"/>
      <c r="M42" s="2942"/>
      <c r="N42" s="2942"/>
      <c r="O42" s="2951"/>
      <c r="P42" s="3978" t="str">
        <f>A42</f>
        <v>比较价值（元/平方米）</v>
      </c>
      <c r="Q42" s="3978"/>
      <c r="R42" s="3997" t="e">
        <f>ROUND(PRODUCT(R41,AA7:AA40),0)</f>
        <v>#DIV/0!</v>
      </c>
      <c r="S42" s="3997"/>
      <c r="T42" s="3997" t="e">
        <f>ROUND(PRODUCT(T41,AB7:AB40),0)</f>
        <v>#DIV/0!</v>
      </c>
      <c r="U42" s="3997"/>
      <c r="V42" s="3997" t="e">
        <f>ROUND(PRODUCT(V41,AC7:AC40),0)</f>
        <v>#DIV/0!</v>
      </c>
      <c r="W42" s="3997"/>
      <c r="X42" s="699"/>
      <c r="Y42" s="699"/>
      <c r="Z42" s="699"/>
      <c r="AA42" s="699"/>
      <c r="AB42" s="699"/>
      <c r="AC42" s="699"/>
    </row>
    <row r="43" spans="1:31" ht="15.75" thickBot="1">
      <c r="A43" s="449" t="s">
        <v>2480</v>
      </c>
      <c r="B43" s="450"/>
      <c r="C43" s="451" t="e">
        <f>R43</f>
        <v>#DIV/0!</v>
      </c>
      <c r="D43" s="451"/>
      <c r="E43" s="451"/>
      <c r="F43" s="451"/>
      <c r="G43" s="451"/>
      <c r="H43" s="451"/>
      <c r="I43" s="451"/>
      <c r="J43" s="451"/>
      <c r="K43" s="724"/>
      <c r="L43" s="2950"/>
      <c r="M43" s="2942"/>
      <c r="N43" s="2942"/>
      <c r="O43" s="2951"/>
      <c r="P43" s="3998" t="str">
        <f>A43</f>
        <v>估价对象XX用房的比较价值（楼面单价，元/平方米）</v>
      </c>
      <c r="Q43" s="3999"/>
      <c r="R43" s="4000" t="e">
        <f>ROUND(IF(D42="简单平均",AVERAGE(R42:W42),R42*F42+T42*H42+V42*J42),0)</f>
        <v>#DIV/0!</v>
      </c>
      <c r="S43" s="4000"/>
      <c r="T43" s="4000"/>
      <c r="U43" s="4000"/>
      <c r="V43" s="4000"/>
      <c r="W43" s="4000"/>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2483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2568</v>
      </c>
      <c r="B50" s="641" t="s">
        <v>2569</v>
      </c>
      <c r="C50" s="2170" t="s">
        <v>2570</v>
      </c>
      <c r="D50" s="2171" t="s">
        <v>2571</v>
      </c>
      <c r="E50" s="642" t="s">
        <v>2572</v>
      </c>
      <c r="F50" s="643" t="s">
        <v>2573</v>
      </c>
      <c r="G50" s="3979" t="s">
        <v>2574</v>
      </c>
      <c r="H50" s="4001"/>
      <c r="I50" s="1541" t="s">
        <v>2611</v>
      </c>
      <c r="J50" s="1541" t="str">
        <f>项目基本情况!F35</f>
        <v>河北省</v>
      </c>
      <c r="K50" s="2173" t="s">
        <v>2576</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2577</v>
      </c>
      <c r="B51" s="645" t="e">
        <f>C43</f>
        <v>#DIV/0!</v>
      </c>
      <c r="C51" s="646">
        <v>1</v>
      </c>
      <c r="D51" s="1074">
        <v>1</v>
      </c>
      <c r="E51" s="646">
        <f>'数据-汇总表'!E8+'数据-汇总表'!E9</f>
        <v>526703.53999999992</v>
      </c>
      <c r="F51" s="647" t="e">
        <f t="shared" ref="F51:F60" si="15">ROUND(B51*E51/10000,0)</f>
        <v>#DIV/0!</v>
      </c>
      <c r="G51" s="4002"/>
      <c r="H51" s="3978"/>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2578</v>
      </c>
      <c r="B52" s="224" t="e">
        <f>ROUND($C$43*C52*D52,0)</f>
        <v>#DIV/0!</v>
      </c>
      <c r="C52" s="176">
        <f t="shared" ref="C52:C60" si="16">IF($C$50="北京市系数",I52,J52)</f>
        <v>0</v>
      </c>
      <c r="D52" s="1075">
        <v>0.25</v>
      </c>
      <c r="E52" s="650"/>
      <c r="F52" s="647" t="e">
        <f t="shared" si="15"/>
        <v>#DIV/0!</v>
      </c>
      <c r="G52" s="4003" t="s">
        <v>2579</v>
      </c>
      <c r="H52" s="1017">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2580</v>
      </c>
      <c r="B53" s="224" t="e">
        <f t="shared" ref="B53:B60" si="17">ROUND($C$43*C53*D53,0)</f>
        <v>#DIV/0!</v>
      </c>
      <c r="C53" s="176">
        <f t="shared" si="16"/>
        <v>0</v>
      </c>
      <c r="D53" s="1075">
        <v>0.25</v>
      </c>
      <c r="E53" s="650"/>
      <c r="F53" s="647" t="e">
        <f t="shared" si="15"/>
        <v>#DIV/0!</v>
      </c>
      <c r="G53" s="4003"/>
      <c r="H53" s="1017">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2581</v>
      </c>
      <c r="B54" s="224" t="e">
        <f t="shared" si="17"/>
        <v>#DIV/0!</v>
      </c>
      <c r="C54" s="176">
        <f t="shared" si="16"/>
        <v>0</v>
      </c>
      <c r="D54" s="1075">
        <v>0.25</v>
      </c>
      <c r="E54" s="650"/>
      <c r="F54" s="647" t="e">
        <f t="shared" si="15"/>
        <v>#DIV/0!</v>
      </c>
      <c r="G54" s="4003"/>
      <c r="H54" s="1017">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2582</v>
      </c>
      <c r="B55" s="224" t="e">
        <f t="shared" si="17"/>
        <v>#DIV/0!</v>
      </c>
      <c r="C55" s="176">
        <f t="shared" si="16"/>
        <v>0</v>
      </c>
      <c r="D55" s="1075">
        <v>0.25</v>
      </c>
      <c r="E55" s="650"/>
      <c r="F55" s="647" t="e">
        <f t="shared" si="15"/>
        <v>#DIV/0!</v>
      </c>
      <c r="G55" s="4003"/>
      <c r="H55" s="1017">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2583</v>
      </c>
      <c r="B56" s="224" t="e">
        <f t="shared" si="17"/>
        <v>#DIV/0!</v>
      </c>
      <c r="C56" s="176">
        <f t="shared" si="16"/>
        <v>0</v>
      </c>
      <c r="D56" s="1075">
        <v>0.25</v>
      </c>
      <c r="E56" s="223">
        <f>'数据-汇总表'!E11</f>
        <v>0</v>
      </c>
      <c r="F56" s="647" t="e">
        <f t="shared" si="15"/>
        <v>#DIV/0!</v>
      </c>
      <c r="G56" s="2174" t="s">
        <v>2584</v>
      </c>
      <c r="H56" s="1017">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2585</v>
      </c>
      <c r="B57" s="224" t="e">
        <f t="shared" si="17"/>
        <v>#DIV/0!</v>
      </c>
      <c r="C57" s="176">
        <f t="shared" si="16"/>
        <v>0</v>
      </c>
      <c r="D57" s="1075">
        <v>0.25</v>
      </c>
      <c r="E57" s="223">
        <f>'数据-汇总表'!E12</f>
        <v>31222.400000000001</v>
      </c>
      <c r="F57" s="647" t="e">
        <f t="shared" si="15"/>
        <v>#DIV/0!</v>
      </c>
      <c r="G57" s="1022" t="s">
        <v>2586</v>
      </c>
      <c r="H57" s="1017">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2587</v>
      </c>
      <c r="B58" s="224" t="e">
        <f t="shared" si="17"/>
        <v>#DIV/0!</v>
      </c>
      <c r="C58" s="176">
        <f t="shared" si="16"/>
        <v>0</v>
      </c>
      <c r="D58" s="1075">
        <v>0.25</v>
      </c>
      <c r="E58" s="223">
        <f>'数据-汇总表'!E13</f>
        <v>151491.65</v>
      </c>
      <c r="F58" s="647" t="e">
        <f t="shared" si="15"/>
        <v>#DIV/0!</v>
      </c>
      <c r="G58" s="1022" t="s">
        <v>2588</v>
      </c>
      <c r="H58" s="1017">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2589</v>
      </c>
      <c r="B59" s="224" t="e">
        <f t="shared" si="17"/>
        <v>#DIV/0!</v>
      </c>
      <c r="C59" s="176">
        <f t="shared" si="16"/>
        <v>0</v>
      </c>
      <c r="D59" s="1075">
        <v>0.25</v>
      </c>
      <c r="E59" s="223">
        <f>'数据-汇总表'!E14</f>
        <v>0</v>
      </c>
      <c r="F59" s="647" t="e">
        <f t="shared" si="15"/>
        <v>#DIV/0!</v>
      </c>
      <c r="G59" s="2174" t="s">
        <v>2579</v>
      </c>
      <c r="H59" s="1017">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2590</v>
      </c>
      <c r="B60" s="224" t="e">
        <f t="shared" si="17"/>
        <v>#DIV/0!</v>
      </c>
      <c r="C60" s="176">
        <f t="shared" si="16"/>
        <v>0</v>
      </c>
      <c r="D60" s="1075">
        <v>0.25</v>
      </c>
      <c r="E60" s="223">
        <f>'数据-汇总表'!E15</f>
        <v>0</v>
      </c>
      <c r="F60" s="647" t="e">
        <f t="shared" si="15"/>
        <v>#DIV/0!</v>
      </c>
      <c r="G60" s="2175" t="s">
        <v>2584</v>
      </c>
      <c r="H60" s="1027">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2591</v>
      </c>
      <c r="B61" s="652" t="s">
        <v>28</v>
      </c>
      <c r="C61" s="652" t="s">
        <v>29</v>
      </c>
      <c r="D61" s="652" t="s">
        <v>997</v>
      </c>
      <c r="E61" s="652">
        <f>IF(B41="楼面地价",SUM(E51:E60),'数据-汇总表'!D3)</f>
        <v>254442.35</v>
      </c>
      <c r="F61" s="653"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1"/>
      <c r="Q63" s="2951"/>
      <c r="R63" s="2951"/>
      <c r="S63" s="2951"/>
      <c r="T63" s="2951"/>
      <c r="U63" s="2951"/>
      <c r="V63" s="2951"/>
      <c r="W63" s="2951"/>
      <c r="X63" s="2951"/>
      <c r="Y63" s="2951"/>
      <c r="Z63" s="2951"/>
      <c r="AA63" s="2951"/>
      <c r="AB63" s="2951"/>
      <c r="AC63" s="2951"/>
      <c r="AD63" s="2951"/>
      <c r="AE63" s="2951"/>
    </row>
    <row r="64" spans="1:31" ht="21.75" thickBot="1">
      <c r="A64" s="703" t="s">
        <v>2484</v>
      </c>
      <c r="B64" s="699"/>
      <c r="C64" s="704"/>
      <c r="D64" s="704"/>
      <c r="E64" s="704"/>
      <c r="F64" s="705"/>
      <c r="G64" s="705"/>
      <c r="H64" s="704"/>
      <c r="I64" s="704"/>
      <c r="J64" s="704"/>
      <c r="K64" s="706"/>
      <c r="L64" s="707"/>
      <c r="M64" s="704"/>
      <c r="N64" s="704"/>
      <c r="O64" s="1070"/>
      <c r="P64" s="2995"/>
      <c r="Q64" s="2965"/>
      <c r="R64" s="2951"/>
      <c r="S64" s="2951"/>
      <c r="T64" s="2951"/>
      <c r="U64" s="2951"/>
      <c r="V64" s="2951"/>
      <c r="W64" s="2951"/>
      <c r="X64" s="2951"/>
      <c r="Y64" s="2951"/>
      <c r="Z64" s="2951"/>
      <c r="AA64" s="2951"/>
      <c r="AB64" s="2951"/>
      <c r="AC64" s="2951"/>
      <c r="AD64" s="2951"/>
      <c r="AE64" s="2951"/>
    </row>
    <row r="65" spans="1:31" s="465" customFormat="1" ht="15">
      <c r="A65" s="2176" t="s">
        <v>2592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2612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2395</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2360</v>
      </c>
      <c r="B68" s="467"/>
      <c r="C68" s="479" t="s">
        <v>2462</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2398</v>
      </c>
      <c r="B70" s="485" t="s">
        <v>2364</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2367</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2368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2369</v>
      </c>
      <c r="B83" s="485" t="s">
        <v>2515</v>
      </c>
      <c r="C83" s="530" t="s">
        <v>2407</v>
      </c>
      <c r="D83" s="530" t="s">
        <v>2408</v>
      </c>
      <c r="E83" s="530" t="s">
        <v>2409</v>
      </c>
      <c r="F83" s="530" t="s">
        <v>2410</v>
      </c>
      <c r="G83" s="530" t="s">
        <v>2411</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2412</v>
      </c>
      <c r="C85" s="535" t="s">
        <v>2407</v>
      </c>
      <c r="D85" s="535" t="s">
        <v>2408</v>
      </c>
      <c r="E85" s="535" t="s">
        <v>2409</v>
      </c>
      <c r="F85" s="535" t="s">
        <v>2410</v>
      </c>
      <c r="G85" s="535" t="s">
        <v>2411</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2595</v>
      </c>
      <c r="C87" s="530" t="s">
        <v>2407</v>
      </c>
      <c r="D87" s="530" t="s">
        <v>2408</v>
      </c>
      <c r="E87" s="530" t="s">
        <v>2409</v>
      </c>
      <c r="F87" s="530" t="s">
        <v>2410</v>
      </c>
      <c r="G87" s="530" t="s">
        <v>2411</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2596</v>
      </c>
      <c r="C89" s="530" t="s">
        <v>2407</v>
      </c>
      <c r="D89" s="530" t="s">
        <v>2408</v>
      </c>
      <c r="E89" s="530" t="s">
        <v>2409</v>
      </c>
      <c r="F89" s="530" t="s">
        <v>2410</v>
      </c>
      <c r="G89" s="530" t="s">
        <v>2411</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2464</v>
      </c>
      <c r="C91" s="530" t="s">
        <v>2407</v>
      </c>
      <c r="D91" s="530" t="s">
        <v>2408</v>
      </c>
      <c r="E91" s="530" t="s">
        <v>2409</v>
      </c>
      <c r="F91" s="530" t="s">
        <v>2410</v>
      </c>
      <c r="G91" s="530" t="s">
        <v>2411</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2613</v>
      </c>
      <c r="C93" s="616" t="s">
        <v>2485</v>
      </c>
      <c r="D93" s="616" t="s">
        <v>2486</v>
      </c>
      <c r="E93" s="616" t="s">
        <v>2487</v>
      </c>
      <c r="F93" s="616" t="s">
        <v>2488</v>
      </c>
      <c r="G93" s="616" t="s">
        <v>2489</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2597</v>
      </c>
      <c r="D95" s="496" t="s">
        <v>2598</v>
      </c>
      <c r="E95" s="496" t="s">
        <v>2599</v>
      </c>
      <c r="F95" s="496" t="s">
        <v>2600</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2501</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2560</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2373</v>
      </c>
      <c r="B107" s="485" t="s">
        <v>2601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2602</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2604</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2605</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1606</v>
      </c>
      <c r="B2" s="3507" t="s">
        <v>1607</v>
      </c>
      <c r="C2" s="3507" t="s">
        <v>1608</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962" t="s">
        <v>1603</v>
      </c>
      <c r="E3" s="962" t="s">
        <v>1609</v>
      </c>
      <c r="F3" s="962" t="s">
        <v>1603</v>
      </c>
      <c r="G3" s="962" t="s">
        <v>1604</v>
      </c>
      <c r="H3" s="962" t="s">
        <v>1603</v>
      </c>
      <c r="I3" s="962" t="s">
        <v>1604</v>
      </c>
    </row>
    <row r="4" spans="1:9" ht="30">
      <c r="A4" s="1691" t="str">
        <f>项目基本情况!S2</f>
        <v>河北省固安温泉休闲商务产业园区独流一排村东北房地产</v>
      </c>
      <c r="B4" s="962">
        <f>项目基本情况!C17</f>
        <v>714394.25</v>
      </c>
      <c r="C4" s="962">
        <f>项目基本情况!C18</f>
        <v>254442.35</v>
      </c>
      <c r="D4" s="962">
        <f ca="1">结果表!D118</f>
        <v>122493</v>
      </c>
      <c r="E4" s="962">
        <f ca="1">结果表!E118</f>
        <v>1715</v>
      </c>
      <c r="F4" s="962">
        <f ca="1">结果表!F118</f>
        <v>10942</v>
      </c>
      <c r="G4" s="962">
        <f ca="1">结果表!G118</f>
        <v>153</v>
      </c>
      <c r="H4" s="962">
        <f ca="1">结果表!H118</f>
        <v>133435</v>
      </c>
      <c r="I4" s="962">
        <f ca="1">结果表!I118</f>
        <v>1868</v>
      </c>
    </row>
    <row r="5" spans="1:9" ht="30" customHeight="1">
      <c r="A5" s="3508" t="s">
        <v>1605</v>
      </c>
      <c r="B5" s="3508"/>
      <c r="C5" s="3508"/>
      <c r="D5" s="3509" t="str">
        <f ca="1">结果表!D119</f>
        <v>壹拾贰亿贰仟肆佰玖拾叁万元整</v>
      </c>
      <c r="E5" s="3509"/>
      <c r="F5" s="3509" t="str">
        <f ca="1">结果表!F119</f>
        <v>壹亿零玖佰肆拾贰万元整</v>
      </c>
      <c r="G5" s="3509"/>
      <c r="H5" s="3509" t="str">
        <f ca="1">结果表!H119</f>
        <v>壹拾叁亿叁仟肆佰叁拾伍万元整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8" t="s">
        <v>1605</v>
      </c>
      <c r="B7" s="3508"/>
      <c r="C7" s="3508"/>
      <c r="D7" s="3511" t="str">
        <f>结果表!D121</f>
        <v>零元整</v>
      </c>
      <c r="E7" s="3512"/>
      <c r="F7" s="3512"/>
      <c r="G7" s="3512"/>
      <c r="H7" s="3512"/>
      <c r="I7" s="3513"/>
    </row>
    <row r="8" spans="1:9" ht="15.75">
      <c r="A8" s="3510" t="str">
        <f>结果表!A122</f>
        <v>房地产抵押价值</v>
      </c>
      <c r="B8" s="3510"/>
      <c r="C8" s="3510"/>
      <c r="D8" s="3510">
        <f ca="1">结果表!D122</f>
        <v>133435</v>
      </c>
      <c r="E8" s="3510"/>
      <c r="F8" s="3510"/>
      <c r="G8" s="3510"/>
      <c r="H8" s="3510"/>
      <c r="I8" s="3510"/>
    </row>
    <row r="9" spans="1:9" ht="15">
      <c r="A9" s="3508" t="s">
        <v>1605</v>
      </c>
      <c r="B9" s="3508"/>
      <c r="C9" s="3508"/>
      <c r="D9" s="3509" t="str">
        <f ca="1">结果表!D123</f>
        <v>壹拾叁亿叁仟肆佰叁拾伍万元整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8" t="s">
        <v>1605</v>
      </c>
      <c r="B11" s="3508"/>
      <c r="C11" s="3508"/>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1605</v>
      </c>
      <c r="B13" s="3514"/>
      <c r="C13" s="3514"/>
      <c r="D13" s="3515" t="e">
        <f>结果表!D127</f>
        <v>#VALUE!</v>
      </c>
      <c r="E13" s="3515"/>
      <c r="F13" s="3515"/>
      <c r="G13" s="3515"/>
      <c r="H13" s="3515"/>
      <c r="I13" s="3515"/>
    </row>
    <row r="14" spans="1:9" ht="15" thickTop="1">
      <c r="A14" s="3516" t="s">
        <v>1610</v>
      </c>
      <c r="B14" s="3516"/>
      <c r="C14" s="3516"/>
      <c r="D14" s="3516"/>
      <c r="E14" s="3516"/>
      <c r="F14" s="3516"/>
      <c r="G14" s="3516"/>
      <c r="H14" s="3516"/>
      <c r="I14" s="351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2614</v>
      </c>
      <c r="B1" s="203"/>
      <c r="C1" s="207" t="s">
        <v>2615</v>
      </c>
      <c r="D1" s="348">
        <f>SUM(D29:D30,D33:D39)</f>
        <v>0</v>
      </c>
      <c r="E1" s="2182"/>
      <c r="F1" s="2182"/>
      <c r="G1" s="2182"/>
      <c r="H1" s="2182"/>
      <c r="I1" s="2182"/>
      <c r="J1" s="2182"/>
      <c r="K1" s="1279"/>
      <c r="L1" s="2183" t="s">
        <v>2616</v>
      </c>
      <c r="M1" s="993">
        <f>SUMPRODUCT((区片价!B5:B9=I2)*(区片价!C3:F3=E2)*(区片价!C5:F9))</f>
        <v>0</v>
      </c>
      <c r="N1" s="996">
        <f>SUMPRODUCT((因素修正幅度!B5:B9=I2)*(因素修正幅度!C3:F3=E2)*(因素修正幅度!C5:F9))</f>
        <v>0</v>
      </c>
      <c r="O1" s="2184"/>
      <c r="P1" s="2184"/>
      <c r="Q1" s="1279"/>
      <c r="R1" s="1373" t="s">
        <v>2617</v>
      </c>
      <c r="S1" s="1373" t="s">
        <v>2618</v>
      </c>
      <c r="T1" s="1373" t="s">
        <v>2619</v>
      </c>
      <c r="U1" s="1373" t="s">
        <v>2620</v>
      </c>
      <c r="V1" s="1373" t="s">
        <v>2621</v>
      </c>
      <c r="W1" s="1377"/>
      <c r="X1" s="1377"/>
      <c r="Y1" s="1377"/>
      <c r="Z1" s="1377"/>
      <c r="AA1" s="1377"/>
      <c r="AB1" s="1377"/>
      <c r="AC1" s="1378"/>
      <c r="AD1" s="1379"/>
      <c r="AE1" s="1379"/>
      <c r="AF1" s="1379"/>
      <c r="AG1" s="1379"/>
      <c r="AH1" s="1379"/>
      <c r="AI1" s="1379"/>
      <c r="AJ1" s="1380"/>
    </row>
    <row r="2" spans="1:36" ht="15.75">
      <c r="A2" s="207" t="s">
        <v>2622</v>
      </c>
      <c r="B2" s="210" t="e">
        <f>C26</f>
        <v>#DIV/0!</v>
      </c>
      <c r="C2" s="2186" t="s">
        <v>2623</v>
      </c>
      <c r="D2" s="2187" t="s">
        <v>2624</v>
      </c>
      <c r="E2" s="2188"/>
      <c r="F2" s="2187" t="s">
        <v>2625</v>
      </c>
      <c r="G2" s="2189">
        <f>IF(E2="商业",项目基本情况!B37,IF(E2="办公",项目基本情况!C37,IF(E2="住宅",项目基本情况!D37,项目基本情况!E37)))</f>
        <v>0</v>
      </c>
      <c r="H2" s="2187" t="s">
        <v>2626</v>
      </c>
      <c r="I2" s="2189">
        <f>IF(E2="商业",项目基本情况!B38,IF(E2="办公",项目基本情况!C38,IF(E2="住宅",项目基本情况!D38,项目基本情况!E38)))</f>
        <v>0</v>
      </c>
      <c r="J2" s="2190"/>
      <c r="K2" s="1279"/>
      <c r="L2" s="2191" t="s">
        <v>2627</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2628</v>
      </c>
      <c r="B3" s="210" t="e">
        <f>ROUND(B2*10000/D1,0)</f>
        <v>#DIV/0!</v>
      </c>
      <c r="C3" s="2186" t="s">
        <v>2629</v>
      </c>
      <c r="D3" s="2187" t="s">
        <v>2630</v>
      </c>
      <c r="E3" s="2192"/>
      <c r="F3" s="2193" t="s">
        <v>2631</v>
      </c>
      <c r="G3" s="855">
        <f>IF(F3="宗地容积率",'数据-汇总表'!I4,IF(F3="估价对象容积率",'数据-汇总表'!I6,'数据-汇总表'!I7))</f>
        <v>2.09</v>
      </c>
      <c r="H3" s="175" t="s">
        <v>2632</v>
      </c>
      <c r="I3" s="881"/>
      <c r="J3" s="2190" t="s">
        <v>2633</v>
      </c>
      <c r="K3" s="1279"/>
      <c r="L3" s="2191" t="s">
        <v>2634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4082"/>
      <c r="B4" s="4083"/>
      <c r="C4" s="4083"/>
      <c r="D4" s="4084"/>
      <c r="E4" s="4084"/>
      <c r="F4" s="4084"/>
      <c r="G4" s="4084"/>
      <c r="H4" s="4084"/>
      <c r="I4" s="4084"/>
      <c r="J4" s="4085"/>
      <c r="K4" s="1279"/>
      <c r="L4" s="2191" t="s">
        <v>2635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2636</v>
      </c>
      <c r="C5" s="856" t="e">
        <f>ROUND(IF(E2="商业",C6*C7+C16,(IF(E2="住宅",C6*C12+C16,C6+C16))),0)</f>
        <v>#DIV/0!</v>
      </c>
      <c r="D5" s="1524" t="e">
        <f>ROUND(C6+C16,0)</f>
        <v>#DIV/0!</v>
      </c>
      <c r="E5" s="1524"/>
      <c r="F5" s="2196"/>
      <c r="G5" s="2197"/>
      <c r="H5" s="2197"/>
      <c r="I5" s="2197"/>
      <c r="J5" s="2198"/>
      <c r="K5" s="2199"/>
      <c r="L5" s="2191" t="s">
        <v>2637</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2638</v>
      </c>
      <c r="B6" s="2205" t="s">
        <v>2639</v>
      </c>
      <c r="C6" s="857">
        <f>SUMIF(L1:L12,G2,M1:M12)</f>
        <v>0</v>
      </c>
      <c r="D6" s="2206" t="s">
        <v>2640</v>
      </c>
      <c r="E6" s="2207"/>
      <c r="F6" s="2207"/>
      <c r="G6" s="2208"/>
      <c r="H6" s="2208"/>
      <c r="I6" s="2208"/>
      <c r="J6" s="2209"/>
      <c r="K6" s="1569"/>
      <c r="L6" s="2191" t="s">
        <v>2641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4063" t="str">
        <f>IF(E2="商业",IF(C8="不临58条商业街","",2),"")</f>
        <v/>
      </c>
      <c r="B7" s="2210" t="s">
        <v>2642</v>
      </c>
      <c r="C7" s="858" t="e">
        <f>IF(C8="不临58条商业街",1,ROUND(1+(1.6*E8+1.2*E9+0.8*E10+0.4*E11)*C9,4))</f>
        <v>#DIV/0!</v>
      </c>
      <c r="D7" s="2211" t="s">
        <v>2643</v>
      </c>
      <c r="E7" s="882"/>
      <c r="F7" s="2212"/>
      <c r="G7" s="2213"/>
      <c r="H7" s="2213"/>
      <c r="I7" s="2213"/>
      <c r="J7" s="2214"/>
      <c r="K7" s="1569"/>
      <c r="L7" s="2191" t="s">
        <v>2644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2645</v>
      </c>
      <c r="X7" s="1375">
        <f>G2</f>
        <v>0</v>
      </c>
      <c r="Y7" s="1375" t="s">
        <v>2646</v>
      </c>
      <c r="Z7" s="1376">
        <f>G3</f>
        <v>2.09</v>
      </c>
      <c r="AA7" s="1377"/>
      <c r="AB7" s="1377"/>
      <c r="AC7" s="1378"/>
      <c r="AD7" s="1379"/>
      <c r="AE7" s="1379"/>
      <c r="AF7" s="1379"/>
      <c r="AG7" s="1379"/>
      <c r="AH7" s="1379"/>
      <c r="AI7" s="1379"/>
      <c r="AJ7" s="1380"/>
    </row>
    <row r="8" spans="1:36" ht="15">
      <c r="A8" s="4086"/>
      <c r="B8" s="175" t="s">
        <v>2647</v>
      </c>
      <c r="C8" s="2215"/>
      <c r="D8" s="859" t="s">
        <v>139</v>
      </c>
      <c r="E8" s="860" t="e">
        <f>ROUND(C11/E7,4)</f>
        <v>#DIV/0!</v>
      </c>
      <c r="F8" s="2216" t="s">
        <v>2648</v>
      </c>
      <c r="G8" s="2217"/>
      <c r="H8" s="2217"/>
      <c r="I8" s="2217"/>
      <c r="J8" s="2218"/>
      <c r="K8" s="1279"/>
      <c r="L8" s="2191" t="s">
        <v>2649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4079" t="s">
        <v>2650</v>
      </c>
      <c r="X8" s="4080"/>
      <c r="Y8" s="1381" t="s">
        <v>2651</v>
      </c>
      <c r="Z8" s="1381" t="s">
        <v>2652</v>
      </c>
      <c r="AA8" s="1381" t="s">
        <v>2653</v>
      </c>
      <c r="AB8" s="1381" t="s">
        <v>2654</v>
      </c>
      <c r="AC8" s="1381" t="s">
        <v>2655</v>
      </c>
      <c r="AD8" s="1381" t="s">
        <v>2656</v>
      </c>
      <c r="AE8" s="1381" t="s">
        <v>2657</v>
      </c>
      <c r="AF8" s="1381" t="s">
        <v>2658</v>
      </c>
      <c r="AG8" s="1381" t="s">
        <v>2659</v>
      </c>
      <c r="AH8" s="1381" t="s">
        <v>2660</v>
      </c>
      <c r="AI8" s="1381" t="s">
        <v>2661</v>
      </c>
      <c r="AJ8" s="1381" t="s">
        <v>2662</v>
      </c>
    </row>
    <row r="9" spans="1:36" ht="15">
      <c r="A9" s="4086"/>
      <c r="B9" s="175" t="s">
        <v>2663</v>
      </c>
      <c r="C9" s="861">
        <f>SUMIF(修正!C59:C119,C8,修正!E59:E119)</f>
        <v>0</v>
      </c>
      <c r="D9" s="176" t="s">
        <v>140</v>
      </c>
      <c r="E9" s="176" t="e">
        <f>ROUND(C11/E7,4)</f>
        <v>#DIV/0!</v>
      </c>
      <c r="F9" s="2216" t="s">
        <v>2664</v>
      </c>
      <c r="G9" s="2217"/>
      <c r="H9" s="2217"/>
      <c r="I9" s="2217"/>
      <c r="J9" s="2218"/>
      <c r="K9" s="1279"/>
      <c r="L9" s="2191" t="s">
        <v>2665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4081" t="s">
        <v>2666</v>
      </c>
      <c r="X9" s="1382" t="s">
        <v>2667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4086"/>
      <c r="B10" s="175" t="s">
        <v>2668</v>
      </c>
      <c r="C10" s="176">
        <f>SUMIF(修正!C59:C119,C8,修正!F59:F119)</f>
        <v>0</v>
      </c>
      <c r="D10" s="176" t="s">
        <v>141</v>
      </c>
      <c r="E10" s="176" t="e">
        <f>ROUND(C11/E7,4)</f>
        <v>#DIV/0!</v>
      </c>
      <c r="F10" s="2216" t="s">
        <v>2669</v>
      </c>
      <c r="G10" s="2217"/>
      <c r="H10" s="2217"/>
      <c r="I10" s="2217"/>
      <c r="J10" s="2218"/>
      <c r="K10" s="1279"/>
      <c r="L10" s="2191" t="s">
        <v>2670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408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4086"/>
      <c r="B11" s="2219" t="s">
        <v>2671</v>
      </c>
      <c r="C11" s="862">
        <f>C10/4</f>
        <v>0</v>
      </c>
      <c r="D11" s="862" t="s">
        <v>142</v>
      </c>
      <c r="E11" s="862" t="e">
        <f>ROUND(C11/E7,4)</f>
        <v>#DIV/0!</v>
      </c>
      <c r="F11" s="2220" t="s">
        <v>2672</v>
      </c>
      <c r="G11" s="2221"/>
      <c r="H11" s="2221"/>
      <c r="I11" s="2221"/>
      <c r="J11" s="2222"/>
      <c r="K11" s="1279"/>
      <c r="L11" s="2191" t="s">
        <v>2673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4081" t="s">
        <v>2674</v>
      </c>
      <c r="X11" s="1385" t="s">
        <v>2675</v>
      </c>
      <c r="Y11" s="1386">
        <f>$G$3</f>
        <v>2.09</v>
      </c>
      <c r="Z11" s="1386">
        <f t="shared" ref="Z11:AJ11" si="3">$G$3</f>
        <v>2.09</v>
      </c>
      <c r="AA11" s="1386">
        <f t="shared" si="3"/>
        <v>2.09</v>
      </c>
      <c r="AB11" s="1386">
        <f t="shared" si="3"/>
        <v>2.09</v>
      </c>
      <c r="AC11" s="1386">
        <f t="shared" si="3"/>
        <v>2.09</v>
      </c>
      <c r="AD11" s="1386">
        <f t="shared" si="3"/>
        <v>2.09</v>
      </c>
      <c r="AE11" s="1386">
        <f t="shared" si="3"/>
        <v>2.09</v>
      </c>
      <c r="AF11" s="1386">
        <f t="shared" si="3"/>
        <v>2.09</v>
      </c>
      <c r="AG11" s="1386">
        <f t="shared" si="3"/>
        <v>2.09</v>
      </c>
      <c r="AH11" s="1386">
        <f t="shared" si="3"/>
        <v>2.09</v>
      </c>
      <c r="AI11" s="1386">
        <f t="shared" si="3"/>
        <v>2.09</v>
      </c>
      <c r="AJ11" s="1386">
        <f t="shared" si="3"/>
        <v>2.09</v>
      </c>
    </row>
    <row r="12" spans="1:36" ht="25.5" thickBot="1">
      <c r="A12" s="4063" t="s">
        <v>2676</v>
      </c>
      <c r="B12" s="2223" t="s">
        <v>2677</v>
      </c>
      <c r="C12" s="858">
        <f>ROUND(C15*D15*E15*F15*G15*H15*I15*J15,4)</f>
        <v>1</v>
      </c>
      <c r="D12" s="2224" t="s">
        <v>2678</v>
      </c>
      <c r="E12" s="2225"/>
      <c r="F12" s="2225"/>
      <c r="G12" s="2226"/>
      <c r="H12" s="2226"/>
      <c r="I12" s="2226"/>
      <c r="J12" s="2227"/>
      <c r="K12" s="1279"/>
      <c r="L12" s="2228" t="s">
        <v>2679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4081"/>
      <c r="X12" s="1387" t="s">
        <v>2680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4087"/>
      <c r="B13" s="2229" t="s">
        <v>2681</v>
      </c>
      <c r="C13" s="2230" t="s">
        <v>2682</v>
      </c>
      <c r="D13" s="1535" t="s">
        <v>2683</v>
      </c>
      <c r="E13" s="1535" t="s">
        <v>2684</v>
      </c>
      <c r="F13" s="30" t="s">
        <v>2685</v>
      </c>
      <c r="G13" s="2231" t="s">
        <v>2686</v>
      </c>
      <c r="H13" s="2231" t="s">
        <v>2686</v>
      </c>
      <c r="I13" s="2231" t="s">
        <v>2686</v>
      </c>
      <c r="J13" s="2232" t="s">
        <v>2686</v>
      </c>
      <c r="K13" s="1279"/>
      <c r="L13" s="1279"/>
      <c r="M13" s="1279"/>
      <c r="N13" s="1279"/>
      <c r="O13" s="1279"/>
      <c r="P13" s="1279"/>
      <c r="Q13" s="1279"/>
      <c r="R13" s="1373">
        <v>12</v>
      </c>
      <c r="S13" s="1374"/>
      <c r="T13" s="1373" t="e">
        <f t="shared" si="0"/>
        <v>#DIV/0!</v>
      </c>
      <c r="U13" s="1374"/>
      <c r="V13" s="1373" t="e">
        <f t="shared" si="1"/>
        <v>#DIV/0!</v>
      </c>
      <c r="W13" s="4081"/>
      <c r="X13" s="1387"/>
      <c r="Y13" s="1384">
        <f>(-0.163*(Y12^2)-0.59*Y12+7617)*(10^(-4))/Y11</f>
        <v>0.3644497607655503</v>
      </c>
      <c r="Z13" s="1384">
        <f t="shared" ref="Z13:AJ13" si="5">(-0.163*(Z12^2)-0.59*Z12+7617)*(10^(-4))/Z11</f>
        <v>0.3644497607655503</v>
      </c>
      <c r="AA13" s="1384">
        <f t="shared" si="5"/>
        <v>0.3644497607655503</v>
      </c>
      <c r="AB13" s="1384">
        <f t="shared" si="5"/>
        <v>0.3644497607655503</v>
      </c>
      <c r="AC13" s="1384">
        <f t="shared" si="5"/>
        <v>0.3644497607655503</v>
      </c>
      <c r="AD13" s="1384">
        <f t="shared" si="5"/>
        <v>0.3644497607655503</v>
      </c>
      <c r="AE13" s="1384">
        <f t="shared" si="5"/>
        <v>0.3644497607655503</v>
      </c>
      <c r="AF13" s="1384">
        <f t="shared" si="5"/>
        <v>0.3644497607655503</v>
      </c>
      <c r="AG13" s="1384">
        <f t="shared" si="5"/>
        <v>0.3644497607655503</v>
      </c>
      <c r="AH13" s="1384">
        <f t="shared" si="5"/>
        <v>0.3644497607655503</v>
      </c>
      <c r="AI13" s="1384">
        <f t="shared" si="5"/>
        <v>0.3644497607655503</v>
      </c>
      <c r="AJ13" s="1384">
        <f t="shared" si="5"/>
        <v>0.3644497607655503</v>
      </c>
    </row>
    <row r="14" spans="1:36" ht="15">
      <c r="A14" s="4087"/>
      <c r="B14" s="2233"/>
      <c r="C14" s="2234"/>
      <c r="D14" s="2235"/>
      <c r="E14" s="2235"/>
      <c r="F14" s="2236"/>
      <c r="G14" s="2237" t="s">
        <v>2687</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thickBot="1">
      <c r="A15" s="4088"/>
      <c r="B15" s="2241" t="s">
        <v>2688</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4063" t="s">
        <v>2693</v>
      </c>
      <c r="B16" s="2210" t="s">
        <v>2694</v>
      </c>
      <c r="C16" s="2372" t="e">
        <f>ROUND(IF(F17="与级别开发程度一致",0,(G17-E17)/C17),0)</f>
        <v>#DIV/0!</v>
      </c>
      <c r="D16" s="4076" t="s">
        <v>2698</v>
      </c>
      <c r="E16" s="4077"/>
      <c r="F16" s="4076" t="s">
        <v>2695</v>
      </c>
      <c r="G16" s="4077"/>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13.5" thickBot="1">
      <c r="A17" s="4064"/>
      <c r="B17" s="2383" t="s">
        <v>2697</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2700</v>
      </c>
      <c r="C18" s="2379">
        <f>SUMIF(修正!C18:C39,E3,修正!E18:E39)</f>
        <v>0</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7.75" thickBot="1">
      <c r="A19" s="2247" t="s">
        <v>809</v>
      </c>
      <c r="B19" s="2248" t="s">
        <v>2701</v>
      </c>
      <c r="C19" s="863" t="e">
        <f>ROUND(IF(H19="按公示增长率计算",SUMPRODUCT((地价!A3:A32=YEAR(G19)&amp;"-"&amp;ROUNDUP(MONTH(G19)/3,0))*(地价!X2:AB2=E2)*(地价!X3:AB32)),IF(H19="地价指数",M20/M19,(1+I19)^O19)),4)</f>
        <v>#VALUE!</v>
      </c>
      <c r="D19" s="2252" t="s">
        <v>2702</v>
      </c>
      <c r="E19" s="864">
        <v>41640</v>
      </c>
      <c r="F19" s="2252" t="s">
        <v>2703</v>
      </c>
      <c r="G19" s="865">
        <f>'数据-取费表'!B2</f>
        <v>44186</v>
      </c>
      <c r="H19" s="2253"/>
      <c r="I19" s="866" t="str">
        <f>IF(H19="季度增幅（自定义）",SUMIF(N21:N24,E2,O21:O24),"")</f>
        <v/>
      </c>
      <c r="J19" s="2250"/>
      <c r="K19" s="1286"/>
      <c r="L19" s="2254" t="s">
        <v>2704</v>
      </c>
      <c r="M19" s="1497">
        <f>ROUND(SUMIF(地价!B2:F2,E2,地价!B32:F32),0)</f>
        <v>0</v>
      </c>
      <c r="N19" s="2255" t="s">
        <v>2705</v>
      </c>
      <c r="O19" s="867">
        <f>ROUNDDOWN(DATEDIF(E19,G19,"M")/3,0)</f>
        <v>27</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2706</v>
      </c>
      <c r="C20" s="868" t="e">
        <f>ROUND(POWER(1+G20,J20-I20)*(POWER(1+G20,I20)-1)/(POWER(1+G20,J20)-1),4)</f>
        <v>#DIV/0!</v>
      </c>
      <c r="D20" s="2259" t="s">
        <v>2707</v>
      </c>
      <c r="E20" s="1506">
        <f ca="1">存贷款利率!D4/100</f>
        <v>4.3499999999999997E-2</v>
      </c>
      <c r="F20" s="2259" t="s">
        <v>2699</v>
      </c>
      <c r="G20" s="873">
        <f>SUMIF(M26:P26,E2,M28:P28)</f>
        <v>0</v>
      </c>
      <c r="H20" s="2259" t="s">
        <v>2708</v>
      </c>
      <c r="I20" s="874" t="e">
        <f>SUMIF('数据-取费表'!C6:C15,E2,'数据-取费表'!F6:F15)/COUNTIF('数据-取费表'!C6:C15,E2)</f>
        <v>#DIV/0!</v>
      </c>
      <c r="J20" s="875">
        <f>IF(E2="住宅",70,IF(E2="商业",40,50))</f>
        <v>50</v>
      </c>
      <c r="K20" s="1286"/>
      <c r="L20" s="2260" t="s">
        <v>2709</v>
      </c>
      <c r="M20" s="1498">
        <f>ROUND(SUMPRODUCT((地价!A4:A32=YEAR(G19)&amp;"-"&amp;ROUNDUP(MONTH(G19)/3,0))*(地价!B2:F2=E2)*(地价!B4:F32)),0)</f>
        <v>0</v>
      </c>
      <c r="N20" s="2261" t="s">
        <v>2710</v>
      </c>
      <c r="O20" s="2262" t="s">
        <v>2711</v>
      </c>
      <c r="P20" s="2263" t="s">
        <v>2712</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2713</v>
      </c>
      <c r="C21" s="876">
        <f>IF(B21="容积率修正",IF(G3&lt;=10,D22,J22),C23)</f>
        <v>0</v>
      </c>
      <c r="D21" s="2266"/>
      <c r="E21" s="2266"/>
      <c r="F21" s="2266"/>
      <c r="G21" s="2266"/>
      <c r="H21" s="2266"/>
      <c r="I21" s="2266"/>
      <c r="J21" s="2267"/>
      <c r="K21" s="1286"/>
      <c r="L21" s="3016"/>
      <c r="M21" s="3016"/>
      <c r="N21" s="2268" t="s">
        <v>2714</v>
      </c>
      <c r="O21" s="1334"/>
      <c r="P21" s="1335">
        <f>SUMPRODUCT((地价!A3:A32=YEAR(G19)&amp;"-"&amp;ROUNDUP(MONTH(G19)/3,0))*(地价!AD2:AH2=N21)*(地价!AD3:AH32))</f>
        <v>1.14E-2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2715</v>
      </c>
      <c r="B22" s="2269" t="s">
        <v>2716</v>
      </c>
      <c r="C22" s="1537" t="s">
        <v>2717</v>
      </c>
      <c r="D22" s="1537">
        <f>IF(E22=G22,F22,IF(G3&lt;=10,ROUND(F22+(H22-F22)*(G3-E22)/(G22-E22),4),"——"))</f>
        <v>0</v>
      </c>
      <c r="E22" s="855">
        <f>ROUNDDOWN(G3,1)</f>
        <v>2</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6"/>
      <c r="L22" s="3016"/>
      <c r="M22" s="3016"/>
      <c r="N22" s="2268" t="s">
        <v>2718</v>
      </c>
      <c r="O22" s="1334"/>
      <c r="P22" s="1335">
        <f>SUMPRODUCT((地价!A3:A32=YEAR(G19)&amp;"-"&amp;ROUNDUP(MONTH(G19)/3,0))*(地价!AD2:AH2=N22)*(地价!AD3:AH32))</f>
        <v>1.14E-2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2719</v>
      </c>
      <c r="B23" s="2270" t="s">
        <v>2720</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2721</v>
      </c>
      <c r="O23" s="1334"/>
      <c r="P23" s="1335">
        <f>SUMPRODUCT((地价!A3:A32=YEAR(G19)&amp;"-"&amp;ROUNDUP(MONTH(G19)/3,0))*(地价!AD2:AH2=N23)*(地价!AD3:AH32))</f>
        <v>1.9199999999999998E-2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2722</v>
      </c>
      <c r="C24" s="863">
        <f>SUMIF(A45:A88,E2,B45:B88)</f>
        <v>0</v>
      </c>
      <c r="D24" s="2249"/>
      <c r="E24" s="2276"/>
      <c r="F24" s="2276"/>
      <c r="G24" s="2276"/>
      <c r="H24" s="2276"/>
      <c r="I24" s="2276"/>
      <c r="J24" s="2277"/>
      <c r="K24" s="1286"/>
      <c r="L24" s="3016"/>
      <c r="M24" s="3016"/>
      <c r="N24" s="2278" t="s">
        <v>2723</v>
      </c>
      <c r="O24" s="1336"/>
      <c r="P24" s="1337">
        <f>SUMPRODUCT((地价!A3:A32=YEAR(G19)&amp;"-"&amp;ROUNDUP(MONTH(G19)/3,0))*(地价!AD2:AH2=N24)*(地价!AD3:AH32))</f>
        <v>1.23E-2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2724</v>
      </c>
      <c r="C25" s="869"/>
      <c r="D25" s="2213"/>
      <c r="E25" s="2213"/>
      <c r="F25" s="2280"/>
      <c r="G25" s="2213"/>
      <c r="H25" s="2213"/>
      <c r="I25" s="2213"/>
      <c r="J25" s="2214"/>
      <c r="K25" s="1279"/>
      <c r="L25" s="2184"/>
      <c r="M25" s="2184"/>
      <c r="N25" s="3011" t="s">
        <v>2725</v>
      </c>
      <c r="O25" s="3012"/>
      <c r="P25" s="3013">
        <f>SUMPRODUCT((地价!A3:A32=YEAR(G19)&amp;"-"&amp;ROUNDUP(MONTH(G19)/3,0))*(地价!AD2:AH2=N25)*(地价!AD3:AH32))</f>
        <v>1.7399999999999999E-2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2726</v>
      </c>
      <c r="C26" s="2543" t="e">
        <f>IF(B21="容积率修正",E29+SUM(E33:E39),SUM(V2:V16)+SUM(E33:E39))</f>
        <v>#DIV/0!</v>
      </c>
      <c r="D26" s="2282"/>
      <c r="E26" s="2238"/>
      <c r="F26" s="2283"/>
      <c r="G26" s="2238"/>
      <c r="H26" s="2238"/>
      <c r="I26" s="2238"/>
      <c r="J26" s="2284"/>
      <c r="K26" s="1279"/>
      <c r="L26" s="3014" t="s">
        <v>2624</v>
      </c>
      <c r="M26" s="2211" t="s">
        <v>2689</v>
      </c>
      <c r="N26" s="2211" t="s">
        <v>2690</v>
      </c>
      <c r="O26" s="2211" t="s">
        <v>2691</v>
      </c>
      <c r="P26" s="3015" t="s">
        <v>2692</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2727</v>
      </c>
      <c r="C27" s="870" t="e">
        <f>E30+SUM(I33:I39)</f>
        <v>#DIV/0!</v>
      </c>
      <c r="D27" s="2286"/>
      <c r="E27" s="2287"/>
      <c r="F27" s="2288"/>
      <c r="G27" s="2287"/>
      <c r="H27" s="2287"/>
      <c r="I27" s="2287"/>
      <c r="J27" s="2289"/>
      <c r="K27" s="1279"/>
      <c r="L27" s="2244" t="s">
        <v>2696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2728</v>
      </c>
      <c r="C28" s="2292" t="s">
        <v>2729</v>
      </c>
      <c r="D28" s="2292" t="s">
        <v>2730</v>
      </c>
      <c r="E28" s="2293" t="s">
        <v>2731</v>
      </c>
      <c r="F28" s="2294"/>
      <c r="G28" s="2226"/>
      <c r="H28" s="2226"/>
      <c r="I28" s="2226"/>
      <c r="J28" s="2227"/>
      <c r="K28" s="1279"/>
      <c r="L28" s="2245" t="s">
        <v>2699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2732</v>
      </c>
      <c r="C29" s="180" t="e">
        <f>ROUND(C5*C18*C19*C20*C21*C24,0)</f>
        <v>#DIV/0!</v>
      </c>
      <c r="D29" s="2297"/>
      <c r="E29" s="879" t="e">
        <f>ROUND(C29*D29/10000,0)</f>
        <v>#DIV/0!</v>
      </c>
      <c r="F29" s="2298" t="s">
        <v>2733</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2734</v>
      </c>
      <c r="C30" s="193" t="e">
        <f>ROUND(IF(E2="工业",C29*M39,C29*M38),0)</f>
        <v>#DIV/0!</v>
      </c>
      <c r="D30" s="2303"/>
      <c r="E30" s="879" t="e">
        <f>ROUND(C30*D30/10000,0)</f>
        <v>#DIV/0!</v>
      </c>
      <c r="F30" s="2304" t="s">
        <v>2735</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2736</v>
      </c>
      <c r="C31" s="2309" t="s">
        <v>2737</v>
      </c>
      <c r="D31" s="2226"/>
      <c r="E31" s="2309"/>
      <c r="F31" s="2309"/>
      <c r="G31" s="2224" t="s">
        <v>2738</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2729</v>
      </c>
      <c r="D32" s="455" t="s">
        <v>2730</v>
      </c>
      <c r="E32" s="455" t="s">
        <v>2731</v>
      </c>
      <c r="F32" s="348" t="s">
        <v>2739</v>
      </c>
      <c r="G32" s="2312" t="s">
        <v>2729</v>
      </c>
      <c r="H32" s="2312" t="s">
        <v>2730</v>
      </c>
      <c r="I32" s="2312" t="s">
        <v>2731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4073"/>
      <c r="B33" s="2313" t="s">
        <v>2740</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4078" t="s">
        <v>3042</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4074"/>
      <c r="B34" s="2230" t="s">
        <v>2741</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7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4074"/>
      <c r="B35" s="2230" t="s">
        <v>2742</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407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4075"/>
      <c r="B36" s="2230" t="s">
        <v>2743</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4075"/>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2744</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79"/>
      <c r="L37" s="2316" t="s">
        <v>2745</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2746</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79"/>
      <c r="L38" s="1606" t="s">
        <v>2747</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2748</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79"/>
      <c r="L39" s="2321" t="s">
        <v>2692</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2853</v>
      </c>
      <c r="C41" s="348" t="e">
        <f>ROUND(POWER(1+E41,H41-G41)*(POWER(1+E41,G41)-1)/(POWER(1+E41,H41)-1),4)</f>
        <v>#DIV/0!</v>
      </c>
      <c r="D41" s="176" t="s">
        <v>2699</v>
      </c>
      <c r="E41" s="2370">
        <f>G20</f>
        <v>0</v>
      </c>
      <c r="F41" s="176" t="s">
        <v>2708</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2749</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2750</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2751</v>
      </c>
      <c r="B47" s="1536" t="s">
        <v>2752</v>
      </c>
      <c r="C47" s="1536" t="s">
        <v>2753</v>
      </c>
      <c r="D47" s="1536" t="s">
        <v>2754</v>
      </c>
      <c r="E47" s="758" t="s">
        <v>2755</v>
      </c>
      <c r="F47" s="2331" t="s">
        <v>2756</v>
      </c>
      <c r="G47" s="1536" t="s">
        <v>754</v>
      </c>
      <c r="H47" s="2332" t="s">
        <v>2757</v>
      </c>
      <c r="I47" s="1536" t="s">
        <v>2758</v>
      </c>
      <c r="J47" s="560" t="s">
        <v>2407</v>
      </c>
      <c r="K47" s="560" t="s">
        <v>2408</v>
      </c>
      <c r="L47" s="560" t="s">
        <v>2409</v>
      </c>
      <c r="M47" s="560" t="s">
        <v>2410</v>
      </c>
      <c r="N47" s="560" t="s">
        <v>2411</v>
      </c>
      <c r="AA47" s="1280"/>
      <c r="AB47" s="1280"/>
      <c r="AC47" s="1280"/>
      <c r="AD47" s="1280"/>
      <c r="AE47" s="1280"/>
      <c r="AF47" s="1280"/>
      <c r="AG47" s="1280"/>
      <c r="AH47" s="1280"/>
      <c r="AI47" s="1280"/>
      <c r="AJ47" s="1280"/>
      <c r="AK47" s="1280"/>
    </row>
    <row r="48" spans="1:37" s="1279" customFormat="1" ht="24.75">
      <c r="A48" s="2330" t="s">
        <v>2759</v>
      </c>
      <c r="B48" s="2333" t="str">
        <f>估价对象房地状况!C4</f>
        <v>较差</v>
      </c>
      <c r="C48" s="2235"/>
      <c r="D48" s="1195">
        <f t="shared" ref="D48:D56" si="10">SUMIF($J$47:$N$47,C48,J48:N48)</f>
        <v>0</v>
      </c>
      <c r="E48" s="760">
        <f>ROUND(SUM(D48:D56),4)</f>
        <v>0</v>
      </c>
      <c r="F48" s="2001"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30" t="s">
        <v>2760</v>
      </c>
      <c r="B49" s="2334" t="str">
        <f>估价对象房地状况!C18</f>
        <v>较差</v>
      </c>
      <c r="C49" s="2235"/>
      <c r="D49" s="1195">
        <f t="shared" si="10"/>
        <v>0</v>
      </c>
      <c r="E49" s="761"/>
      <c r="F49" s="2001"/>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2761</v>
      </c>
      <c r="B50" s="2334" t="str">
        <f>估价对象房地状况!C19</f>
        <v>一般</v>
      </c>
      <c r="C50" s="2235"/>
      <c r="D50" s="1195">
        <f t="shared" si="10"/>
        <v>0</v>
      </c>
      <c r="E50" s="761"/>
      <c r="F50" s="2001"/>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2762</v>
      </c>
      <c r="B51" s="2335" t="s">
        <v>2763</v>
      </c>
      <c r="C51" s="2235"/>
      <c r="D51" s="1195">
        <f t="shared" si="10"/>
        <v>0</v>
      </c>
      <c r="E51" s="761"/>
      <c r="F51" s="2001"/>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2764</v>
      </c>
      <c r="B52" s="2334">
        <f>估价对象房地状况!C24</f>
        <v>0</v>
      </c>
      <c r="C52" s="2235"/>
      <c r="D52" s="1195">
        <f t="shared" si="10"/>
        <v>0</v>
      </c>
      <c r="E52" s="761"/>
      <c r="F52" s="2001"/>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2765</v>
      </c>
      <c r="B53" s="2336" t="s">
        <v>2766</v>
      </c>
      <c r="C53" s="2235"/>
      <c r="D53" s="1195">
        <f t="shared" si="10"/>
        <v>0</v>
      </c>
      <c r="E53" s="761"/>
      <c r="F53" s="2001"/>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7" t="s">
        <v>2767</v>
      </c>
      <c r="B54" s="1495" t="str">
        <f>估价对象房地状况!C21</f>
        <v>较差</v>
      </c>
      <c r="C54" s="2235"/>
      <c r="D54" s="1195">
        <f t="shared" si="10"/>
        <v>0</v>
      </c>
      <c r="E54" s="761"/>
      <c r="F54" s="2001"/>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7" t="s">
        <v>2768</v>
      </c>
      <c r="B55" s="2334" t="str">
        <f>估价对象房地状况!C22</f>
        <v>七通</v>
      </c>
      <c r="C55" s="2235"/>
      <c r="D55" s="1195">
        <f t="shared" si="10"/>
        <v>0</v>
      </c>
      <c r="E55" s="761"/>
      <c r="F55" s="2001"/>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8" t="s">
        <v>2769</v>
      </c>
      <c r="B56" s="2339" t="str">
        <f>估价对象房地状况!C20</f>
        <v>一般</v>
      </c>
      <c r="C56" s="2235"/>
      <c r="D56" s="1195">
        <f t="shared" si="10"/>
        <v>0</v>
      </c>
      <c r="E56" s="764"/>
      <c r="F56" s="2001"/>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2770</v>
      </c>
      <c r="B57" s="2327">
        <f>1+E59</f>
        <v>1</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2751</v>
      </c>
      <c r="B58" s="1536"/>
      <c r="C58" s="1536" t="s">
        <v>2753</v>
      </c>
      <c r="D58" s="1536" t="s">
        <v>2754</v>
      </c>
      <c r="E58" s="758" t="s">
        <v>2755</v>
      </c>
      <c r="F58" s="2331" t="s">
        <v>2771</v>
      </c>
      <c r="G58" s="1536" t="s">
        <v>754</v>
      </c>
      <c r="H58" s="2332" t="s">
        <v>2757</v>
      </c>
      <c r="I58" s="1536" t="s">
        <v>2758</v>
      </c>
      <c r="J58" s="560" t="s">
        <v>2407</v>
      </c>
      <c r="K58" s="560" t="s">
        <v>2408</v>
      </c>
      <c r="L58" s="560" t="s">
        <v>2409</v>
      </c>
      <c r="M58" s="560" t="s">
        <v>2410</v>
      </c>
      <c r="N58" s="560" t="s">
        <v>2411</v>
      </c>
      <c r="AA58" s="1280"/>
      <c r="AB58" s="1280"/>
      <c r="AC58" s="1280"/>
      <c r="AD58" s="1280"/>
      <c r="AE58" s="1280"/>
      <c r="AF58" s="1280"/>
      <c r="AG58" s="1280"/>
      <c r="AH58" s="1280"/>
      <c r="AI58" s="1280"/>
      <c r="AJ58" s="1280"/>
      <c r="AK58" s="1280"/>
    </row>
    <row r="59" spans="1:37" s="1279" customFormat="1" ht="24">
      <c r="A59" s="2330" t="s">
        <v>2772</v>
      </c>
      <c r="B59" s="2333" t="str">
        <f>估价对象房地状况!C17</f>
        <v>较差</v>
      </c>
      <c r="C59" s="2235"/>
      <c r="D59" s="1195">
        <f t="shared" ref="D59:D67" si="15">SUMIF($J$58:$N$58,C59,J59:N59)</f>
        <v>0</v>
      </c>
      <c r="E59" s="760">
        <f>ROUND(SUM(D59:D67),4)</f>
        <v>0</v>
      </c>
      <c r="F59" s="2001"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2760</v>
      </c>
      <c r="B60" s="2334" t="str">
        <f>估价对象房地状况!C18</f>
        <v>较差</v>
      </c>
      <c r="C60" s="2235"/>
      <c r="D60" s="1195">
        <f t="shared" si="15"/>
        <v>0</v>
      </c>
      <c r="E60" s="761"/>
      <c r="F60" s="2001"/>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2761</v>
      </c>
      <c r="B61" s="2334" t="str">
        <f>估价对象房地状况!C19</f>
        <v>一般</v>
      </c>
      <c r="C61" s="2235"/>
      <c r="D61" s="1195">
        <f t="shared" si="15"/>
        <v>0</v>
      </c>
      <c r="E61" s="761"/>
      <c r="F61" s="2001"/>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2762</v>
      </c>
      <c r="B62" s="2335" t="s">
        <v>2763</v>
      </c>
      <c r="C62" s="2235"/>
      <c r="D62" s="1195">
        <f t="shared" si="15"/>
        <v>0</v>
      </c>
      <c r="E62" s="761"/>
      <c r="F62" s="2001"/>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2764</v>
      </c>
      <c r="B63" s="2334">
        <f>估价对象房地状况!C24</f>
        <v>0</v>
      </c>
      <c r="C63" s="2235"/>
      <c r="D63" s="1195">
        <f t="shared" si="15"/>
        <v>0</v>
      </c>
      <c r="E63" s="761"/>
      <c r="F63" s="2001"/>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2765</v>
      </c>
      <c r="B64" s="2336" t="s">
        <v>2766</v>
      </c>
      <c r="C64" s="2235"/>
      <c r="D64" s="1195">
        <f t="shared" si="15"/>
        <v>0</v>
      </c>
      <c r="E64" s="761"/>
      <c r="F64" s="2001"/>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2767</v>
      </c>
      <c r="B65" s="1495" t="str">
        <f>估价对象房地状况!C21</f>
        <v>较差</v>
      </c>
      <c r="C65" s="2235"/>
      <c r="D65" s="1195">
        <f t="shared" si="15"/>
        <v>0</v>
      </c>
      <c r="E65" s="761"/>
      <c r="F65" s="2001"/>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2768</v>
      </c>
      <c r="B66" s="1495" t="str">
        <f>估价对象房地状况!C22</f>
        <v>七通</v>
      </c>
      <c r="C66" s="2235"/>
      <c r="D66" s="1195">
        <f t="shared" si="15"/>
        <v>0</v>
      </c>
      <c r="E66" s="761"/>
      <c r="F66" s="2001"/>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2769</v>
      </c>
      <c r="B67" s="2340" t="str">
        <f>估价对象房地状况!C20</f>
        <v>一般</v>
      </c>
      <c r="C67" s="2235"/>
      <c r="D67" s="1195">
        <f t="shared" si="15"/>
        <v>0</v>
      </c>
      <c r="E67" s="764"/>
      <c r="F67" s="2001"/>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2773</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2751</v>
      </c>
      <c r="B69" s="1536"/>
      <c r="C69" s="1536" t="s">
        <v>2753</v>
      </c>
      <c r="D69" s="1536" t="s">
        <v>2754</v>
      </c>
      <c r="E69" s="758" t="s">
        <v>2755</v>
      </c>
      <c r="F69" s="2331" t="s">
        <v>2771</v>
      </c>
      <c r="G69" s="1536" t="s">
        <v>754</v>
      </c>
      <c r="H69" s="2332" t="s">
        <v>2757</v>
      </c>
      <c r="I69" s="1536" t="s">
        <v>2758</v>
      </c>
      <c r="J69" s="560" t="s">
        <v>2407</v>
      </c>
      <c r="K69" s="560" t="s">
        <v>2408</v>
      </c>
      <c r="L69" s="560" t="s">
        <v>2409</v>
      </c>
      <c r="M69" s="560" t="s">
        <v>2410</v>
      </c>
      <c r="N69" s="560" t="s">
        <v>2411</v>
      </c>
      <c r="AA69" s="1280"/>
      <c r="AB69" s="1280"/>
      <c r="AC69" s="1280"/>
      <c r="AD69" s="1280"/>
      <c r="AE69" s="1280"/>
      <c r="AF69" s="1280"/>
      <c r="AG69" s="1280"/>
      <c r="AH69" s="1280"/>
      <c r="AI69" s="1280"/>
      <c r="AJ69" s="1280"/>
      <c r="AK69" s="1280"/>
    </row>
    <row r="70" spans="1:37" s="1279" customFormat="1" ht="24">
      <c r="A70" s="2330" t="s">
        <v>2774</v>
      </c>
      <c r="B70" s="2333" t="str">
        <f>估价对象房地状况!C15</f>
        <v>较差</v>
      </c>
      <c r="C70" s="2235"/>
      <c r="D70" s="1195">
        <f t="shared" ref="D70:D78" si="20">SUMIF($J$69:$N$69,C70,J70:N70)</f>
        <v>0</v>
      </c>
      <c r="E70" s="760">
        <f>ROUND(SUM(D70:D78),4)</f>
        <v>0</v>
      </c>
      <c r="F70" s="2001"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2760</v>
      </c>
      <c r="B71" s="2334" t="str">
        <f>估价对象房地状况!C18</f>
        <v>较差</v>
      </c>
      <c r="C71" s="2235"/>
      <c r="D71" s="1195">
        <f t="shared" si="20"/>
        <v>0</v>
      </c>
      <c r="E71" s="765"/>
      <c r="F71" s="2001"/>
      <c r="G71" s="1193"/>
      <c r="H71" s="1197" t="str">
        <f t="shared" si="21"/>
        <v>——</v>
      </c>
      <c r="I71" s="759">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2761</v>
      </c>
      <c r="B72" s="2334" t="str">
        <f>估价对象房地状况!C19</f>
        <v>一般</v>
      </c>
      <c r="C72" s="2235"/>
      <c r="D72" s="1195">
        <f t="shared" si="20"/>
        <v>0</v>
      </c>
      <c r="E72" s="765"/>
      <c r="F72" s="2001"/>
      <c r="G72" s="1193"/>
      <c r="H72" s="1197" t="str">
        <f t="shared" si="21"/>
        <v>——</v>
      </c>
      <c r="I72" s="759">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2775</v>
      </c>
      <c r="B73" s="2334">
        <f>估价对象房地状况!C24</f>
        <v>0</v>
      </c>
      <c r="C73" s="2235"/>
      <c r="D73" s="1195">
        <f t="shared" si="20"/>
        <v>0</v>
      </c>
      <c r="E73" s="765"/>
      <c r="F73" s="2001"/>
      <c r="G73" s="1193"/>
      <c r="H73" s="1197" t="str">
        <f t="shared" si="21"/>
        <v>——</v>
      </c>
      <c r="I73" s="759">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2767</v>
      </c>
      <c r="B74" s="1495" t="str">
        <f>估价对象房地状况!C21</f>
        <v>较差</v>
      </c>
      <c r="C74" s="2235"/>
      <c r="D74" s="1195">
        <f t="shared" si="20"/>
        <v>0</v>
      </c>
      <c r="E74" s="765"/>
      <c r="F74" s="2001"/>
      <c r="G74" s="1193"/>
      <c r="H74" s="1197" t="str">
        <f t="shared" si="21"/>
        <v>——</v>
      </c>
      <c r="I74" s="759">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2768</v>
      </c>
      <c r="B75" s="1495" t="str">
        <f>估价对象房地状况!C22</f>
        <v>七通</v>
      </c>
      <c r="C75" s="2235"/>
      <c r="D75" s="1195">
        <f t="shared" si="20"/>
        <v>0</v>
      </c>
      <c r="E75" s="765"/>
      <c r="F75" s="2001"/>
      <c r="G75" s="1193"/>
      <c r="H75" s="1197" t="str">
        <f t="shared" si="21"/>
        <v>——</v>
      </c>
      <c r="I75" s="759">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2765</v>
      </c>
      <c r="B76" s="2336" t="s">
        <v>2766</v>
      </c>
      <c r="C76" s="2235"/>
      <c r="D76" s="1195">
        <f t="shared" si="20"/>
        <v>0</v>
      </c>
      <c r="E76" s="765"/>
      <c r="F76" s="2001"/>
      <c r="G76" s="1193"/>
      <c r="H76" s="1197" t="str">
        <f t="shared" si="21"/>
        <v>——</v>
      </c>
      <c r="I76" s="759">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2769</v>
      </c>
      <c r="B77" s="2333" t="str">
        <f>估价对象房地状况!C20</f>
        <v>一般</v>
      </c>
      <c r="C77" s="2235"/>
      <c r="D77" s="1195">
        <f t="shared" si="20"/>
        <v>0</v>
      </c>
      <c r="E77" s="765"/>
      <c r="F77" s="2001"/>
      <c r="G77" s="1193"/>
      <c r="H77" s="1197" t="str">
        <f t="shared" si="21"/>
        <v>——</v>
      </c>
      <c r="I77" s="759">
        <v>0.15</v>
      </c>
      <c r="J77" s="1194">
        <f t="shared" si="22"/>
        <v>0</v>
      </c>
      <c r="K77" s="1194">
        <f t="shared" si="23"/>
        <v>0</v>
      </c>
      <c r="L77" s="1194">
        <v>0</v>
      </c>
      <c r="M77" s="1194">
        <f t="shared" si="24"/>
        <v>0</v>
      </c>
      <c r="N77" s="1194">
        <f t="shared" si="24"/>
        <v>0</v>
      </c>
      <c r="Z77" s="2185"/>
      <c r="AA77" s="2251"/>
      <c r="AG77" s="1281"/>
      <c r="AK77" s="2251"/>
    </row>
    <row r="78" spans="1:37" ht="24.75" thickBot="1">
      <c r="A78" s="2338" t="s">
        <v>2776</v>
      </c>
      <c r="B78" s="2342"/>
      <c r="C78" s="2235"/>
      <c r="D78" s="1195">
        <f t="shared" si="20"/>
        <v>0</v>
      </c>
      <c r="E78" s="766"/>
      <c r="F78" s="2001"/>
      <c r="G78" s="1193"/>
      <c r="H78" s="1197" t="str">
        <f t="shared" si="21"/>
        <v>——</v>
      </c>
      <c r="I78" s="763">
        <v>0.04</v>
      </c>
      <c r="J78" s="1194">
        <f t="shared" si="22"/>
        <v>0</v>
      </c>
      <c r="K78" s="1194">
        <f t="shared" si="23"/>
        <v>0</v>
      </c>
      <c r="L78" s="1194">
        <v>0</v>
      </c>
      <c r="M78" s="1194">
        <f t="shared" si="24"/>
        <v>0</v>
      </c>
      <c r="N78" s="1194">
        <f t="shared" si="24"/>
        <v>0</v>
      </c>
      <c r="Z78" s="2185"/>
      <c r="AA78" s="2251"/>
      <c r="AG78" s="1281"/>
      <c r="AK78" s="2251"/>
    </row>
    <row r="79" spans="1:37" ht="15">
      <c r="A79" s="2326" t="s">
        <v>2777</v>
      </c>
      <c r="B79" s="2327">
        <f>1+E81</f>
        <v>1</v>
      </c>
      <c r="C79" s="753"/>
      <c r="D79" s="753"/>
      <c r="E79" s="754"/>
      <c r="F79" s="2329"/>
      <c r="G79" s="6"/>
      <c r="H79" s="6"/>
      <c r="I79" s="6"/>
      <c r="J79" s="7"/>
      <c r="K79" s="7"/>
      <c r="L79" s="7"/>
      <c r="M79" s="7"/>
      <c r="N79" s="7"/>
      <c r="Z79" s="2185"/>
      <c r="AA79" s="2251"/>
      <c r="AG79" s="1281"/>
      <c r="AK79" s="2251"/>
    </row>
    <row r="80" spans="1:37" ht="24.75">
      <c r="A80" s="2330" t="s">
        <v>2751</v>
      </c>
      <c r="B80" s="1536"/>
      <c r="C80" s="1536" t="s">
        <v>2753</v>
      </c>
      <c r="D80" s="1536" t="s">
        <v>2754</v>
      </c>
      <c r="E80" s="758" t="s">
        <v>2755</v>
      </c>
      <c r="F80" s="2331" t="s">
        <v>2771</v>
      </c>
      <c r="G80" s="1536" t="s">
        <v>754</v>
      </c>
      <c r="H80" s="2332" t="s">
        <v>2757</v>
      </c>
      <c r="I80" s="1536" t="s">
        <v>2758</v>
      </c>
      <c r="J80" s="560" t="s">
        <v>2407</v>
      </c>
      <c r="K80" s="560" t="s">
        <v>2408</v>
      </c>
      <c r="L80" s="560" t="s">
        <v>2409</v>
      </c>
      <c r="M80" s="560" t="s">
        <v>2410</v>
      </c>
      <c r="N80" s="560" t="s">
        <v>2411</v>
      </c>
      <c r="Z80" s="2185"/>
      <c r="AA80" s="2251"/>
      <c r="AG80" s="1281"/>
      <c r="AK80" s="2251"/>
    </row>
    <row r="81" spans="1:37" ht="38.25">
      <c r="A81" s="2330" t="s">
        <v>2778</v>
      </c>
      <c r="B81" s="2334" t="str">
        <f>估价对象房地状况!G15</f>
        <v>估价对象位于XX开发区，园区建设成熟度XX，产业集聚程度XX</v>
      </c>
      <c r="C81" s="2235"/>
      <c r="D81" s="1195">
        <f t="shared" ref="D81:D88" si="25">SUMIF($J$80:$N$80,C81,J81:N81)</f>
        <v>0</v>
      </c>
      <c r="E81" s="760">
        <f>ROUND(SUM(D81:D88),4)</f>
        <v>0</v>
      </c>
      <c r="F81" s="2001"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2760</v>
      </c>
      <c r="B82" s="2334" t="str">
        <f>估价对象房地状况!G16</f>
        <v>估价对象周边道路状况、公共交通通达情况、停车便捷程度，综合评价交通便捷度较好</v>
      </c>
      <c r="C82" s="2235"/>
      <c r="D82" s="1195">
        <f t="shared" si="25"/>
        <v>0</v>
      </c>
      <c r="E82" s="765"/>
      <c r="F82" s="2001"/>
      <c r="G82" s="1193"/>
      <c r="H82" s="1197" t="str">
        <f t="shared" si="26"/>
        <v>——</v>
      </c>
      <c r="I82" s="759">
        <v>0.33</v>
      </c>
      <c r="J82" s="1194">
        <f t="shared" si="27"/>
        <v>0</v>
      </c>
      <c r="K82" s="1194">
        <f t="shared" si="28"/>
        <v>0</v>
      </c>
      <c r="L82" s="1194">
        <v>0</v>
      </c>
      <c r="M82" s="1194">
        <f t="shared" si="29"/>
        <v>0</v>
      </c>
      <c r="N82" s="1194">
        <f t="shared" si="29"/>
        <v>0</v>
      </c>
      <c r="Z82" s="2185"/>
      <c r="AA82" s="2251"/>
      <c r="AG82" s="1281"/>
      <c r="AK82" s="2251"/>
    </row>
    <row r="83" spans="1:37" ht="24">
      <c r="A83" s="2330" t="s">
        <v>2761</v>
      </c>
      <c r="B83" s="2334">
        <f>估价对象房地状况!G17</f>
        <v>0</v>
      </c>
      <c r="C83" s="2235"/>
      <c r="D83" s="1195">
        <f t="shared" si="25"/>
        <v>0</v>
      </c>
      <c r="E83" s="765"/>
      <c r="F83" s="2001"/>
      <c r="G83" s="1193"/>
      <c r="H83" s="1197" t="str">
        <f t="shared" si="26"/>
        <v>——</v>
      </c>
      <c r="I83" s="759">
        <v>0.05</v>
      </c>
      <c r="J83" s="1194">
        <f t="shared" si="27"/>
        <v>0</v>
      </c>
      <c r="K83" s="1194">
        <f t="shared" si="28"/>
        <v>0</v>
      </c>
      <c r="L83" s="1194">
        <v>0</v>
      </c>
      <c r="M83" s="1194">
        <f t="shared" si="29"/>
        <v>0</v>
      </c>
      <c r="N83" s="1194">
        <f t="shared" si="29"/>
        <v>0</v>
      </c>
      <c r="Z83" s="2185"/>
      <c r="AA83" s="2251"/>
      <c r="AG83" s="1281"/>
      <c r="AK83" s="2251"/>
    </row>
    <row r="84" spans="1:37" ht="14.25">
      <c r="A84" s="2330" t="s">
        <v>2775</v>
      </c>
      <c r="B84" s="2334">
        <f>估价对象房地状况!G22</f>
        <v>0</v>
      </c>
      <c r="C84" s="2235"/>
      <c r="D84" s="1195">
        <f t="shared" si="25"/>
        <v>0</v>
      </c>
      <c r="E84" s="765"/>
      <c r="F84" s="2001"/>
      <c r="G84" s="1193"/>
      <c r="H84" s="1197" t="str">
        <f t="shared" si="26"/>
        <v>——</v>
      </c>
      <c r="I84" s="759">
        <v>0.04</v>
      </c>
      <c r="J84" s="1194">
        <f t="shared" si="27"/>
        <v>0</v>
      </c>
      <c r="K84" s="1194">
        <f t="shared" si="28"/>
        <v>0</v>
      </c>
      <c r="L84" s="1194">
        <v>0</v>
      </c>
      <c r="M84" s="1194">
        <f t="shared" si="29"/>
        <v>0</v>
      </c>
      <c r="N84" s="1194">
        <f t="shared" si="29"/>
        <v>0</v>
      </c>
      <c r="Z84" s="2185"/>
      <c r="AA84" s="2251"/>
      <c r="AG84" s="1281"/>
      <c r="AK84" s="2251"/>
    </row>
    <row r="85" spans="1:37" ht="25.5">
      <c r="A85" s="2330" t="s">
        <v>2767</v>
      </c>
      <c r="B85" s="1495" t="str">
        <f>估价对象房地状况!G19</f>
        <v>估价对象所在区域公共配套设施齐备情况</v>
      </c>
      <c r="C85" s="2235"/>
      <c r="D85" s="1195">
        <f t="shared" si="25"/>
        <v>0</v>
      </c>
      <c r="E85" s="765"/>
      <c r="F85" s="2001"/>
      <c r="G85" s="1193"/>
      <c r="H85" s="1197" t="str">
        <f t="shared" si="26"/>
        <v>——</v>
      </c>
      <c r="I85" s="759">
        <v>0.06</v>
      </c>
      <c r="J85" s="1194">
        <f t="shared" si="27"/>
        <v>0</v>
      </c>
      <c r="K85" s="1194">
        <f t="shared" si="28"/>
        <v>0</v>
      </c>
      <c r="L85" s="1194">
        <v>0</v>
      </c>
      <c r="M85" s="1194">
        <f t="shared" si="29"/>
        <v>0</v>
      </c>
      <c r="N85" s="1194">
        <f t="shared" si="29"/>
        <v>0</v>
      </c>
      <c r="Z85" s="2185"/>
      <c r="AA85" s="2251"/>
      <c r="AG85" s="1281"/>
      <c r="AK85" s="2251"/>
    </row>
    <row r="86" spans="1:37" ht="25.5">
      <c r="A86" s="2330" t="s">
        <v>2768</v>
      </c>
      <c r="B86" s="1495" t="str">
        <f>估价对象房地状况!G20</f>
        <v>估价对象所在区域基础设施水平</v>
      </c>
      <c r="C86" s="2235"/>
      <c r="D86" s="1195">
        <f t="shared" si="25"/>
        <v>0</v>
      </c>
      <c r="E86" s="765"/>
      <c r="F86" s="2001"/>
      <c r="G86" s="1193"/>
      <c r="H86" s="1197" t="str">
        <f t="shared" si="26"/>
        <v>——</v>
      </c>
      <c r="I86" s="759">
        <v>0.15</v>
      </c>
      <c r="J86" s="1194">
        <f t="shared" si="27"/>
        <v>0</v>
      </c>
      <c r="K86" s="1194">
        <f t="shared" si="28"/>
        <v>0</v>
      </c>
      <c r="L86" s="1194">
        <v>0</v>
      </c>
      <c r="M86" s="1194">
        <f t="shared" si="29"/>
        <v>0</v>
      </c>
      <c r="N86" s="1194">
        <f t="shared" si="29"/>
        <v>0</v>
      </c>
      <c r="Z86" s="2185"/>
      <c r="AA86" s="2251"/>
      <c r="AG86" s="1281"/>
      <c r="AK86" s="2251"/>
    </row>
    <row r="87" spans="1:37" ht="24">
      <c r="A87" s="2330" t="s">
        <v>2765</v>
      </c>
      <c r="B87" s="2336" t="s">
        <v>2779</v>
      </c>
      <c r="C87" s="2235"/>
      <c r="D87" s="1195">
        <f t="shared" si="25"/>
        <v>0</v>
      </c>
      <c r="E87" s="765"/>
      <c r="F87" s="2001"/>
      <c r="G87" s="1193"/>
      <c r="H87" s="1197" t="str">
        <f t="shared" si="26"/>
        <v>——</v>
      </c>
      <c r="I87" s="759">
        <v>0.05</v>
      </c>
      <c r="J87" s="1194">
        <f t="shared" si="27"/>
        <v>0</v>
      </c>
      <c r="K87" s="1194">
        <f t="shared" si="28"/>
        <v>0</v>
      </c>
      <c r="L87" s="1194">
        <v>0</v>
      </c>
      <c r="M87" s="1194">
        <f t="shared" si="29"/>
        <v>0</v>
      </c>
      <c r="N87" s="1194">
        <f t="shared" si="29"/>
        <v>0</v>
      </c>
      <c r="Z87" s="2185"/>
      <c r="AA87" s="2251"/>
      <c r="AG87" s="1281"/>
      <c r="AK87" s="2251"/>
    </row>
    <row r="88" spans="1:37" ht="39" thickBot="1">
      <c r="A88" s="2338" t="s">
        <v>2780</v>
      </c>
      <c r="B88" s="2343" t="str">
        <f>估价对象房地状况!G18</f>
        <v>该园区内是否有污染型企业，绿化情况，卫生条件，整体环境状况判断</v>
      </c>
      <c r="C88" s="2235"/>
      <c r="D88" s="1195">
        <f t="shared" si="25"/>
        <v>0</v>
      </c>
      <c r="E88" s="766"/>
      <c r="F88" s="2001"/>
      <c r="G88" s="1193"/>
      <c r="H88" s="1197" t="str">
        <f t="shared" si="26"/>
        <v>——</v>
      </c>
      <c r="I88" s="763">
        <v>0.06</v>
      </c>
      <c r="J88" s="1194">
        <f t="shared" si="27"/>
        <v>0</v>
      </c>
      <c r="K88" s="1194">
        <f t="shared" si="28"/>
        <v>0</v>
      </c>
      <c r="L88" s="1194">
        <v>0</v>
      </c>
      <c r="M88" s="1194">
        <f t="shared" si="29"/>
        <v>0</v>
      </c>
      <c r="N88" s="1194">
        <f t="shared" si="29"/>
        <v>0</v>
      </c>
      <c r="Z88" s="2185"/>
      <c r="AA88" s="2251"/>
      <c r="AG88" s="1281"/>
      <c r="AK88" s="2251"/>
    </row>
    <row r="90" spans="1:37">
      <c r="A90" s="4065" t="s">
        <v>2781</v>
      </c>
      <c r="B90" s="4065"/>
      <c r="C90" s="4065"/>
      <c r="D90" s="4065"/>
      <c r="E90" s="4065"/>
      <c r="F90" s="4065"/>
      <c r="G90" s="4065"/>
      <c r="H90" s="4065"/>
      <c r="I90" s="4065"/>
      <c r="J90" s="4065"/>
      <c r="K90" s="2344"/>
      <c r="L90" s="2344"/>
      <c r="M90" s="2344"/>
      <c r="N90" s="2344"/>
    </row>
    <row r="91" spans="1:37">
      <c r="A91" s="4067" t="s">
        <v>2782</v>
      </c>
      <c r="B91" s="4067" t="s">
        <v>2783</v>
      </c>
      <c r="C91" s="2298" t="s">
        <v>2784</v>
      </c>
      <c r="D91" s="2299"/>
      <c r="E91" s="2299"/>
      <c r="F91" s="2299"/>
      <c r="G91" s="2299"/>
      <c r="H91" s="2299"/>
      <c r="I91" s="2299"/>
      <c r="J91" s="2345"/>
      <c r="K91" s="2346"/>
      <c r="L91" s="2346"/>
      <c r="M91" s="2346"/>
      <c r="N91" s="2346"/>
    </row>
    <row r="92" spans="1:37">
      <c r="A92" s="4067"/>
      <c r="B92" s="4067"/>
      <c r="C92" s="879" t="s">
        <v>2651</v>
      </c>
      <c r="D92" s="879" t="s">
        <v>2652</v>
      </c>
      <c r="E92" s="879" t="s">
        <v>2653</v>
      </c>
      <c r="F92" s="879" t="s">
        <v>2654</v>
      </c>
      <c r="G92" s="879" t="s">
        <v>2655</v>
      </c>
      <c r="H92" s="879" t="s">
        <v>2656</v>
      </c>
      <c r="I92" s="879" t="s">
        <v>2657</v>
      </c>
      <c r="J92" s="879" t="s">
        <v>2658</v>
      </c>
      <c r="K92" s="879" t="s">
        <v>2659</v>
      </c>
      <c r="L92" s="879" t="s">
        <v>2660</v>
      </c>
      <c r="M92" s="879" t="s">
        <v>2661</v>
      </c>
      <c r="N92" s="879" t="s">
        <v>2662</v>
      </c>
    </row>
    <row r="93" spans="1:37">
      <c r="A93" s="4068" t="s">
        <v>2785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4069"/>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4069"/>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4069"/>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4069"/>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4069"/>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4069"/>
      <c r="B99" s="2347" t="s">
        <v>2667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4070"/>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4068" t="s">
        <v>2786</v>
      </c>
      <c r="B101" s="2351" t="s">
        <v>2787</v>
      </c>
      <c r="C101" s="2352">
        <f>$G$3</f>
        <v>2.09</v>
      </c>
      <c r="D101" s="2352">
        <f t="shared" ref="D101:N101" si="31">$G$3</f>
        <v>2.09</v>
      </c>
      <c r="E101" s="2352">
        <f t="shared" si="31"/>
        <v>2.09</v>
      </c>
      <c r="F101" s="2352">
        <f t="shared" si="31"/>
        <v>2.09</v>
      </c>
      <c r="G101" s="2352">
        <f t="shared" si="31"/>
        <v>2.09</v>
      </c>
      <c r="H101" s="2352">
        <f t="shared" si="31"/>
        <v>2.09</v>
      </c>
      <c r="I101" s="2352">
        <f t="shared" si="31"/>
        <v>2.09</v>
      </c>
      <c r="J101" s="2352">
        <f t="shared" si="31"/>
        <v>2.09</v>
      </c>
      <c r="K101" s="2352">
        <f t="shared" si="31"/>
        <v>2.09</v>
      </c>
      <c r="L101" s="2352">
        <f t="shared" si="31"/>
        <v>2.09</v>
      </c>
      <c r="M101" s="2352">
        <f t="shared" si="31"/>
        <v>2.09</v>
      </c>
      <c r="N101" s="2352">
        <f t="shared" si="31"/>
        <v>2.09</v>
      </c>
    </row>
    <row r="102" spans="1:14">
      <c r="A102" s="4069"/>
      <c r="B102" s="2347">
        <v>1</v>
      </c>
      <c r="C102" s="2348">
        <f>1.9362/C101</f>
        <v>0.92641148325358857</v>
      </c>
      <c r="D102" s="2348">
        <f>1.9362/D101</f>
        <v>0.92641148325358857</v>
      </c>
      <c r="E102" s="2348">
        <f>1.8629/E101</f>
        <v>0.89133971291866032</v>
      </c>
      <c r="F102" s="2348">
        <f>1.8629/F101</f>
        <v>0.89133971291866032</v>
      </c>
      <c r="G102" s="2348">
        <f>1.8629/G101</f>
        <v>0.89133971291866032</v>
      </c>
      <c r="H102" s="2348">
        <f>1.8629/H101</f>
        <v>0.89133971291866032</v>
      </c>
      <c r="I102" s="2348">
        <f>1.8629/I101</f>
        <v>0.89133971291866032</v>
      </c>
      <c r="J102" s="2348">
        <f>1.942/J101</f>
        <v>0.92918660287081345</v>
      </c>
      <c r="K102" s="2348">
        <f>1.942/K101</f>
        <v>0.92918660287081345</v>
      </c>
      <c r="L102" s="2348">
        <f>1.942/L101</f>
        <v>0.92918660287081345</v>
      </c>
      <c r="M102" s="2348">
        <f>1.942/M101</f>
        <v>0.92918660287081345</v>
      </c>
      <c r="N102" s="2348">
        <f>1.942/N101</f>
        <v>0.92918660287081345</v>
      </c>
    </row>
    <row r="103" spans="1:14">
      <c r="A103" s="4069"/>
      <c r="B103" s="2347">
        <v>2</v>
      </c>
      <c r="C103" s="2348">
        <f>1.4198/C101</f>
        <v>0.6793301435406699</v>
      </c>
      <c r="D103" s="2348">
        <f>1.4198/D101</f>
        <v>0.6793301435406699</v>
      </c>
      <c r="E103" s="2348">
        <f>1.3372/E101</f>
        <v>0.63980861244019138</v>
      </c>
      <c r="F103" s="2348">
        <f>1.3372/F101</f>
        <v>0.63980861244019138</v>
      </c>
      <c r="G103" s="2348">
        <f>1.3372/G101</f>
        <v>0.63980861244019138</v>
      </c>
      <c r="H103" s="2348">
        <f>1.3372/H101</f>
        <v>0.63980861244019138</v>
      </c>
      <c r="I103" s="2348">
        <f>1.3372/I101</f>
        <v>0.63980861244019138</v>
      </c>
      <c r="J103" s="2348">
        <f>1.2799/J101</f>
        <v>0.61239234449760771</v>
      </c>
      <c r="K103" s="2348">
        <f>1.2799/K101</f>
        <v>0.61239234449760771</v>
      </c>
      <c r="L103" s="2348">
        <f>1.2799/L101</f>
        <v>0.61239234449760771</v>
      </c>
      <c r="M103" s="2348">
        <f>1.2799/M101</f>
        <v>0.61239234449760771</v>
      </c>
      <c r="N103" s="2348">
        <f>1.2799/N101</f>
        <v>0.61239234449760771</v>
      </c>
    </row>
    <row r="104" spans="1:14">
      <c r="A104" s="4069"/>
      <c r="B104" s="2347">
        <v>3</v>
      </c>
      <c r="C104" s="2348">
        <f>1.1594/C101</f>
        <v>0.55473684210526319</v>
      </c>
      <c r="D104" s="2348">
        <f>1.1594/D101</f>
        <v>0.55473684210526319</v>
      </c>
      <c r="E104" s="2348">
        <f>1.0788/E101</f>
        <v>0.51617224880382773</v>
      </c>
      <c r="F104" s="2348">
        <f>1.0788/F101</f>
        <v>0.51617224880382773</v>
      </c>
      <c r="G104" s="2348">
        <f>1.0788/G101</f>
        <v>0.51617224880382773</v>
      </c>
      <c r="H104" s="2348">
        <f>1.0788/H101</f>
        <v>0.51617224880382773</v>
      </c>
      <c r="I104" s="2348">
        <f>1.0788/I101</f>
        <v>0.51617224880382773</v>
      </c>
      <c r="J104" s="2348">
        <f>1.0072/J101</f>
        <v>0.48191387559808618</v>
      </c>
      <c r="K104" s="2348">
        <f>1.0072/K101</f>
        <v>0.48191387559808618</v>
      </c>
      <c r="L104" s="2348">
        <f>1.0072/L101</f>
        <v>0.48191387559808618</v>
      </c>
      <c r="M104" s="2348">
        <f>1.0072/M101</f>
        <v>0.48191387559808618</v>
      </c>
      <c r="N104" s="2348">
        <f>1.0072/N101</f>
        <v>0.48191387559808618</v>
      </c>
    </row>
    <row r="105" spans="1:14">
      <c r="A105" s="4069"/>
      <c r="B105" s="2347">
        <v>4</v>
      </c>
      <c r="C105" s="2348">
        <f>0.9622/C101</f>
        <v>0.46038277511961728</v>
      </c>
      <c r="D105" s="2348">
        <f>0.9622/D101</f>
        <v>0.46038277511961728</v>
      </c>
      <c r="E105" s="2348">
        <f>0.8656/E101</f>
        <v>0.41416267942583734</v>
      </c>
      <c r="F105" s="2348">
        <f>0.8656/F101</f>
        <v>0.41416267942583734</v>
      </c>
      <c r="G105" s="2348">
        <f>0.8656/G101</f>
        <v>0.41416267942583734</v>
      </c>
      <c r="H105" s="2348">
        <f>0.8656/H101</f>
        <v>0.41416267942583734</v>
      </c>
      <c r="I105" s="2348">
        <f>0.8656/I101</f>
        <v>0.41416267942583734</v>
      </c>
      <c r="J105" s="2348">
        <f>0.7525/J101</f>
        <v>0.36004784688995217</v>
      </c>
      <c r="K105" s="2348">
        <f>0.7525/K101</f>
        <v>0.36004784688995217</v>
      </c>
      <c r="L105" s="2348">
        <f>0.7525/L101</f>
        <v>0.36004784688995217</v>
      </c>
      <c r="M105" s="2348">
        <f>0.7525/M101</f>
        <v>0.36004784688995217</v>
      </c>
      <c r="N105" s="2348">
        <f>0.7525/N101</f>
        <v>0.36004784688995217</v>
      </c>
    </row>
    <row r="106" spans="1:14">
      <c r="A106" s="4069"/>
      <c r="B106" s="2347">
        <v>5</v>
      </c>
      <c r="C106" s="2348">
        <f>0.8417/C101</f>
        <v>0.40272727272727277</v>
      </c>
      <c r="D106" s="2348">
        <f>0.8417/D101</f>
        <v>0.40272727272727277</v>
      </c>
      <c r="E106" s="2348">
        <f>0.7371/E101</f>
        <v>0.35267942583732059</v>
      </c>
      <c r="F106" s="2348">
        <f>0.7371/F101</f>
        <v>0.35267942583732059</v>
      </c>
      <c r="G106" s="2348">
        <f>0.7371/G101</f>
        <v>0.35267942583732059</v>
      </c>
      <c r="H106" s="2348">
        <f>0.7371/H101</f>
        <v>0.35267942583732059</v>
      </c>
      <c r="I106" s="2348">
        <f>0.7371/I101</f>
        <v>0.35267942583732059</v>
      </c>
      <c r="J106" s="2348">
        <f>0.5659/J101</f>
        <v>0.27076555023923443</v>
      </c>
      <c r="K106" s="2348">
        <f>0.5659/K101</f>
        <v>0.27076555023923443</v>
      </c>
      <c r="L106" s="2348">
        <f>0.5659/L101</f>
        <v>0.27076555023923443</v>
      </c>
      <c r="M106" s="2348">
        <f>0.5659/M101</f>
        <v>0.27076555023923443</v>
      </c>
      <c r="N106" s="2348">
        <f>0.5659/N101</f>
        <v>0.27076555023923443</v>
      </c>
    </row>
    <row r="107" spans="1:14">
      <c r="A107" s="4069"/>
      <c r="B107" s="2347">
        <v>6</v>
      </c>
      <c r="C107" s="2348">
        <f>0.7608/C101</f>
        <v>0.36401913875598091</v>
      </c>
      <c r="D107" s="2348">
        <f>0.7608/D101</f>
        <v>0.36401913875598091</v>
      </c>
      <c r="E107" s="2348">
        <f>0.6482/E101</f>
        <v>0.3101435406698565</v>
      </c>
      <c r="F107" s="2348">
        <f>0.6482/F101</f>
        <v>0.3101435406698565</v>
      </c>
      <c r="G107" s="2348">
        <f>0.6482/G101</f>
        <v>0.3101435406698565</v>
      </c>
      <c r="H107" s="2348">
        <f>0.6482/H101</f>
        <v>0.3101435406698565</v>
      </c>
      <c r="I107" s="2348">
        <f>0.6482/I101</f>
        <v>0.3101435406698565</v>
      </c>
      <c r="J107" s="2348">
        <f>0.4525/J101</f>
        <v>0.21650717703349284</v>
      </c>
      <c r="K107" s="2348">
        <f>0.4525/K101</f>
        <v>0.21650717703349284</v>
      </c>
      <c r="L107" s="2348">
        <f>0.4525/L101</f>
        <v>0.21650717703349284</v>
      </c>
      <c r="M107" s="2348">
        <f>0.4525/M101</f>
        <v>0.21650717703349284</v>
      </c>
      <c r="N107" s="2348">
        <f>0.4525/N101</f>
        <v>0.21650717703349284</v>
      </c>
    </row>
    <row r="108" spans="1:14">
      <c r="A108" s="4069"/>
      <c r="B108" s="4071" t="s">
        <v>2788</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4070"/>
      <c r="B109" s="4072"/>
      <c r="C109" s="2350">
        <f>(-0.163*(C108^2)-0.59*C108+7617)*(10^(-4))/C101</f>
        <v>0.3644497607655503</v>
      </c>
      <c r="D109" s="2350">
        <f>(-0.163*(D108^2)-0.59*D108+7617)*(10^(-4))/D101</f>
        <v>0.3644497607655503</v>
      </c>
      <c r="E109" s="2350">
        <f>(-0.161*(E108^2)-7.509*E108+6533)*(10^(-4))/E101</f>
        <v>0.3125837320574163</v>
      </c>
      <c r="F109" s="2350">
        <f>(-0.161*(F108^2)-7.509*F108+6533)*(10^(-4))/F101</f>
        <v>0.3125837320574163</v>
      </c>
      <c r="G109" s="2350">
        <f>(-0.161*(G108^2)-7.509*G108+6533)*(10^(-4))/G101</f>
        <v>0.3125837320574163</v>
      </c>
      <c r="H109" s="2350">
        <f>(-0.161*(H108^2)-7.509*H108+6533)*(10^(-4))/H101</f>
        <v>0.3125837320574163</v>
      </c>
      <c r="I109" s="2350">
        <f>(-0.161*(I108^2)-7.509*I108+6533)*(10^(-4))/I101</f>
        <v>0.3125837320574163</v>
      </c>
      <c r="J109" s="2350">
        <f>(-0.214*(J108^2)-21.991*J108+4665)*(10^(-4))/J101</f>
        <v>0.2232057416267943</v>
      </c>
      <c r="K109" s="2350">
        <f>(-0.214*(K108^2)-21.991*K108+4665)*(10^(-4))/K101</f>
        <v>0.2232057416267943</v>
      </c>
      <c r="L109" s="2350">
        <f>(-0.214*(L108^2)-21.991*L108+4665)*(10^(-4))/L101</f>
        <v>0.2232057416267943</v>
      </c>
      <c r="M109" s="2350">
        <f>(-0.214*(M108^2)-21.991*M108+4665)*(10^(-4))/M101</f>
        <v>0.2232057416267943</v>
      </c>
      <c r="N109" s="2350">
        <f>(-0.214*(N108^2)-21.991*N108+4665)*(10^(-4))/N101</f>
        <v>0.2232057416267943</v>
      </c>
    </row>
    <row r="110" spans="1:14">
      <c r="A110" s="4066" t="s">
        <v>2789</v>
      </c>
      <c r="B110" s="4066"/>
      <c r="C110" s="4066"/>
      <c r="D110" s="4066"/>
      <c r="E110" s="4066"/>
      <c r="F110" s="4066"/>
      <c r="G110" s="4066"/>
      <c r="H110" s="4066"/>
      <c r="I110" s="4066"/>
      <c r="J110" s="4066"/>
      <c r="K110" s="2353"/>
      <c r="L110" s="2353"/>
      <c r="M110" s="2353"/>
      <c r="N110" s="2353"/>
    </row>
    <row r="112" spans="1:14" ht="13.5" thickBot="1"/>
    <row r="113" spans="1:13" ht="25.5" thickBot="1">
      <c r="A113" s="842" t="s">
        <v>2790</v>
      </c>
      <c r="B113" s="1196">
        <f>G3</f>
        <v>2.09</v>
      </c>
      <c r="C113" s="843" t="s">
        <v>2791</v>
      </c>
      <c r="D113" s="844">
        <f>SUMPRODUCT((A115:A118=F113)*(B114:M114=H113)*B115:M118)</f>
        <v>0</v>
      </c>
      <c r="E113" s="2189" t="s">
        <v>2624</v>
      </c>
      <c r="F113" s="2355">
        <f>E2</f>
        <v>0</v>
      </c>
      <c r="G113" s="2189" t="s">
        <v>2625</v>
      </c>
      <c r="H113" s="2355">
        <f>G2</f>
        <v>0</v>
      </c>
      <c r="I113" s="2189"/>
      <c r="J113" s="2356"/>
      <c r="K113" s="2356"/>
      <c r="L113" s="2356"/>
      <c r="M113" s="2356"/>
    </row>
    <row r="114" spans="1:13">
      <c r="A114" s="847"/>
      <c r="B114" s="2357" t="s">
        <v>2792</v>
      </c>
      <c r="C114" s="2357" t="s">
        <v>2793</v>
      </c>
      <c r="D114" s="2357" t="s">
        <v>2794</v>
      </c>
      <c r="E114" s="2358" t="s">
        <v>2795</v>
      </c>
      <c r="F114" s="2358" t="s">
        <v>2796</v>
      </c>
      <c r="G114" s="2358" t="s">
        <v>2797</v>
      </c>
      <c r="H114" s="2359" t="s">
        <v>2798</v>
      </c>
      <c r="I114" s="2359" t="s">
        <v>2799</v>
      </c>
      <c r="J114" s="2360" t="s">
        <v>2800</v>
      </c>
      <c r="K114" s="2360" t="s">
        <v>2801</v>
      </c>
      <c r="L114" s="2360" t="s">
        <v>2802</v>
      </c>
      <c r="M114" s="2361" t="s">
        <v>2803</v>
      </c>
    </row>
    <row r="115" spans="1:13">
      <c r="A115" s="848" t="s">
        <v>2689</v>
      </c>
      <c r="B115" s="849">
        <f>ROUND(0.9335-0.0094*B113,4)</f>
        <v>0.91390000000000005</v>
      </c>
      <c r="C115" s="849">
        <f>B115</f>
        <v>0.91390000000000005</v>
      </c>
      <c r="D115" s="849">
        <f>ROUND(0.8331-0.0109*B113,4)</f>
        <v>0.81030000000000002</v>
      </c>
      <c r="E115" s="849">
        <f>D115</f>
        <v>0.81030000000000002</v>
      </c>
      <c r="F115" s="849">
        <f>E115</f>
        <v>0.81030000000000002</v>
      </c>
      <c r="G115" s="849">
        <f>F115</f>
        <v>0.81030000000000002</v>
      </c>
      <c r="H115" s="849">
        <f>G115</f>
        <v>0.81030000000000002</v>
      </c>
      <c r="I115" s="849">
        <f>ROUND(0.689-0.0155*B113,4)</f>
        <v>0.65659999999999996</v>
      </c>
      <c r="J115" s="849">
        <f t="shared" ref="J115:M118" si="33">I115</f>
        <v>0.65659999999999996</v>
      </c>
      <c r="K115" s="849">
        <f t="shared" si="33"/>
        <v>0.65659999999999996</v>
      </c>
      <c r="L115" s="849">
        <f t="shared" si="33"/>
        <v>0.65659999999999996</v>
      </c>
      <c r="M115" s="850">
        <f t="shared" si="33"/>
        <v>0.65659999999999996</v>
      </c>
    </row>
    <row r="116" spans="1:13">
      <c r="A116" s="848" t="s">
        <v>2690</v>
      </c>
      <c r="B116" s="849">
        <f>ROUND(0.949-0.012*B113,4)</f>
        <v>0.92390000000000005</v>
      </c>
      <c r="C116" s="849">
        <f>B116</f>
        <v>0.92390000000000005</v>
      </c>
      <c r="D116" s="849">
        <f>ROUND(0.8567-0.013*B113,4)</f>
        <v>0.82950000000000002</v>
      </c>
      <c r="E116" s="849">
        <f t="shared" ref="E116:H117" si="34">D116</f>
        <v>0.82950000000000002</v>
      </c>
      <c r="F116" s="849">
        <f t="shared" si="34"/>
        <v>0.82950000000000002</v>
      </c>
      <c r="G116" s="849">
        <f t="shared" si="34"/>
        <v>0.82950000000000002</v>
      </c>
      <c r="H116" s="849">
        <f t="shared" si="34"/>
        <v>0.82950000000000002</v>
      </c>
      <c r="I116" s="849">
        <f>ROUND(0.7694-0.014*B113,4)</f>
        <v>0.74009999999999998</v>
      </c>
      <c r="J116" s="849">
        <f t="shared" si="33"/>
        <v>0.74009999999999998</v>
      </c>
      <c r="K116" s="849">
        <f t="shared" si="33"/>
        <v>0.74009999999999998</v>
      </c>
      <c r="L116" s="849">
        <f t="shared" si="33"/>
        <v>0.74009999999999998</v>
      </c>
      <c r="M116" s="850">
        <f t="shared" si="33"/>
        <v>0.74009999999999998</v>
      </c>
    </row>
    <row r="117" spans="1:13">
      <c r="A117" s="848" t="s">
        <v>2691</v>
      </c>
      <c r="B117" s="849">
        <f>ROUND(0.8808-0.006*B113,4)</f>
        <v>0.86829999999999996</v>
      </c>
      <c r="C117" s="849">
        <f>B117</f>
        <v>0.86829999999999996</v>
      </c>
      <c r="D117" s="849">
        <f>ROUND(0.8748-0.008*B113,4)</f>
        <v>0.85809999999999997</v>
      </c>
      <c r="E117" s="849">
        <f t="shared" si="34"/>
        <v>0.85809999999999997</v>
      </c>
      <c r="F117" s="849">
        <f t="shared" si="34"/>
        <v>0.85809999999999997</v>
      </c>
      <c r="G117" s="849">
        <f t="shared" si="34"/>
        <v>0.85809999999999997</v>
      </c>
      <c r="H117" s="849">
        <f t="shared" si="34"/>
        <v>0.85809999999999997</v>
      </c>
      <c r="I117" s="849">
        <f>ROUND(0.7412-0.0095*B113,4)</f>
        <v>0.72130000000000005</v>
      </c>
      <c r="J117" s="849">
        <f t="shared" si="33"/>
        <v>0.72130000000000005</v>
      </c>
      <c r="K117" s="849">
        <f t="shared" si="33"/>
        <v>0.72130000000000005</v>
      </c>
      <c r="L117" s="849">
        <f t="shared" si="33"/>
        <v>0.72130000000000005</v>
      </c>
      <c r="M117" s="850">
        <f t="shared" si="33"/>
        <v>0.72130000000000005</v>
      </c>
    </row>
    <row r="118" spans="1:13" ht="13.5" thickBot="1">
      <c r="A118" s="670" t="s">
        <v>2692</v>
      </c>
      <c r="B118" s="851">
        <f>ROUND(0.7275-0.01*B113,4)</f>
        <v>0.70660000000000001</v>
      </c>
      <c r="C118" s="851">
        <f>B118</f>
        <v>0.70660000000000001</v>
      </c>
      <c r="D118" s="851">
        <f>ROUND(0.7043-0.012*B113,4)</f>
        <v>0.67920000000000003</v>
      </c>
      <c r="E118" s="851">
        <f>D118</f>
        <v>0.67920000000000003</v>
      </c>
      <c r="F118" s="851">
        <f>E118</f>
        <v>0.67920000000000003</v>
      </c>
      <c r="G118" s="851">
        <f>ROUND(0.6299-0.0122*B113,4)</f>
        <v>0.60440000000000005</v>
      </c>
      <c r="H118" s="851">
        <f>G118</f>
        <v>0.60440000000000005</v>
      </c>
      <c r="I118" s="851">
        <f>ROUND(0.5667-0.0136*B113,4)</f>
        <v>0.5383</v>
      </c>
      <c r="J118" s="851">
        <f t="shared" si="33"/>
        <v>0.5383</v>
      </c>
      <c r="K118" s="851">
        <f t="shared" si="33"/>
        <v>0.5383</v>
      </c>
      <c r="L118" s="851">
        <f t="shared" si="33"/>
        <v>0.5383</v>
      </c>
      <c r="M118" s="852">
        <f t="shared" si="33"/>
        <v>0.5383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89" t="s">
        <v>183</v>
      </c>
      <c r="B18" s="821" t="s">
        <v>560</v>
      </c>
      <c r="C18" s="822" t="s">
        <v>561</v>
      </c>
      <c r="D18" s="823"/>
      <c r="E18" s="821">
        <v>1</v>
      </c>
      <c r="F18" s="824" t="s">
        <v>562</v>
      </c>
      <c r="G18" s="825"/>
      <c r="H18" s="817"/>
      <c r="I18" s="817"/>
    </row>
    <row r="19" spans="1:9" s="826" customFormat="1" ht="19.5" customHeight="1">
      <c r="A19" s="4089"/>
      <c r="B19" s="4089" t="s">
        <v>563</v>
      </c>
      <c r="C19" s="822" t="s">
        <v>564</v>
      </c>
      <c r="D19" s="823"/>
      <c r="E19" s="821">
        <v>0.9</v>
      </c>
      <c r="F19" s="824" t="s">
        <v>565</v>
      </c>
      <c r="G19" s="825"/>
      <c r="H19" s="817"/>
      <c r="I19" s="817"/>
    </row>
    <row r="20" spans="1:9" s="826" customFormat="1" ht="19.5" customHeight="1">
      <c r="A20" s="4089"/>
      <c r="B20" s="4089"/>
      <c r="C20" s="822" t="s">
        <v>566</v>
      </c>
      <c r="D20" s="823"/>
      <c r="E20" s="821">
        <v>1.1000000000000001</v>
      </c>
      <c r="F20" s="824" t="s">
        <v>567</v>
      </c>
      <c r="G20" s="825"/>
      <c r="H20" s="817"/>
      <c r="I20" s="817"/>
    </row>
    <row r="21" spans="1:9" s="826" customFormat="1" ht="19.5" customHeight="1">
      <c r="A21" s="4089"/>
      <c r="B21" s="4089"/>
      <c r="C21" s="822" t="s">
        <v>568</v>
      </c>
      <c r="D21" s="823"/>
      <c r="E21" s="821">
        <v>0.8</v>
      </c>
      <c r="F21" s="824" t="s">
        <v>569</v>
      </c>
      <c r="G21" s="825"/>
      <c r="H21" s="817"/>
      <c r="I21" s="817"/>
    </row>
    <row r="22" spans="1:9" s="826" customFormat="1" ht="19.5" customHeight="1">
      <c r="A22" s="4089"/>
      <c r="B22" s="4089"/>
      <c r="C22" s="822" t="s">
        <v>570</v>
      </c>
      <c r="D22" s="823"/>
      <c r="E22" s="821">
        <v>0.5</v>
      </c>
      <c r="F22" s="824"/>
      <c r="G22" s="825"/>
      <c r="H22" s="817"/>
      <c r="I22" s="817"/>
    </row>
    <row r="23" spans="1:9" s="826" customFormat="1" ht="19.5" customHeight="1">
      <c r="A23" s="4089" t="s">
        <v>184</v>
      </c>
      <c r="B23" s="821" t="s">
        <v>560</v>
      </c>
      <c r="C23" s="822" t="s">
        <v>571</v>
      </c>
      <c r="D23" s="823"/>
      <c r="E23" s="821">
        <v>1</v>
      </c>
      <c r="F23" s="824" t="s">
        <v>572</v>
      </c>
      <c r="G23" s="825"/>
      <c r="H23" s="817"/>
      <c r="I23" s="817"/>
    </row>
    <row r="24" spans="1:9" s="826" customFormat="1" ht="19.5" customHeight="1">
      <c r="A24" s="4089"/>
      <c r="B24" s="4089" t="s">
        <v>563</v>
      </c>
      <c r="C24" s="822" t="s">
        <v>573</v>
      </c>
      <c r="D24" s="823"/>
      <c r="E24" s="821">
        <v>0.5</v>
      </c>
      <c r="F24" s="824"/>
      <c r="G24" s="825"/>
      <c r="H24" s="817"/>
      <c r="I24" s="817"/>
    </row>
    <row r="25" spans="1:9" s="826" customFormat="1" ht="19.5" customHeight="1">
      <c r="A25" s="4089"/>
      <c r="B25" s="4089"/>
      <c r="C25" s="822" t="s">
        <v>574</v>
      </c>
      <c r="D25" s="823"/>
      <c r="E25" s="821">
        <v>1.1000000000000001</v>
      </c>
      <c r="F25" s="824"/>
      <c r="G25" s="825"/>
      <c r="H25" s="817"/>
      <c r="I25" s="817"/>
    </row>
    <row r="26" spans="1:9" s="826" customFormat="1" ht="19.5" customHeight="1">
      <c r="A26" s="4089"/>
      <c r="B26" s="4089"/>
      <c r="C26" s="822" t="s">
        <v>575</v>
      </c>
      <c r="D26" s="823"/>
      <c r="E26" s="821">
        <v>1.1000000000000001</v>
      </c>
      <c r="F26" s="824"/>
      <c r="G26" s="825"/>
      <c r="H26" s="817"/>
      <c r="I26" s="817"/>
    </row>
    <row r="27" spans="1:9" s="826" customFormat="1" ht="19.5" customHeight="1">
      <c r="A27" s="4089"/>
      <c r="B27" s="4089"/>
      <c r="C27" s="822" t="s">
        <v>576</v>
      </c>
      <c r="D27" s="823"/>
      <c r="E27" s="821">
        <v>0.9</v>
      </c>
      <c r="F27" s="824" t="s">
        <v>577</v>
      </c>
      <c r="G27" s="825"/>
      <c r="H27" s="817"/>
      <c r="I27" s="817"/>
    </row>
    <row r="28" spans="1:9" s="826" customFormat="1" ht="19.5" customHeight="1">
      <c r="A28" s="4089"/>
      <c r="B28" s="4089"/>
      <c r="C28" s="822" t="s">
        <v>578</v>
      </c>
      <c r="D28" s="823"/>
      <c r="E28" s="821">
        <v>0.9</v>
      </c>
      <c r="F28" s="824" t="s">
        <v>579</v>
      </c>
      <c r="G28" s="825"/>
      <c r="H28" s="817"/>
      <c r="I28" s="817"/>
    </row>
    <row r="29" spans="1:9" s="826" customFormat="1" ht="19.5" customHeight="1">
      <c r="A29" s="4089"/>
      <c r="B29" s="4089"/>
      <c r="C29" s="822" t="s">
        <v>580</v>
      </c>
      <c r="D29" s="823"/>
      <c r="E29" s="821">
        <v>0.9</v>
      </c>
      <c r="F29" s="824" t="s">
        <v>581</v>
      </c>
      <c r="G29" s="825"/>
      <c r="H29" s="817"/>
      <c r="I29" s="817"/>
    </row>
    <row r="30" spans="1:9" s="826" customFormat="1" ht="19.5" customHeight="1">
      <c r="A30" s="4089"/>
      <c r="B30" s="4089"/>
      <c r="C30" s="822" t="s">
        <v>582</v>
      </c>
      <c r="D30" s="823"/>
      <c r="E30" s="821">
        <v>0.9</v>
      </c>
      <c r="F30" s="824" t="s">
        <v>583</v>
      </c>
      <c r="G30" s="825"/>
      <c r="H30" s="817"/>
      <c r="I30" s="817"/>
    </row>
    <row r="31" spans="1:9" s="826" customFormat="1" ht="19.5" customHeight="1">
      <c r="A31" s="4089"/>
      <c r="B31" s="4089"/>
      <c r="C31" s="822" t="s">
        <v>584</v>
      </c>
      <c r="D31" s="823"/>
      <c r="E31" s="821">
        <v>0.8</v>
      </c>
      <c r="F31" s="824" t="s">
        <v>585</v>
      </c>
      <c r="G31" s="825"/>
      <c r="H31" s="817"/>
      <c r="I31" s="817"/>
    </row>
    <row r="32" spans="1:9" s="826" customFormat="1" ht="19.5" customHeight="1">
      <c r="A32" s="4089"/>
      <c r="B32" s="4089"/>
      <c r="C32" s="822" t="s">
        <v>586</v>
      </c>
      <c r="D32" s="823"/>
      <c r="E32" s="821">
        <v>0.8</v>
      </c>
      <c r="F32" s="824" t="s">
        <v>587</v>
      </c>
      <c r="G32" s="825"/>
      <c r="H32" s="817"/>
      <c r="I32" s="817"/>
    </row>
    <row r="33" spans="1:9" s="826" customFormat="1" ht="19.5" customHeight="1">
      <c r="A33" s="4089" t="s">
        <v>185</v>
      </c>
      <c r="B33" s="821" t="s">
        <v>560</v>
      </c>
      <c r="C33" s="822" t="s">
        <v>588</v>
      </c>
      <c r="D33" s="823"/>
      <c r="E33" s="821">
        <v>1</v>
      </c>
      <c r="F33" s="824" t="s">
        <v>589</v>
      </c>
      <c r="G33" s="825"/>
      <c r="H33" s="817"/>
      <c r="I33" s="817"/>
    </row>
    <row r="34" spans="1:9" s="826" customFormat="1" ht="19.5" customHeight="1">
      <c r="A34" s="4089"/>
      <c r="B34" s="821" t="s">
        <v>563</v>
      </c>
      <c r="C34" s="822" t="s">
        <v>590</v>
      </c>
      <c r="D34" s="823"/>
      <c r="E34" s="821">
        <v>1.5</v>
      </c>
      <c r="F34" s="824" t="s">
        <v>591</v>
      </c>
      <c r="G34" s="825"/>
      <c r="H34" s="817"/>
      <c r="I34" s="817"/>
    </row>
    <row r="35" spans="1:9" s="826" customFormat="1" ht="19.5" customHeight="1">
      <c r="A35" s="4089" t="s">
        <v>186</v>
      </c>
      <c r="B35" s="821" t="s">
        <v>560</v>
      </c>
      <c r="C35" s="822" t="s">
        <v>592</v>
      </c>
      <c r="D35" s="823"/>
      <c r="E35" s="821">
        <v>1</v>
      </c>
      <c r="F35" s="824" t="s">
        <v>593</v>
      </c>
      <c r="G35" s="825"/>
      <c r="H35" s="817"/>
      <c r="I35" s="817"/>
    </row>
    <row r="36" spans="1:9" s="826" customFormat="1" ht="19.5" customHeight="1">
      <c r="A36" s="4089"/>
      <c r="B36" s="4089" t="s">
        <v>563</v>
      </c>
      <c r="C36" s="822" t="s">
        <v>594</v>
      </c>
      <c r="D36" s="823"/>
      <c r="E36" s="821">
        <v>1</v>
      </c>
      <c r="F36" s="824" t="s">
        <v>595</v>
      </c>
      <c r="G36" s="825"/>
      <c r="H36" s="817"/>
      <c r="I36" s="817"/>
    </row>
    <row r="37" spans="1:9" s="826" customFormat="1" ht="19.5" customHeight="1">
      <c r="A37" s="4089"/>
      <c r="B37" s="4089"/>
      <c r="C37" s="822" t="s">
        <v>596</v>
      </c>
      <c r="D37" s="823"/>
      <c r="E37" s="821">
        <v>1.5</v>
      </c>
      <c r="F37" s="824" t="s">
        <v>597</v>
      </c>
      <c r="G37" s="825"/>
      <c r="H37" s="817"/>
      <c r="I37" s="817"/>
    </row>
    <row r="38" spans="1:9" s="826" customFormat="1" ht="19.5" customHeight="1">
      <c r="A38" s="4089"/>
      <c r="B38" s="4089"/>
      <c r="C38" s="822" t="s">
        <v>598</v>
      </c>
      <c r="D38" s="823"/>
      <c r="E38" s="821">
        <v>1</v>
      </c>
      <c r="F38" s="824" t="s">
        <v>599</v>
      </c>
      <c r="G38" s="825"/>
      <c r="H38" s="817"/>
      <c r="I38" s="817"/>
    </row>
    <row r="39" spans="1:9" s="826" customFormat="1" ht="19.5" customHeight="1">
      <c r="A39" s="4089"/>
      <c r="B39" s="408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89" t="s">
        <v>614</v>
      </c>
      <c r="C61" s="757" t="s">
        <v>615</v>
      </c>
      <c r="D61" s="757" t="s">
        <v>616</v>
      </c>
      <c r="E61" s="834">
        <v>0.5</v>
      </c>
      <c r="F61" s="821">
        <v>80</v>
      </c>
    </row>
    <row r="62" spans="1:8" s="817" customFormat="1" ht="24">
      <c r="A62" s="821">
        <v>2</v>
      </c>
      <c r="B62" s="4089"/>
      <c r="C62" s="757" t="s">
        <v>617</v>
      </c>
      <c r="D62" s="757" t="s">
        <v>618</v>
      </c>
      <c r="E62" s="834">
        <v>0.5</v>
      </c>
      <c r="F62" s="821">
        <v>80</v>
      </c>
    </row>
    <row r="63" spans="1:8" s="817" customFormat="1" ht="36">
      <c r="A63" s="821">
        <v>3</v>
      </c>
      <c r="B63" s="4089"/>
      <c r="C63" s="757" t="s">
        <v>619</v>
      </c>
      <c r="D63" s="757" t="s">
        <v>620</v>
      </c>
      <c r="E63" s="834">
        <v>0.5</v>
      </c>
      <c r="F63" s="821">
        <v>80</v>
      </c>
    </row>
    <row r="64" spans="1:8" s="817" customFormat="1" ht="36">
      <c r="A64" s="821">
        <v>4</v>
      </c>
      <c r="B64" s="4089"/>
      <c r="C64" s="757" t="s">
        <v>621</v>
      </c>
      <c r="D64" s="757" t="s">
        <v>622</v>
      </c>
      <c r="E64" s="834">
        <v>0.4</v>
      </c>
      <c r="F64" s="821">
        <v>60</v>
      </c>
    </row>
    <row r="65" spans="1:6" s="817" customFormat="1" ht="36">
      <c r="A65" s="821">
        <v>5</v>
      </c>
      <c r="B65" s="4089"/>
      <c r="C65" s="757" t="s">
        <v>623</v>
      </c>
      <c r="D65" s="757" t="s">
        <v>624</v>
      </c>
      <c r="E65" s="834">
        <v>0.2</v>
      </c>
      <c r="F65" s="821">
        <v>30</v>
      </c>
    </row>
    <row r="66" spans="1:6" s="817" customFormat="1" ht="36">
      <c r="A66" s="821">
        <v>6</v>
      </c>
      <c r="B66" s="4089"/>
      <c r="C66" s="757" t="s">
        <v>625</v>
      </c>
      <c r="D66" s="757" t="s">
        <v>626</v>
      </c>
      <c r="E66" s="834">
        <v>0.3</v>
      </c>
      <c r="F66" s="821">
        <v>50</v>
      </c>
    </row>
    <row r="67" spans="1:6" s="817" customFormat="1" ht="36">
      <c r="A67" s="821">
        <v>7</v>
      </c>
      <c r="B67" s="4089"/>
      <c r="C67" s="757" t="s">
        <v>627</v>
      </c>
      <c r="D67" s="757" t="s">
        <v>628</v>
      </c>
      <c r="E67" s="834">
        <v>0.2</v>
      </c>
      <c r="F67" s="821">
        <v>30</v>
      </c>
    </row>
    <row r="68" spans="1:6" s="817" customFormat="1" ht="36">
      <c r="A68" s="821">
        <v>8</v>
      </c>
      <c r="B68" s="4089"/>
      <c r="C68" s="757" t="s">
        <v>629</v>
      </c>
      <c r="D68" s="757" t="s">
        <v>630</v>
      </c>
      <c r="E68" s="834">
        <v>0.2</v>
      </c>
      <c r="F68" s="821">
        <v>30</v>
      </c>
    </row>
    <row r="69" spans="1:6" s="817" customFormat="1" ht="36">
      <c r="A69" s="821">
        <v>9</v>
      </c>
      <c r="B69" s="4089"/>
      <c r="C69" s="757" t="s">
        <v>631</v>
      </c>
      <c r="D69" s="757" t="s">
        <v>632</v>
      </c>
      <c r="E69" s="834">
        <v>0.2</v>
      </c>
      <c r="F69" s="821">
        <v>30</v>
      </c>
    </row>
    <row r="70" spans="1:6" s="817" customFormat="1" ht="48">
      <c r="A70" s="821">
        <v>10</v>
      </c>
      <c r="B70" s="4089"/>
      <c r="C70" s="757" t="s">
        <v>633</v>
      </c>
      <c r="D70" s="757" t="s">
        <v>634</v>
      </c>
      <c r="E70" s="834">
        <v>0.2</v>
      </c>
      <c r="F70" s="821">
        <v>30</v>
      </c>
    </row>
    <row r="71" spans="1:6" s="817" customFormat="1" ht="48">
      <c r="A71" s="821">
        <v>11</v>
      </c>
      <c r="B71" s="4089"/>
      <c r="C71" s="757" t="s">
        <v>635</v>
      </c>
      <c r="D71" s="757" t="s">
        <v>636</v>
      </c>
      <c r="E71" s="834">
        <v>0.2</v>
      </c>
      <c r="F71" s="821">
        <v>30</v>
      </c>
    </row>
    <row r="72" spans="1:6" s="817" customFormat="1" ht="36">
      <c r="A72" s="821">
        <v>12</v>
      </c>
      <c r="B72" s="4089"/>
      <c r="C72" s="757" t="s">
        <v>637</v>
      </c>
      <c r="D72" s="757" t="s">
        <v>638</v>
      </c>
      <c r="E72" s="834">
        <v>0.5</v>
      </c>
      <c r="F72" s="821">
        <v>80</v>
      </c>
    </row>
    <row r="73" spans="1:6" s="817" customFormat="1" ht="24">
      <c r="A73" s="821">
        <v>13</v>
      </c>
      <c r="B73" s="4089"/>
      <c r="C73" s="757" t="s">
        <v>639</v>
      </c>
      <c r="D73" s="757" t="s">
        <v>640</v>
      </c>
      <c r="E73" s="834">
        <v>0.4</v>
      </c>
      <c r="F73" s="821">
        <v>60</v>
      </c>
    </row>
    <row r="74" spans="1:6" s="817" customFormat="1" ht="24">
      <c r="A74" s="821">
        <v>14</v>
      </c>
      <c r="B74" s="4089"/>
      <c r="C74" s="757" t="s">
        <v>641</v>
      </c>
      <c r="D74" s="757" t="s">
        <v>642</v>
      </c>
      <c r="E74" s="834">
        <v>0.2</v>
      </c>
      <c r="F74" s="821">
        <v>30</v>
      </c>
    </row>
    <row r="75" spans="1:6" s="817" customFormat="1" ht="24">
      <c r="A75" s="821">
        <v>15</v>
      </c>
      <c r="B75" s="4089"/>
      <c r="C75" s="757" t="s">
        <v>643</v>
      </c>
      <c r="D75" s="757" t="s">
        <v>644</v>
      </c>
      <c r="E75" s="834">
        <v>0.2</v>
      </c>
      <c r="F75" s="821">
        <v>30</v>
      </c>
    </row>
    <row r="76" spans="1:6" s="817" customFormat="1" ht="24">
      <c r="A76" s="821">
        <v>16</v>
      </c>
      <c r="B76" s="4089" t="s">
        <v>645</v>
      </c>
      <c r="C76" s="757" t="s">
        <v>646</v>
      </c>
      <c r="D76" s="757" t="s">
        <v>647</v>
      </c>
      <c r="E76" s="834">
        <v>0.5</v>
      </c>
      <c r="F76" s="821">
        <v>80</v>
      </c>
    </row>
    <row r="77" spans="1:6" s="817" customFormat="1" ht="24">
      <c r="A77" s="821">
        <v>17</v>
      </c>
      <c r="B77" s="4089"/>
      <c r="C77" s="757" t="s">
        <v>648</v>
      </c>
      <c r="D77" s="757" t="s">
        <v>649</v>
      </c>
      <c r="E77" s="834">
        <v>0.5</v>
      </c>
      <c r="F77" s="821">
        <v>80</v>
      </c>
    </row>
    <row r="78" spans="1:6" s="817" customFormat="1" ht="24">
      <c r="A78" s="821">
        <v>18</v>
      </c>
      <c r="B78" s="4089"/>
      <c r="C78" s="757" t="s">
        <v>650</v>
      </c>
      <c r="D78" s="757" t="s">
        <v>651</v>
      </c>
      <c r="E78" s="834">
        <v>0.2</v>
      </c>
      <c r="F78" s="821">
        <v>30</v>
      </c>
    </row>
    <row r="79" spans="1:6" s="817" customFormat="1" ht="24">
      <c r="A79" s="821">
        <v>19</v>
      </c>
      <c r="B79" s="4089"/>
      <c r="C79" s="757" t="s">
        <v>652</v>
      </c>
      <c r="D79" s="757" t="s">
        <v>653</v>
      </c>
      <c r="E79" s="834">
        <v>0.5</v>
      </c>
      <c r="F79" s="821">
        <v>80</v>
      </c>
    </row>
    <row r="80" spans="1:6" s="817" customFormat="1" ht="36">
      <c r="A80" s="821">
        <v>20</v>
      </c>
      <c r="B80" s="4089"/>
      <c r="C80" s="757" t="s">
        <v>654</v>
      </c>
      <c r="D80" s="757" t="s">
        <v>655</v>
      </c>
      <c r="E80" s="834">
        <v>0.2</v>
      </c>
      <c r="F80" s="821">
        <v>30</v>
      </c>
    </row>
    <row r="81" spans="1:6" s="817" customFormat="1" ht="36">
      <c r="A81" s="821">
        <v>21</v>
      </c>
      <c r="B81" s="4089"/>
      <c r="C81" s="757" t="s">
        <v>656</v>
      </c>
      <c r="D81" s="757" t="s">
        <v>657</v>
      </c>
      <c r="E81" s="834">
        <v>0.2</v>
      </c>
      <c r="F81" s="821">
        <v>30</v>
      </c>
    </row>
    <row r="82" spans="1:6" s="817" customFormat="1" ht="48">
      <c r="A82" s="821">
        <v>22</v>
      </c>
      <c r="B82" s="4089"/>
      <c r="C82" s="757" t="s">
        <v>658</v>
      </c>
      <c r="D82" s="757" t="s">
        <v>659</v>
      </c>
      <c r="E82" s="834">
        <v>0.2</v>
      </c>
      <c r="F82" s="821">
        <v>30</v>
      </c>
    </row>
    <row r="83" spans="1:6" s="817" customFormat="1" ht="48">
      <c r="A83" s="821">
        <v>23</v>
      </c>
      <c r="B83" s="4089"/>
      <c r="C83" s="757" t="s">
        <v>660</v>
      </c>
      <c r="D83" s="757" t="s">
        <v>661</v>
      </c>
      <c r="E83" s="834">
        <v>0.2</v>
      </c>
      <c r="F83" s="821">
        <v>30</v>
      </c>
    </row>
    <row r="84" spans="1:6" s="817" customFormat="1" ht="36">
      <c r="A84" s="821">
        <v>24</v>
      </c>
      <c r="B84" s="4089"/>
      <c r="C84" s="757" t="s">
        <v>662</v>
      </c>
      <c r="D84" s="757" t="s">
        <v>663</v>
      </c>
      <c r="E84" s="834">
        <v>0.2</v>
      </c>
      <c r="F84" s="821">
        <v>30</v>
      </c>
    </row>
    <row r="85" spans="1:6" s="817" customFormat="1" ht="36">
      <c r="A85" s="821">
        <v>25</v>
      </c>
      <c r="B85" s="4089"/>
      <c r="C85" s="757" t="s">
        <v>664</v>
      </c>
      <c r="D85" s="757" t="s">
        <v>665</v>
      </c>
      <c r="E85" s="834">
        <v>0.5</v>
      </c>
      <c r="F85" s="821">
        <v>80</v>
      </c>
    </row>
    <row r="86" spans="1:6" s="817" customFormat="1" ht="36">
      <c r="A86" s="821">
        <v>26</v>
      </c>
      <c r="B86" s="4089"/>
      <c r="C86" s="757" t="s">
        <v>666</v>
      </c>
      <c r="D86" s="757" t="s">
        <v>667</v>
      </c>
      <c r="E86" s="834">
        <v>0.2</v>
      </c>
      <c r="F86" s="821">
        <v>30</v>
      </c>
    </row>
    <row r="87" spans="1:6" s="817" customFormat="1" ht="36">
      <c r="A87" s="821">
        <v>27</v>
      </c>
      <c r="B87" s="4089"/>
      <c r="C87" s="757" t="s">
        <v>668</v>
      </c>
      <c r="D87" s="757" t="s">
        <v>669</v>
      </c>
      <c r="E87" s="834">
        <v>0.2</v>
      </c>
      <c r="F87" s="821">
        <v>30</v>
      </c>
    </row>
    <row r="88" spans="1:6" s="817" customFormat="1" ht="36">
      <c r="A88" s="821">
        <v>28</v>
      </c>
      <c r="B88" s="4089"/>
      <c r="C88" s="757" t="s">
        <v>670</v>
      </c>
      <c r="D88" s="757" t="s">
        <v>671</v>
      </c>
      <c r="E88" s="834">
        <v>0.2</v>
      </c>
      <c r="F88" s="821">
        <v>30</v>
      </c>
    </row>
    <row r="89" spans="1:6" s="817" customFormat="1" ht="24">
      <c r="A89" s="821">
        <v>29</v>
      </c>
      <c r="B89" s="4089"/>
      <c r="C89" s="757" t="s">
        <v>672</v>
      </c>
      <c r="D89" s="757" t="s">
        <v>673</v>
      </c>
      <c r="E89" s="834">
        <v>0.2</v>
      </c>
      <c r="F89" s="821">
        <v>30</v>
      </c>
    </row>
    <row r="90" spans="1:6" s="817" customFormat="1" ht="24">
      <c r="A90" s="821">
        <v>30</v>
      </c>
      <c r="B90" s="4089"/>
      <c r="C90" s="757" t="s">
        <v>674</v>
      </c>
      <c r="D90" s="757" t="s">
        <v>675</v>
      </c>
      <c r="E90" s="834">
        <v>0.2</v>
      </c>
      <c r="F90" s="821">
        <v>30</v>
      </c>
    </row>
    <row r="91" spans="1:6" s="817" customFormat="1" ht="36">
      <c r="A91" s="821">
        <v>31</v>
      </c>
      <c r="B91" s="4089"/>
      <c r="C91" s="757" t="s">
        <v>676</v>
      </c>
      <c r="D91" s="757" t="s">
        <v>677</v>
      </c>
      <c r="E91" s="834">
        <v>0.2</v>
      </c>
      <c r="F91" s="821">
        <v>30</v>
      </c>
    </row>
    <row r="92" spans="1:6" s="817" customFormat="1" ht="24">
      <c r="A92" s="821">
        <v>32</v>
      </c>
      <c r="B92" s="4089" t="s">
        <v>678</v>
      </c>
      <c r="C92" s="821" t="s">
        <v>679</v>
      </c>
      <c r="D92" s="757" t="s">
        <v>680</v>
      </c>
      <c r="E92" s="834">
        <v>0.2</v>
      </c>
      <c r="F92" s="821">
        <v>30</v>
      </c>
    </row>
    <row r="93" spans="1:6" s="817" customFormat="1" ht="36">
      <c r="A93" s="821">
        <v>33</v>
      </c>
      <c r="B93" s="4089"/>
      <c r="C93" s="821" t="s">
        <v>681</v>
      </c>
      <c r="D93" s="757" t="s">
        <v>682</v>
      </c>
      <c r="E93" s="834">
        <v>0.2</v>
      </c>
      <c r="F93" s="821">
        <v>30</v>
      </c>
    </row>
    <row r="94" spans="1:6" s="817" customFormat="1" ht="48">
      <c r="A94" s="821">
        <v>34</v>
      </c>
      <c r="B94" s="4089"/>
      <c r="C94" s="821" t="s">
        <v>683</v>
      </c>
      <c r="D94" s="757" t="s">
        <v>684</v>
      </c>
      <c r="E94" s="834">
        <v>0.2</v>
      </c>
      <c r="F94" s="821">
        <v>30</v>
      </c>
    </row>
    <row r="95" spans="1:6" s="817" customFormat="1" ht="36">
      <c r="A95" s="821">
        <v>35</v>
      </c>
      <c r="B95" s="4089"/>
      <c r="C95" s="821" t="s">
        <v>685</v>
      </c>
      <c r="D95" s="757" t="s">
        <v>686</v>
      </c>
      <c r="E95" s="834">
        <v>0.2</v>
      </c>
      <c r="F95" s="821">
        <v>30</v>
      </c>
    </row>
    <row r="96" spans="1:6" s="817" customFormat="1" ht="48">
      <c r="A96" s="821">
        <v>36</v>
      </c>
      <c r="B96" s="4089"/>
      <c r="C96" s="757" t="s">
        <v>687</v>
      </c>
      <c r="D96" s="757" t="s">
        <v>688</v>
      </c>
      <c r="E96" s="834">
        <v>0.2</v>
      </c>
      <c r="F96" s="821">
        <v>30</v>
      </c>
    </row>
    <row r="97" spans="1:6" s="817" customFormat="1" ht="36">
      <c r="A97" s="821">
        <v>37</v>
      </c>
      <c r="B97" s="4089"/>
      <c r="C97" s="821" t="s">
        <v>689</v>
      </c>
      <c r="D97" s="757" t="s">
        <v>690</v>
      </c>
      <c r="E97" s="834">
        <v>0.2</v>
      </c>
      <c r="F97" s="821">
        <v>30</v>
      </c>
    </row>
    <row r="98" spans="1:6" s="817" customFormat="1" ht="36">
      <c r="A98" s="821">
        <v>38</v>
      </c>
      <c r="B98" s="4089"/>
      <c r="C98" s="821" t="s">
        <v>691</v>
      </c>
      <c r="D98" s="757" t="s">
        <v>692</v>
      </c>
      <c r="E98" s="834">
        <v>0.2</v>
      </c>
      <c r="F98" s="821">
        <v>30</v>
      </c>
    </row>
    <row r="99" spans="1:6" s="817" customFormat="1" ht="36">
      <c r="A99" s="821">
        <v>39</v>
      </c>
      <c r="B99" s="4089" t="s">
        <v>693</v>
      </c>
      <c r="C99" s="821" t="s">
        <v>694</v>
      </c>
      <c r="D99" s="757" t="s">
        <v>695</v>
      </c>
      <c r="E99" s="834">
        <v>0.3</v>
      </c>
      <c r="F99" s="821">
        <v>50</v>
      </c>
    </row>
    <row r="100" spans="1:6" s="817" customFormat="1" ht="24">
      <c r="A100" s="821">
        <v>40</v>
      </c>
      <c r="B100" s="4089"/>
      <c r="C100" s="821" t="s">
        <v>696</v>
      </c>
      <c r="D100" s="757" t="s">
        <v>697</v>
      </c>
      <c r="E100" s="834">
        <v>0.2</v>
      </c>
      <c r="F100" s="821">
        <v>30</v>
      </c>
    </row>
    <row r="101" spans="1:6" s="817" customFormat="1" ht="36">
      <c r="A101" s="821">
        <v>41</v>
      </c>
      <c r="B101" s="408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89" t="s">
        <v>708</v>
      </c>
      <c r="C105" s="821" t="s">
        <v>709</v>
      </c>
      <c r="D105" s="757" t="s">
        <v>710</v>
      </c>
      <c r="E105" s="834">
        <v>0.2</v>
      </c>
      <c r="F105" s="821">
        <v>30</v>
      </c>
    </row>
    <row r="106" spans="1:6" s="817" customFormat="1" ht="36">
      <c r="A106" s="821">
        <v>46</v>
      </c>
      <c r="B106" s="4089"/>
      <c r="C106" s="821" t="s">
        <v>711</v>
      </c>
      <c r="D106" s="757" t="s">
        <v>712</v>
      </c>
      <c r="E106" s="834">
        <v>0.2</v>
      </c>
      <c r="F106" s="821">
        <v>30</v>
      </c>
    </row>
    <row r="107" spans="1:6" s="817" customFormat="1" ht="36">
      <c r="A107" s="821">
        <v>47</v>
      </c>
      <c r="B107" s="4089" t="s">
        <v>713</v>
      </c>
      <c r="C107" s="821" t="s">
        <v>714</v>
      </c>
      <c r="D107" s="757" t="s">
        <v>715</v>
      </c>
      <c r="E107" s="834">
        <v>0.3</v>
      </c>
      <c r="F107" s="821">
        <v>50</v>
      </c>
    </row>
    <row r="108" spans="1:6" s="817" customFormat="1" ht="36">
      <c r="A108" s="821">
        <v>48</v>
      </c>
      <c r="B108" s="408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89" t="s">
        <v>724</v>
      </c>
      <c r="C111" s="821" t="s">
        <v>725</v>
      </c>
      <c r="D111" s="757" t="s">
        <v>726</v>
      </c>
      <c r="E111" s="834">
        <v>0.2</v>
      </c>
      <c r="F111" s="821">
        <v>30</v>
      </c>
    </row>
    <row r="112" spans="1:6" s="817" customFormat="1" ht="24">
      <c r="A112" s="821">
        <v>52</v>
      </c>
      <c r="B112" s="4089"/>
      <c r="C112" s="821" t="s">
        <v>727</v>
      </c>
      <c r="D112" s="757" t="s">
        <v>728</v>
      </c>
      <c r="E112" s="834">
        <v>0.2</v>
      </c>
      <c r="F112" s="821">
        <v>30</v>
      </c>
    </row>
    <row r="113" spans="1:6" s="817" customFormat="1" ht="24">
      <c r="A113" s="821">
        <v>53</v>
      </c>
      <c r="B113" s="408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89" t="s">
        <v>737</v>
      </c>
      <c r="C116" s="821" t="s">
        <v>738</v>
      </c>
      <c r="D116" s="757" t="s">
        <v>739</v>
      </c>
      <c r="E116" s="834">
        <v>0.2</v>
      </c>
      <c r="F116" s="821">
        <v>30</v>
      </c>
    </row>
    <row r="117" spans="1:6" ht="36">
      <c r="A117" s="821">
        <v>57</v>
      </c>
      <c r="B117" s="408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8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2812</v>
      </c>
      <c r="B1" s="2364"/>
      <c r="C1" s="2364"/>
      <c r="D1" s="2364"/>
      <c r="E1" s="2364"/>
      <c r="F1" s="3021"/>
      <c r="G1" s="3021"/>
      <c r="H1" s="3021"/>
      <c r="I1" s="3021"/>
      <c r="J1" s="3021"/>
      <c r="K1" s="3021"/>
      <c r="L1" s="3021"/>
      <c r="M1" s="3021"/>
      <c r="N1" s="3021"/>
      <c r="O1" s="3021"/>
      <c r="P1" s="3021"/>
    </row>
    <row r="2" spans="1:16" ht="15.75">
      <c r="A2" s="2362" t="s">
        <v>2804</v>
      </c>
      <c r="B2" s="2826" t="e">
        <f ca="1">SUMIF(B6:B13,"&lt;&gt;#ref!",B6:B13)</f>
        <v>#DIV/0!</v>
      </c>
      <c r="C2" s="2362" t="s">
        <v>2805</v>
      </c>
      <c r="D2" s="2362" t="s">
        <v>2806</v>
      </c>
      <c r="E2" s="2836">
        <f ca="1">SUMIF(E6:E13,"&lt;&gt;#ref!",E6:E13)</f>
        <v>0</v>
      </c>
      <c r="F2" s="3021"/>
      <c r="G2" s="3021"/>
      <c r="H2" s="3021"/>
      <c r="I2" s="3021"/>
      <c r="J2" s="3021"/>
      <c r="K2" s="3021"/>
      <c r="L2" s="3021"/>
      <c r="M2" s="3021"/>
      <c r="N2" s="3021"/>
      <c r="O2" s="3021"/>
      <c r="P2" s="3021"/>
    </row>
    <row r="3" spans="1:16" ht="15.75">
      <c r="A3" s="2362" t="s">
        <v>2807</v>
      </c>
      <c r="B3" s="2826" t="e">
        <f ca="1">ROUND(B2*10000/E2,0)</f>
        <v>#DIV/0!</v>
      </c>
      <c r="C3" s="2362" t="s">
        <v>2813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2808</v>
      </c>
      <c r="B5" s="2834" t="s">
        <v>2809</v>
      </c>
      <c r="C5" s="2363"/>
      <c r="D5" s="3021"/>
      <c r="E5" s="2835" t="s">
        <v>2810</v>
      </c>
      <c r="F5" s="3021"/>
      <c r="G5" s="3021"/>
      <c r="H5" s="3021"/>
      <c r="I5" s="3021"/>
      <c r="J5" s="3021"/>
      <c r="K5" s="3021"/>
      <c r="L5" s="3021"/>
      <c r="M5" s="3021"/>
      <c r="N5" s="3021"/>
      <c r="O5" s="3021"/>
      <c r="P5" s="3021"/>
    </row>
    <row r="6" spans="1:16" ht="15.75">
      <c r="A6" s="2833" t="s">
        <v>2811</v>
      </c>
      <c r="B6" s="2826" t="e">
        <f ca="1">SUMIF(INDIRECT("'"&amp;A6&amp;"'"&amp;"!A:A"),"总价",INDIRECT("'"&amp;A6&amp;"'"&amp;"!B:B"))</f>
        <v>#DIV/0!</v>
      </c>
      <c r="C6" s="2362" t="s">
        <v>2805</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2" t="s">
        <v>2805</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2805</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2805</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2805</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2805</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2805</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2805</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4095" t="s">
        <v>1117</v>
      </c>
      <c r="C1" s="4095"/>
      <c r="D1" s="4095"/>
      <c r="E1" s="4095"/>
      <c r="F1" s="4095"/>
      <c r="G1" s="4091" t="s">
        <v>1118</v>
      </c>
      <c r="H1" s="4091"/>
      <c r="I1" s="4091"/>
      <c r="J1" s="4091"/>
      <c r="K1" s="4091"/>
      <c r="L1" s="4091"/>
      <c r="N1" s="4091" t="s">
        <v>1119</v>
      </c>
      <c r="O1" s="4091"/>
      <c r="P1" s="4091"/>
      <c r="Q1" s="4091"/>
      <c r="S1" s="4091" t="s">
        <v>1120</v>
      </c>
      <c r="T1" s="4091"/>
      <c r="U1" s="4091"/>
      <c r="V1" s="4091"/>
      <c r="X1" s="4090" t="s">
        <v>1121</v>
      </c>
      <c r="Y1" s="4091"/>
      <c r="Z1" s="4091"/>
      <c r="AA1" s="4091"/>
      <c r="AB1" s="4091"/>
      <c r="AD1" s="4090" t="s">
        <v>1122</v>
      </c>
      <c r="AE1" s="4091"/>
      <c r="AF1" s="4091"/>
      <c r="AG1" s="4091"/>
      <c r="AH1" s="4091"/>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2845</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3045</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37">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2846</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3044</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37">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2862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2859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2858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2856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2854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2857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4093">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4093"/>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4093"/>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2844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4100"/>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2842</v>
      </c>
      <c r="B17" s="2439">
        <v>439</v>
      </c>
      <c r="C17" s="2439">
        <v>327</v>
      </c>
      <c r="D17" s="2439">
        <f>C17</f>
        <v>327</v>
      </c>
      <c r="E17" s="2439">
        <v>627</v>
      </c>
      <c r="F17" s="2440">
        <v>283</v>
      </c>
      <c r="G17" s="4096">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4093"/>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4093"/>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4100"/>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4096">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4093"/>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4093"/>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4094"/>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4092">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4093"/>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4093"/>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4094"/>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4092">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4093"/>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4093"/>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4094"/>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4097">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4098"/>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4098"/>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4099"/>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4092">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4093"/>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4093"/>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4094"/>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4092">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4093">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4093">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4094">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4092">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4093">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4093">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4094">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4092">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4093">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4093">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4094">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4092">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4093">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4093">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4094">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4092">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4093">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4093">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4094">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4092">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4093">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4093">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4094">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4092">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4093">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4093">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4094">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4092">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4093">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4093">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4094">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4092">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4093">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4093">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4094">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4092">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4093">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4093">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4094">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2"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2814</v>
      </c>
      <c r="C1" s="4104" t="s">
        <v>2815</v>
      </c>
      <c r="D1" s="4105"/>
      <c r="E1" s="4105"/>
      <c r="F1" s="4105"/>
      <c r="G1" s="4105"/>
      <c r="H1" s="4105"/>
      <c r="I1" s="4105"/>
      <c r="J1" s="4105"/>
      <c r="K1" s="4105"/>
      <c r="L1" s="4105"/>
      <c r="M1" s="4105"/>
      <c r="N1" s="4105"/>
      <c r="O1" s="4105"/>
      <c r="P1" s="4105"/>
      <c r="Q1" s="4105"/>
      <c r="R1" s="4105"/>
      <c r="S1" s="4106"/>
      <c r="T1" s="1113" t="s">
        <v>2816</v>
      </c>
    </row>
    <row r="2" spans="1:45" s="663" customFormat="1">
      <c r="A2" s="1114"/>
      <c r="B2" s="659" t="s">
        <v>2817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507" t="s">
        <v>2818</v>
      </c>
      <c r="C5" s="1125"/>
      <c r="D5" s="1126"/>
      <c r="E5" s="1126"/>
      <c r="F5" s="1481"/>
      <c r="G5" s="1481"/>
      <c r="H5" s="1481"/>
      <c r="I5" s="1481"/>
      <c r="J5" s="1481"/>
      <c r="K5" s="1481"/>
      <c r="L5" s="1482"/>
      <c r="M5" s="1483"/>
      <c r="N5" s="1483"/>
      <c r="O5" s="1481"/>
      <c r="P5" s="1481"/>
      <c r="Q5" s="1481"/>
      <c r="R5" s="1481"/>
      <c r="S5" s="148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508" t="s">
        <v>2819</v>
      </c>
      <c r="C7" s="1034"/>
      <c r="D7" s="1028"/>
      <c r="E7" s="1028"/>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508" t="s">
        <v>2820</v>
      </c>
      <c r="C9" s="1034"/>
      <c r="D9" s="1028"/>
      <c r="E9" s="1028"/>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507" t="s">
        <v>2821</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507" t="s">
        <v>2822</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507" t="s">
        <v>2823</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2824</v>
      </c>
      <c r="B17" s="2366" t="s">
        <v>2825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7" t="s">
        <v>2826</v>
      </c>
      <c r="E19" s="1525"/>
      <c r="F19" s="1525"/>
      <c r="G19" s="1525"/>
      <c r="H19" s="1189"/>
      <c r="I19" s="164"/>
      <c r="J19" s="164"/>
      <c r="K19" s="164"/>
      <c r="L19" s="164"/>
      <c r="M19" s="164"/>
      <c r="N19" s="164"/>
      <c r="O19" s="164"/>
      <c r="P19" s="164"/>
      <c r="Q19" s="164"/>
      <c r="R19" s="727"/>
      <c r="S19" s="134"/>
    </row>
    <row r="20" spans="1:45" ht="16.5" thickBot="1">
      <c r="A20" s="671" t="s">
        <v>2827</v>
      </c>
      <c r="B20" s="300" t="e">
        <f ca="1">IF(D20="——",S22,S22-F20)</f>
        <v>#REF!</v>
      </c>
      <c r="C20" s="164"/>
      <c r="D20" s="2368"/>
      <c r="E20" s="1526"/>
      <c r="F20" s="1113" t="e">
        <f ca="1">SUMIF(INDIRECT("'"&amp;H20&amp;"'"&amp;"!A:A"),"承租人权益价值",INDIRECT("'"&amp;H20&amp;"'"&amp;"!c:c"))</f>
        <v>#REF!</v>
      </c>
      <c r="G20" s="1113" t="s">
        <v>2828</v>
      </c>
      <c r="H20" s="2369"/>
      <c r="I20" s="164"/>
      <c r="J20" s="164"/>
      <c r="K20" s="164"/>
      <c r="L20" s="164"/>
      <c r="M20" s="164"/>
      <c r="N20" s="164"/>
      <c r="O20" s="164"/>
      <c r="P20" s="164"/>
      <c r="Q20" s="164"/>
      <c r="R20" s="727"/>
      <c r="S20" s="134"/>
    </row>
    <row r="21" spans="1:45" ht="15.75">
      <c r="A21" s="671" t="s">
        <v>2829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2830</v>
      </c>
      <c r="B22" s="24">
        <f>SUM(B24:B10000)</f>
        <v>100</v>
      </c>
      <c r="C22" s="4101" t="s">
        <v>33</v>
      </c>
      <c r="D22" s="4102"/>
      <c r="E22" s="4102"/>
      <c r="F22" s="4102"/>
      <c r="G22" s="4102"/>
      <c r="H22" s="4102"/>
      <c r="I22" s="4102"/>
      <c r="J22" s="4102"/>
      <c r="K22" s="4102"/>
      <c r="L22" s="4102"/>
      <c r="M22" s="4102"/>
      <c r="N22" s="4102"/>
      <c r="O22" s="4102"/>
      <c r="P22" s="4102"/>
      <c r="Q22" s="4103"/>
      <c r="R22" s="672">
        <f>ROUND(S22*10000/B22,0)</f>
        <v>10000</v>
      </c>
      <c r="S22" s="24">
        <f>SUM(S24:S10000)</f>
        <v>100</v>
      </c>
    </row>
    <row r="23" spans="1:45" s="12" customFormat="1" ht="24">
      <c r="A23" s="11" t="s">
        <v>2831</v>
      </c>
      <c r="B23" s="11" t="s">
        <v>2832</v>
      </c>
      <c r="C23" s="11" t="s">
        <v>2833</v>
      </c>
      <c r="D23" s="11" t="str">
        <f>B5</f>
        <v>修正项2</v>
      </c>
      <c r="E23" s="11" t="s">
        <v>2833</v>
      </c>
      <c r="F23" s="11" t="str">
        <f>B7</f>
        <v>修正项3</v>
      </c>
      <c r="G23" s="11" t="s">
        <v>2833</v>
      </c>
      <c r="H23" s="11" t="str">
        <f>B9</f>
        <v>修正项4</v>
      </c>
      <c r="I23" s="11" t="s">
        <v>2833</v>
      </c>
      <c r="J23" s="11" t="str">
        <f>B11</f>
        <v>修正项5</v>
      </c>
      <c r="K23" s="11" t="s">
        <v>2833</v>
      </c>
      <c r="L23" s="11" t="str">
        <f>B13</f>
        <v>修正项6</v>
      </c>
      <c r="M23" s="11" t="s">
        <v>2833</v>
      </c>
      <c r="N23" s="11" t="str">
        <f>B15</f>
        <v>修正项7</v>
      </c>
      <c r="O23" s="11" t="s">
        <v>2833</v>
      </c>
      <c r="P23" s="11" t="str">
        <f>B17</f>
        <v>楼层</v>
      </c>
      <c r="Q23" s="11" t="s">
        <v>2833</v>
      </c>
      <c r="R23" s="673" t="s">
        <v>2834</v>
      </c>
      <c r="S23" s="11" t="s">
        <v>2835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39110</v>
      </c>
      <c r="C2" s="2" t="s">
        <v>133</v>
      </c>
      <c r="D2" s="205"/>
      <c r="E2" s="205"/>
      <c r="F2" s="205"/>
      <c r="G2" s="205"/>
    </row>
    <row r="3" spans="1:7" s="206" customFormat="1" ht="18" customHeight="1" thickBot="1">
      <c r="A3" s="209" t="s">
        <v>85</v>
      </c>
      <c r="B3" s="210">
        <f ca="1">ROUND(B2*10000/'数据-汇总表'!E3,0)</f>
        <v>547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1723</v>
      </c>
      <c r="D9" s="953">
        <f>'数据-汇总表'!E5</f>
        <v>519045.26999999996</v>
      </c>
      <c r="E9" s="231">
        <f>'数据-取费表'!B27</f>
        <v>33.200000000000003</v>
      </c>
      <c r="F9" s="227"/>
      <c r="G9" s="232"/>
    </row>
    <row r="10" spans="1:7" s="220" customFormat="1" ht="13.5" customHeight="1">
      <c r="A10" s="887" t="s">
        <v>801</v>
      </c>
      <c r="B10" s="230" t="s">
        <v>94</v>
      </c>
      <c r="C10" s="231">
        <f>ROUND(D10*E10/10000,0)</f>
        <v>422</v>
      </c>
      <c r="D10" s="953">
        <f>'数据-汇总表'!E6</f>
        <v>195348.98000000004</v>
      </c>
      <c r="E10" s="231">
        <f>'数据-取费表'!B28</f>
        <v>21.6</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5" t="s">
        <v>1023</v>
      </c>
      <c r="B19" s="216" t="s">
        <v>111</v>
      </c>
      <c r="C19" s="217">
        <f>IF(G19="已包含在土地取得成本中","0",ROUND(D19*E19/10000,0))</f>
        <v>3572</v>
      </c>
      <c r="D19" s="957">
        <f>'数据-汇总表'!E3</f>
        <v>714394.25</v>
      </c>
      <c r="E19" s="217">
        <f>'数据-取费表'!B31</f>
        <v>50</v>
      </c>
      <c r="F19" s="237"/>
      <c r="G19" s="1" t="s">
        <v>1042</v>
      </c>
    </row>
    <row r="20" spans="1:7" s="220" customFormat="1" ht="13.5" customHeight="1">
      <c r="A20" s="885" t="s">
        <v>1025</v>
      </c>
      <c r="B20" s="216" t="s">
        <v>104</v>
      </c>
      <c r="C20" s="238">
        <f>ROUND((C5+C19)*F20,0)</f>
        <v>488</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229</v>
      </c>
      <c r="D22" s="241">
        <f ca="1">C26</f>
        <v>1E-4</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194</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4">
        <f ca="1">ROUND(IF('数据-取费表'!B22&lt;=1,C20*F22*'数据-取费表'!B23/2,C20*(POWER((1+F22),'数据-取费表'!B23/2)-1)),0)</f>
        <v>2</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199</v>
      </c>
      <c r="D27" s="241">
        <f>C29</f>
        <v>2.0000000000000001E-4</v>
      </c>
      <c r="E27" s="242" t="s">
        <v>126</v>
      </c>
      <c r="F27" s="252">
        <f>'数据-取费表'!Q16</f>
        <v>0.12</v>
      </c>
      <c r="G27" s="253" t="s">
        <v>1037</v>
      </c>
    </row>
    <row r="28" spans="1:7" s="220" customFormat="1" ht="13.5" customHeight="1">
      <c r="A28" s="888" t="s">
        <v>794</v>
      </c>
      <c r="B28" s="254" t="s">
        <v>1030</v>
      </c>
      <c r="C28" s="255">
        <f>ROUND((C5+C19+C20)*F27*'数据-取费表'!B21/'数据-取费表'!B20,0)</f>
        <v>199</v>
      </c>
      <c r="D28" s="241"/>
      <c r="E28" s="242"/>
      <c r="F28" s="252"/>
      <c r="G28" s="253"/>
    </row>
    <row r="29" spans="1:7" s="220" customFormat="1" ht="13.5" customHeight="1">
      <c r="A29" s="888" t="s">
        <v>792</v>
      </c>
      <c r="B29" s="254" t="s">
        <v>1031</v>
      </c>
      <c r="C29" s="244">
        <f>ROUND(C21*F27*'数据-取费表'!B21/'数据-取费表'!B20,4)</f>
        <v>2.0000000000000001E-4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27281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9539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8159</v>
      </c>
      <c r="D34" s="223"/>
      <c r="E34" s="226"/>
      <c r="F34" s="263">
        <f>IF('数据-取费表'!B24=0,1,'数据-取费表'!N16)</f>
        <v>0.05</v>
      </c>
      <c r="G34" s="225" t="s">
        <v>116</v>
      </c>
    </row>
    <row r="35" spans="1:7" ht="13.5" customHeight="1">
      <c r="A35" s="888" t="s">
        <v>796</v>
      </c>
      <c r="B35" s="221" t="s">
        <v>60</v>
      </c>
      <c r="C35" s="226">
        <f>ROUND(C34*F35,0)</f>
        <v>245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299</v>
      </c>
      <c r="D36" s="226"/>
      <c r="E36" s="226"/>
      <c r="F36" s="265">
        <f>'数据-取费表'!B34</f>
        <v>0.05</v>
      </c>
      <c r="G36" s="266" t="s">
        <v>62</v>
      </c>
    </row>
    <row r="37" spans="1:7" s="264" customFormat="1" ht="13.5" customHeight="1">
      <c r="A37" s="888" t="s">
        <v>798</v>
      </c>
      <c r="B37" s="221" t="s">
        <v>118</v>
      </c>
      <c r="C37" s="255">
        <f>ROUND(E37*D37*F34/10000,0)</f>
        <v>714</v>
      </c>
      <c r="D37" s="223">
        <f>'数据-汇总表'!E3</f>
        <v>714394.25</v>
      </c>
      <c r="E37" s="255">
        <f>'数据-取费表'!B35</f>
        <v>200</v>
      </c>
      <c r="F37" s="265"/>
      <c r="G37" s="267" t="s">
        <v>119</v>
      </c>
    </row>
    <row r="38" spans="1:7" ht="13.5" customHeight="1">
      <c r="A38" s="888" t="s">
        <v>799</v>
      </c>
      <c r="B38" s="221" t="s">
        <v>63</v>
      </c>
      <c r="C38" s="226">
        <f>ROUND(C34*F38,0)</f>
        <v>122</v>
      </c>
      <c r="D38" s="226"/>
      <c r="E38" s="226"/>
      <c r="F38" s="265">
        <f>'数据-取费表'!B36</f>
        <v>1.4999999999999999E-2</v>
      </c>
      <c r="G38" s="225" t="s">
        <v>117</v>
      </c>
    </row>
    <row r="39" spans="1:7" s="220" customFormat="1" ht="13.5" customHeight="1">
      <c r="A39" s="885" t="s">
        <v>783</v>
      </c>
      <c r="B39" s="216" t="s">
        <v>104</v>
      </c>
      <c r="C39" s="238">
        <f>ROUND(C33*F20,0)</f>
        <v>191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45</v>
      </c>
      <c r="D41" s="241">
        <f ca="1">C44</f>
        <v>1E-4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44</v>
      </c>
      <c r="D42" s="244"/>
      <c r="E42" s="244"/>
      <c r="F42" s="245"/>
      <c r="G42" s="4004" t="s">
        <v>121</v>
      </c>
    </row>
    <row r="43" spans="1:7" ht="13.5" customHeight="1">
      <c r="A43" s="888" t="s">
        <v>792</v>
      </c>
      <c r="B43" s="221" t="s">
        <v>1032</v>
      </c>
      <c r="C43" s="244">
        <f ca="1">ROUND(IF('数据-取费表'!B22&lt;=1,C39*F22*'数据-取费表'!B21/2,C39*(POWER((1+F22),'数据-取费表'!B21/2)-1)),0)</f>
        <v>1</v>
      </c>
      <c r="D43" s="244"/>
      <c r="E43" s="244"/>
      <c r="F43" s="245"/>
      <c r="G43" s="4005"/>
    </row>
    <row r="44" spans="1:7" ht="13.5" customHeight="1">
      <c r="A44" s="888" t="s">
        <v>793</v>
      </c>
      <c r="B44" s="221" t="s">
        <v>1034</v>
      </c>
      <c r="C44" s="244">
        <f ca="1">ROUND(IF('数据-取费表'!B22&lt;=1,C40*F22*'数据-取费表'!B21/2,C40*(POWER((1+F22),'数据-取费表'!B21/2)-1)),4)</f>
        <v>1E-4</v>
      </c>
      <c r="D44" s="244"/>
      <c r="E44" s="244"/>
      <c r="F44" s="245"/>
      <c r="G44" s="4006"/>
    </row>
    <row r="45" spans="1:7" s="220" customFormat="1" ht="13.5" customHeight="1">
      <c r="A45" s="885" t="s">
        <v>786</v>
      </c>
      <c r="B45" s="250" t="s">
        <v>112</v>
      </c>
      <c r="C45" s="251">
        <f>C46</f>
        <v>1168</v>
      </c>
      <c r="D45" s="241">
        <f>C47</f>
        <v>2.3999999999999998E-3</v>
      </c>
      <c r="E45" s="242" t="s">
        <v>129</v>
      </c>
      <c r="F45" s="252"/>
      <c r="G45" s="253" t="s">
        <v>1040</v>
      </c>
    </row>
    <row r="46" spans="1:7" s="220" customFormat="1" ht="13.5" customHeight="1">
      <c r="A46" s="888" t="s">
        <v>794</v>
      </c>
      <c r="B46" s="254" t="s">
        <v>1033</v>
      </c>
      <c r="C46" s="255">
        <f>ROUND((C33+C39)*F27,0)</f>
        <v>1168</v>
      </c>
      <c r="D46" s="269"/>
      <c r="E46" s="242"/>
      <c r="F46" s="252"/>
      <c r="G46" s="253"/>
    </row>
    <row r="47" spans="1:7" s="220" customFormat="1" ht="13.5" customHeight="1">
      <c r="A47" s="888" t="s">
        <v>792</v>
      </c>
      <c r="B47" s="254" t="s">
        <v>1035</v>
      </c>
      <c r="C47" s="244">
        <f>ROUND(C40*F27,4)</f>
        <v>2.3999999999999998E-3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11829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11829</v>
      </c>
      <c r="D51" s="238"/>
      <c r="E51" s="238"/>
      <c r="F51" s="270"/>
      <c r="G51" s="240" t="s">
        <v>64</v>
      </c>
    </row>
    <row r="52" spans="1:7" s="214" customFormat="1" ht="16.5" thickBot="1">
      <c r="A52" s="271" t="s">
        <v>65</v>
      </c>
      <c r="B52" s="272"/>
      <c r="C52" s="273">
        <f ca="1">C31+C51</f>
        <v>39110</v>
      </c>
      <c r="D52" s="272"/>
      <c r="E52" s="272"/>
      <c r="F52" s="272"/>
      <c r="G52" s="274"/>
    </row>
    <row r="55" spans="1:7" ht="15">
      <c r="B55" s="276" t="s">
        <v>66</v>
      </c>
      <c r="C55" s="277"/>
    </row>
    <row r="56" spans="1:7">
      <c r="B56" s="279" t="s">
        <v>67</v>
      </c>
      <c r="C56" s="280">
        <f ca="1">ROUND(C51/C52,3)</f>
        <v>0.30199999999999999</v>
      </c>
    </row>
    <row r="57" spans="1:7">
      <c r="B57" s="279" t="s">
        <v>68</v>
      </c>
      <c r="C57" s="281">
        <f ca="1">1-C56</f>
        <v>0.69799999999999995</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4107" t="s">
        <v>156</v>
      </c>
      <c r="B1" s="4107"/>
      <c r="C1" s="4107"/>
      <c r="D1" s="4107"/>
      <c r="E1" s="4107"/>
      <c r="F1" s="41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108" t="s">
        <v>169</v>
      </c>
      <c r="B2" s="4108"/>
      <c r="C2" s="4108"/>
      <c r="D2" s="4108"/>
      <c r="E2" s="4108"/>
      <c r="F2" s="41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1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1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4107" t="s">
        <v>839</v>
      </c>
      <c r="B1" s="410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9" t="s">
        <v>846</v>
      </c>
      <c r="B5" s="780" t="s">
        <v>847</v>
      </c>
      <c r="C5" s="975">
        <v>8.8999999999999996E-2</v>
      </c>
      <c r="D5" s="975">
        <v>7.3999999999999996E-2</v>
      </c>
      <c r="E5" s="975">
        <v>7.4999999999999997E-2</v>
      </c>
      <c r="F5" s="976">
        <v>0.1</v>
      </c>
    </row>
    <row r="6" spans="1:6" ht="14.25" thickBot="1">
      <c r="A6" s="779" t="s">
        <v>212</v>
      </c>
      <c r="B6" s="773" t="s">
        <v>848</v>
      </c>
      <c r="C6" s="977">
        <v>0.1</v>
      </c>
      <c r="D6" s="977">
        <v>9.0999999999999998E-2</v>
      </c>
      <c r="E6" s="977">
        <v>9.0999999999999998E-2</v>
      </c>
      <c r="F6" s="978">
        <v>0.1</v>
      </c>
    </row>
    <row r="7" spans="1:6" ht="14.25" thickBot="1">
      <c r="A7" s="779" t="s">
        <v>212</v>
      </c>
      <c r="B7" s="783" t="s">
        <v>201</v>
      </c>
      <c r="C7" s="977">
        <v>8.5999999999999993E-2</v>
      </c>
      <c r="D7" s="977">
        <v>9.6000000000000002E-2</v>
      </c>
      <c r="E7" s="977">
        <v>7.5999999999999998E-2</v>
      </c>
      <c r="F7" s="978">
        <v>0.1</v>
      </c>
    </row>
    <row r="8" spans="1:6" ht="14.25" thickBot="1">
      <c r="A8" s="779" t="s">
        <v>212</v>
      </c>
      <c r="B8" s="773" t="s">
        <v>213</v>
      </c>
      <c r="C8" s="977">
        <v>9.9000000000000005E-2</v>
      </c>
      <c r="D8" s="977">
        <v>9.8000000000000004E-2</v>
      </c>
      <c r="E8" s="977">
        <v>9.8000000000000004E-2</v>
      </c>
      <c r="F8" s="978">
        <v>0.1</v>
      </c>
    </row>
    <row r="9" spans="1:6" ht="14.25" thickBot="1">
      <c r="A9" s="789" t="s">
        <v>212</v>
      </c>
      <c r="B9" s="784" t="s">
        <v>225</v>
      </c>
      <c r="C9" s="979">
        <v>0.05</v>
      </c>
      <c r="D9" s="987"/>
      <c r="E9" s="987"/>
      <c r="F9" s="988"/>
    </row>
    <row r="10" spans="1:6" ht="14.25" thickBot="1">
      <c r="A10" s="779" t="s">
        <v>269</v>
      </c>
      <c r="B10" s="780" t="s">
        <v>849</v>
      </c>
      <c r="C10" s="975">
        <v>8.8999999999999996E-2</v>
      </c>
      <c r="D10" s="975">
        <v>7.2999999999999995E-2</v>
      </c>
      <c r="E10" s="975">
        <v>8.2000000000000003E-2</v>
      </c>
      <c r="F10" s="976">
        <v>0.1</v>
      </c>
    </row>
    <row r="11" spans="1:6" ht="14.25" thickBot="1">
      <c r="A11" s="779" t="s">
        <v>269</v>
      </c>
      <c r="B11" s="783" t="s">
        <v>188</v>
      </c>
      <c r="C11" s="977">
        <v>8.8999999999999996E-2</v>
      </c>
      <c r="D11" s="977">
        <v>7.2999999999999995E-2</v>
      </c>
      <c r="E11" s="977">
        <v>8.2000000000000003E-2</v>
      </c>
      <c r="F11" s="978">
        <v>0.1</v>
      </c>
    </row>
    <row r="12" spans="1:6" ht="14.25" thickBot="1">
      <c r="A12" s="779" t="s">
        <v>269</v>
      </c>
      <c r="B12" s="783" t="s">
        <v>138</v>
      </c>
      <c r="C12" s="977">
        <v>6.0999999999999999E-2</v>
      </c>
      <c r="D12" s="977">
        <v>7.0999999999999994E-2</v>
      </c>
      <c r="E12" s="977">
        <v>9.6000000000000002E-2</v>
      </c>
      <c r="F12" s="978">
        <v>0.1</v>
      </c>
    </row>
    <row r="13" spans="1:6" ht="14.25" thickBot="1">
      <c r="A13" s="779" t="s">
        <v>269</v>
      </c>
      <c r="B13" s="783" t="s">
        <v>214</v>
      </c>
      <c r="C13" s="977">
        <v>6.9000000000000006E-2</v>
      </c>
      <c r="D13" s="977">
        <v>6.5000000000000002E-2</v>
      </c>
      <c r="E13" s="977">
        <v>6.6000000000000003E-2</v>
      </c>
      <c r="F13" s="978">
        <v>0.1</v>
      </c>
    </row>
    <row r="14" spans="1:6" ht="14.25" thickBot="1">
      <c r="A14" s="779" t="s">
        <v>269</v>
      </c>
      <c r="B14" s="783" t="s">
        <v>226</v>
      </c>
      <c r="C14" s="977">
        <v>0.1</v>
      </c>
      <c r="D14" s="977">
        <v>6.5000000000000002E-2</v>
      </c>
      <c r="E14" s="977">
        <v>7.0000000000000007E-2</v>
      </c>
      <c r="F14" s="978">
        <v>0.1</v>
      </c>
    </row>
    <row r="15" spans="1:6" ht="14.25" thickBot="1">
      <c r="A15" s="779" t="s">
        <v>269</v>
      </c>
      <c r="B15" s="783" t="s">
        <v>237</v>
      </c>
      <c r="C15" s="977">
        <v>9.8000000000000004E-2</v>
      </c>
      <c r="D15" s="977">
        <v>8.8999999999999996E-2</v>
      </c>
      <c r="E15" s="977">
        <v>8.8999999999999996E-2</v>
      </c>
      <c r="F15" s="978">
        <v>0.1</v>
      </c>
    </row>
    <row r="16" spans="1:6" ht="14.25" thickBot="1">
      <c r="A16" s="779" t="s">
        <v>269</v>
      </c>
      <c r="B16" s="783" t="s">
        <v>248</v>
      </c>
      <c r="C16" s="977">
        <v>7.0000000000000007E-2</v>
      </c>
      <c r="D16" s="977">
        <v>9.2999999999999999E-2</v>
      </c>
      <c r="E16" s="977">
        <v>9.6000000000000002E-2</v>
      </c>
      <c r="F16" s="978">
        <v>0.1</v>
      </c>
    </row>
    <row r="17" spans="1:6" ht="14.25" thickBot="1">
      <c r="A17" s="779" t="s">
        <v>269</v>
      </c>
      <c r="B17" s="783" t="s">
        <v>259</v>
      </c>
      <c r="C17" s="977">
        <v>9.5000000000000001E-2</v>
      </c>
      <c r="D17" s="977">
        <v>0.1</v>
      </c>
      <c r="E17" s="977">
        <v>0.1</v>
      </c>
      <c r="F17" s="989"/>
    </row>
    <row r="18" spans="1:6" ht="14.25" thickBot="1">
      <c r="A18" s="779" t="s">
        <v>269</v>
      </c>
      <c r="B18" s="783" t="s">
        <v>271</v>
      </c>
      <c r="C18" s="977">
        <v>7.3999999999999996E-2</v>
      </c>
      <c r="D18" s="977">
        <v>9.9000000000000005E-2</v>
      </c>
      <c r="E18" s="977">
        <v>0.1</v>
      </c>
      <c r="F18" s="989"/>
    </row>
    <row r="19" spans="1:6" ht="14.25" thickBot="1">
      <c r="A19" s="779" t="s">
        <v>269</v>
      </c>
      <c r="B19" s="783" t="s">
        <v>281</v>
      </c>
      <c r="C19" s="977">
        <v>9.9000000000000005E-2</v>
      </c>
      <c r="D19" s="977">
        <v>7.5999999999999998E-2</v>
      </c>
      <c r="E19" s="977">
        <v>8.6999999999999994E-2</v>
      </c>
      <c r="F19" s="989"/>
    </row>
    <row r="20" spans="1:6" ht="14.25" thickBot="1">
      <c r="A20" s="779" t="s">
        <v>269</v>
      </c>
      <c r="B20" s="783" t="s">
        <v>291</v>
      </c>
      <c r="C20" s="977">
        <v>9.8000000000000004E-2</v>
      </c>
      <c r="D20" s="977">
        <v>8.5000000000000006E-2</v>
      </c>
      <c r="E20" s="977">
        <v>8.2000000000000003E-2</v>
      </c>
      <c r="F20" s="989"/>
    </row>
    <row r="21" spans="1:6" ht="14.25" thickBot="1">
      <c r="A21" s="779" t="s">
        <v>269</v>
      </c>
      <c r="B21" s="783" t="s">
        <v>301</v>
      </c>
      <c r="C21" s="977">
        <v>6.6000000000000003E-2</v>
      </c>
      <c r="D21" s="977">
        <v>6.4000000000000001E-2</v>
      </c>
      <c r="E21" s="977">
        <v>6.5000000000000002E-2</v>
      </c>
      <c r="F21" s="989"/>
    </row>
    <row r="22" spans="1:6" ht="14.25" thickBot="1">
      <c r="A22" s="779" t="s">
        <v>269</v>
      </c>
      <c r="B22" s="783" t="s">
        <v>850</v>
      </c>
      <c r="C22" s="977">
        <v>0.08</v>
      </c>
      <c r="D22" s="977">
        <v>9.8000000000000004E-2</v>
      </c>
      <c r="E22" s="977">
        <v>9.8000000000000004E-2</v>
      </c>
      <c r="F22" s="989"/>
    </row>
    <row r="23" spans="1:6" ht="14.25" thickBot="1">
      <c r="A23" s="779" t="s">
        <v>269</v>
      </c>
      <c r="B23" s="783" t="s">
        <v>322</v>
      </c>
      <c r="C23" s="977">
        <v>9.9000000000000005E-2</v>
      </c>
      <c r="D23" s="977">
        <v>9.8000000000000004E-2</v>
      </c>
      <c r="E23" s="977">
        <v>9.0999999999999998E-2</v>
      </c>
      <c r="F23" s="989"/>
    </row>
    <row r="24" spans="1:6" ht="14.25" thickBot="1">
      <c r="A24" s="779" t="s">
        <v>269</v>
      </c>
      <c r="B24" s="783" t="s">
        <v>333</v>
      </c>
      <c r="C24" s="977">
        <v>8.8999999999999996E-2</v>
      </c>
      <c r="D24" s="977">
        <v>9.7000000000000003E-2</v>
      </c>
      <c r="E24" s="977">
        <v>7.0000000000000007E-2</v>
      </c>
      <c r="F24" s="989"/>
    </row>
    <row r="25" spans="1:6" ht="14.25" thickBot="1">
      <c r="A25" s="779" t="s">
        <v>269</v>
      </c>
      <c r="B25" s="783" t="s">
        <v>343</v>
      </c>
      <c r="C25" s="977">
        <v>8.8999999999999996E-2</v>
      </c>
      <c r="D25" s="977">
        <v>0.1</v>
      </c>
      <c r="E25" s="977">
        <v>8.1000000000000003E-2</v>
      </c>
      <c r="F25" s="989"/>
    </row>
    <row r="26" spans="1:6" ht="14.25" thickBot="1">
      <c r="A26" s="779" t="s">
        <v>269</v>
      </c>
      <c r="B26" s="783" t="s">
        <v>353</v>
      </c>
      <c r="C26" s="990"/>
      <c r="D26" s="977">
        <v>9.6000000000000002E-2</v>
      </c>
      <c r="E26" s="977">
        <v>9.2999999999999999E-2</v>
      </c>
      <c r="F26" s="989"/>
    </row>
    <row r="27" spans="1:6" ht="14.25" thickBot="1">
      <c r="A27" s="779" t="s">
        <v>269</v>
      </c>
      <c r="B27" s="783" t="s">
        <v>363</v>
      </c>
      <c r="C27" s="990"/>
      <c r="D27" s="977">
        <v>7.5999999999999998E-2</v>
      </c>
      <c r="E27" s="977">
        <v>9.1999999999999998E-2</v>
      </c>
      <c r="F27" s="989"/>
    </row>
    <row r="28" spans="1:6" ht="14.25" thickBot="1">
      <c r="A28" s="789" t="s">
        <v>269</v>
      </c>
      <c r="B28" s="784" t="s">
        <v>373</v>
      </c>
      <c r="C28" s="987"/>
      <c r="D28" s="979">
        <v>7.5999999999999998E-2</v>
      </c>
      <c r="E28" s="979">
        <v>9.1999999999999998E-2</v>
      </c>
      <c r="F28" s="988"/>
    </row>
    <row r="29" spans="1:6" ht="14.25" thickBot="1">
      <c r="A29" s="779" t="s">
        <v>442</v>
      </c>
      <c r="B29" s="780" t="s">
        <v>851</v>
      </c>
      <c r="C29" s="975">
        <v>6.4000000000000001E-2</v>
      </c>
      <c r="D29" s="975">
        <v>6.5000000000000002E-2</v>
      </c>
      <c r="E29" s="975">
        <v>6.9000000000000006E-2</v>
      </c>
      <c r="F29" s="976">
        <v>0.1</v>
      </c>
    </row>
    <row r="30" spans="1:6" ht="14.25" thickBot="1">
      <c r="A30" s="779" t="s">
        <v>442</v>
      </c>
      <c r="B30" s="783" t="s">
        <v>189</v>
      </c>
      <c r="C30" s="977">
        <v>6.4000000000000001E-2</v>
      </c>
      <c r="D30" s="977">
        <v>9.9000000000000005E-2</v>
      </c>
      <c r="E30" s="977">
        <v>0.1</v>
      </c>
      <c r="F30" s="978">
        <v>0.1</v>
      </c>
    </row>
    <row r="31" spans="1:6" ht="14.25" thickBot="1">
      <c r="A31" s="779" t="s">
        <v>442</v>
      </c>
      <c r="B31" s="783" t="s">
        <v>202</v>
      </c>
      <c r="C31" s="977">
        <v>0.1</v>
      </c>
      <c r="D31" s="977">
        <v>9.5000000000000001E-2</v>
      </c>
      <c r="E31" s="977">
        <v>8.8999999999999996E-2</v>
      </c>
      <c r="F31" s="978">
        <v>0.1</v>
      </c>
    </row>
    <row r="32" spans="1:6" ht="14.25" thickBot="1">
      <c r="A32" s="779" t="s">
        <v>442</v>
      </c>
      <c r="B32" s="783" t="s">
        <v>215</v>
      </c>
      <c r="C32" s="977">
        <v>0.05</v>
      </c>
      <c r="D32" s="977">
        <v>0.05</v>
      </c>
      <c r="E32" s="977">
        <v>8.7999999999999995E-2</v>
      </c>
      <c r="F32" s="978">
        <v>0.1</v>
      </c>
    </row>
    <row r="33" spans="1:6" ht="14.25" thickBot="1">
      <c r="A33" s="779" t="s">
        <v>442</v>
      </c>
      <c r="B33" s="783" t="s">
        <v>227</v>
      </c>
      <c r="C33" s="977">
        <v>7.4999999999999997E-2</v>
      </c>
      <c r="D33" s="977">
        <v>9.4E-2</v>
      </c>
      <c r="E33" s="977">
        <v>9.7000000000000003E-2</v>
      </c>
      <c r="F33" s="978">
        <v>0.1</v>
      </c>
    </row>
    <row r="34" spans="1:6" ht="14.25" thickBot="1">
      <c r="A34" s="779" t="s">
        <v>442</v>
      </c>
      <c r="B34" s="783" t="s">
        <v>238</v>
      </c>
      <c r="C34" s="977">
        <v>9.8000000000000004E-2</v>
      </c>
      <c r="D34" s="977">
        <v>8.5999999999999993E-2</v>
      </c>
      <c r="E34" s="977">
        <v>9.7000000000000003E-2</v>
      </c>
      <c r="F34" s="978">
        <v>0.1</v>
      </c>
    </row>
    <row r="35" spans="1:6" ht="14.25" thickBot="1">
      <c r="A35" s="779" t="s">
        <v>442</v>
      </c>
      <c r="B35" s="783" t="s">
        <v>249</v>
      </c>
      <c r="C35" s="977">
        <v>5.8999999999999997E-2</v>
      </c>
      <c r="D35" s="977">
        <v>6.5000000000000002E-2</v>
      </c>
      <c r="E35" s="977">
        <v>7.0000000000000007E-2</v>
      </c>
      <c r="F35" s="978">
        <v>0.1</v>
      </c>
    </row>
    <row r="36" spans="1:6" ht="14.25" thickBot="1">
      <c r="A36" s="779" t="s">
        <v>442</v>
      </c>
      <c r="B36" s="783" t="s">
        <v>260</v>
      </c>
      <c r="C36" s="977">
        <v>6.3E-2</v>
      </c>
      <c r="D36" s="977">
        <v>0.1</v>
      </c>
      <c r="E36" s="977">
        <v>0.1</v>
      </c>
      <c r="F36" s="978">
        <v>0.1</v>
      </c>
    </row>
    <row r="37" spans="1:6" ht="14.25" thickBot="1">
      <c r="A37" s="779" t="s">
        <v>442</v>
      </c>
      <c r="B37" s="783" t="s">
        <v>272</v>
      </c>
      <c r="C37" s="977">
        <v>7.3999999999999996E-2</v>
      </c>
      <c r="D37" s="977">
        <v>0.1</v>
      </c>
      <c r="E37" s="977">
        <v>0.1</v>
      </c>
      <c r="F37" s="978">
        <v>0.1</v>
      </c>
    </row>
    <row r="38" spans="1:6" ht="14.25" thickBot="1">
      <c r="A38" s="779" t="s">
        <v>442</v>
      </c>
      <c r="B38" s="783" t="s">
        <v>282</v>
      </c>
      <c r="C38" s="977">
        <v>0.1</v>
      </c>
      <c r="D38" s="977">
        <v>9.6000000000000002E-2</v>
      </c>
      <c r="E38" s="977">
        <v>9.6000000000000002E-2</v>
      </c>
      <c r="F38" s="989"/>
    </row>
    <row r="39" spans="1:6" ht="14.25" thickBot="1">
      <c r="A39" s="779" t="s">
        <v>442</v>
      </c>
      <c r="B39" s="783" t="s">
        <v>292</v>
      </c>
      <c r="C39" s="977">
        <v>0.1</v>
      </c>
      <c r="D39" s="977">
        <v>9.6000000000000002E-2</v>
      </c>
      <c r="E39" s="977">
        <v>9.6000000000000002E-2</v>
      </c>
      <c r="F39" s="989"/>
    </row>
    <row r="40" spans="1:6" ht="14.25" thickBot="1">
      <c r="A40" s="779" t="s">
        <v>442</v>
      </c>
      <c r="B40" s="783" t="s">
        <v>302</v>
      </c>
      <c r="C40" s="977">
        <v>9.6000000000000002E-2</v>
      </c>
      <c r="D40" s="977">
        <v>0.1</v>
      </c>
      <c r="E40" s="977">
        <v>9.9000000000000005E-2</v>
      </c>
      <c r="F40" s="989"/>
    </row>
    <row r="41" spans="1:6" ht="14.25" thickBot="1">
      <c r="A41" s="779" t="s">
        <v>442</v>
      </c>
      <c r="B41" s="783" t="s">
        <v>312</v>
      </c>
      <c r="C41" s="977">
        <v>9.6000000000000002E-2</v>
      </c>
      <c r="D41" s="977">
        <v>9.8000000000000004E-2</v>
      </c>
      <c r="E41" s="977">
        <v>9.8000000000000004E-2</v>
      </c>
      <c r="F41" s="989"/>
    </row>
    <row r="42" spans="1:6" ht="14.25" thickBot="1">
      <c r="A42" s="779" t="s">
        <v>442</v>
      </c>
      <c r="B42" s="783" t="s">
        <v>323</v>
      </c>
      <c r="C42" s="977">
        <v>0.1</v>
      </c>
      <c r="D42" s="977">
        <v>8.7999999999999995E-2</v>
      </c>
      <c r="E42" s="977">
        <v>0.1</v>
      </c>
      <c r="F42" s="989"/>
    </row>
    <row r="43" spans="1:6" ht="14.25" thickBot="1">
      <c r="A43" s="779" t="s">
        <v>442</v>
      </c>
      <c r="B43" s="783" t="s">
        <v>334</v>
      </c>
      <c r="C43" s="977">
        <v>9.8000000000000004E-2</v>
      </c>
      <c r="D43" s="977">
        <v>9.7000000000000003E-2</v>
      </c>
      <c r="E43" s="977">
        <v>9.6000000000000002E-2</v>
      </c>
      <c r="F43" s="989"/>
    </row>
    <row r="44" spans="1:6" ht="14.25" thickBot="1">
      <c r="A44" s="779" t="s">
        <v>442</v>
      </c>
      <c r="B44" s="783" t="s">
        <v>344</v>
      </c>
      <c r="C44" s="977">
        <v>8.5999999999999993E-2</v>
      </c>
      <c r="D44" s="977">
        <v>7.9000000000000001E-2</v>
      </c>
      <c r="E44" s="977">
        <v>7.0999999999999994E-2</v>
      </c>
      <c r="F44" s="989"/>
    </row>
    <row r="45" spans="1:6" ht="14.25" thickBot="1">
      <c r="A45" s="779" t="s">
        <v>442</v>
      </c>
      <c r="B45" s="783" t="s">
        <v>354</v>
      </c>
      <c r="C45" s="977">
        <v>9.8000000000000004E-2</v>
      </c>
      <c r="D45" s="977">
        <v>9.6000000000000002E-2</v>
      </c>
      <c r="E45" s="977">
        <v>9.6000000000000002E-2</v>
      </c>
      <c r="F45" s="989"/>
    </row>
    <row r="46" spans="1:6" ht="14.25" thickBot="1">
      <c r="A46" s="779" t="s">
        <v>442</v>
      </c>
      <c r="B46" s="783" t="s">
        <v>364</v>
      </c>
      <c r="C46" s="977">
        <v>8.5999999999999993E-2</v>
      </c>
      <c r="D46" s="977">
        <v>9.8000000000000004E-2</v>
      </c>
      <c r="E46" s="977">
        <v>8.7999999999999995E-2</v>
      </c>
      <c r="F46" s="989"/>
    </row>
    <row r="47" spans="1:6" ht="14.25" thickBot="1">
      <c r="A47" s="779" t="s">
        <v>442</v>
      </c>
      <c r="B47" s="783" t="s">
        <v>374</v>
      </c>
      <c r="C47" s="977">
        <v>9.6000000000000002E-2</v>
      </c>
      <c r="D47" s="990"/>
      <c r="E47" s="977">
        <v>6.9000000000000006E-2</v>
      </c>
      <c r="F47" s="989"/>
    </row>
    <row r="48" spans="1:6" ht="14.25" thickBot="1">
      <c r="A48" s="789" t="s">
        <v>442</v>
      </c>
      <c r="B48" s="784" t="s">
        <v>383</v>
      </c>
      <c r="C48" s="979">
        <v>9.8000000000000004E-2</v>
      </c>
      <c r="D48" s="987"/>
      <c r="E48" s="979">
        <v>9.5000000000000001E-2</v>
      </c>
      <c r="F48" s="988"/>
    </row>
    <row r="49" spans="1:6" ht="14.25" thickBot="1">
      <c r="A49" s="779" t="s">
        <v>137</v>
      </c>
      <c r="B49" s="780" t="s">
        <v>852</v>
      </c>
      <c r="C49" s="975">
        <v>9.7000000000000003E-2</v>
      </c>
      <c r="D49" s="975">
        <v>9.5000000000000001E-2</v>
      </c>
      <c r="E49" s="975">
        <v>9.7000000000000003E-2</v>
      </c>
      <c r="F49" s="976">
        <v>0.1</v>
      </c>
    </row>
    <row r="50" spans="1:6" ht="14.25" thickBot="1">
      <c r="A50" s="779" t="s">
        <v>137</v>
      </c>
      <c r="B50" s="773" t="s">
        <v>190</v>
      </c>
      <c r="C50" s="977">
        <v>7.4999999999999997E-2</v>
      </c>
      <c r="D50" s="977">
        <v>9.5000000000000001E-2</v>
      </c>
      <c r="E50" s="977">
        <v>0.1</v>
      </c>
      <c r="F50" s="978">
        <v>0.1</v>
      </c>
    </row>
    <row r="51" spans="1:6" ht="14.25" thickBot="1">
      <c r="A51" s="779" t="s">
        <v>137</v>
      </c>
      <c r="B51" s="773" t="s">
        <v>203</v>
      </c>
      <c r="C51" s="977">
        <v>9.8000000000000004E-2</v>
      </c>
      <c r="D51" s="977">
        <v>8.8999999999999996E-2</v>
      </c>
      <c r="E51" s="977">
        <v>0.1</v>
      </c>
      <c r="F51" s="978">
        <v>0.1</v>
      </c>
    </row>
    <row r="52" spans="1:6" ht="14.25" thickBot="1">
      <c r="A52" s="779" t="s">
        <v>137</v>
      </c>
      <c r="B52" s="773" t="s">
        <v>216</v>
      </c>
      <c r="C52" s="977">
        <v>9.8000000000000004E-2</v>
      </c>
      <c r="D52" s="977">
        <v>9.7000000000000003E-2</v>
      </c>
      <c r="E52" s="977">
        <v>8.1000000000000003E-2</v>
      </c>
      <c r="F52" s="978">
        <v>0.1</v>
      </c>
    </row>
    <row r="53" spans="1:6" ht="14.25" thickBot="1">
      <c r="A53" s="779" t="s">
        <v>137</v>
      </c>
      <c r="B53" s="773" t="s">
        <v>228</v>
      </c>
      <c r="C53" s="977">
        <v>9.7000000000000003E-2</v>
      </c>
      <c r="D53" s="977">
        <v>7.5999999999999998E-2</v>
      </c>
      <c r="E53" s="977">
        <v>7.0999999999999994E-2</v>
      </c>
      <c r="F53" s="978">
        <v>0.1</v>
      </c>
    </row>
    <row r="54" spans="1:6" ht="14.25" thickBot="1">
      <c r="A54" s="779" t="s">
        <v>137</v>
      </c>
      <c r="B54" s="773" t="s">
        <v>239</v>
      </c>
      <c r="C54" s="977">
        <v>7.5999999999999998E-2</v>
      </c>
      <c r="D54" s="977">
        <v>0.1</v>
      </c>
      <c r="E54" s="977">
        <v>9.9000000000000005E-2</v>
      </c>
      <c r="F54" s="978">
        <v>0.1</v>
      </c>
    </row>
    <row r="55" spans="1:6" ht="14.25" thickBot="1">
      <c r="A55" s="779" t="s">
        <v>137</v>
      </c>
      <c r="B55" s="773" t="s">
        <v>250</v>
      </c>
      <c r="C55" s="977">
        <v>0.1</v>
      </c>
      <c r="D55" s="977">
        <v>0.1</v>
      </c>
      <c r="E55" s="977">
        <v>9.6000000000000002E-2</v>
      </c>
      <c r="F55" s="978">
        <v>0.1</v>
      </c>
    </row>
    <row r="56" spans="1:6" ht="14.25" thickBot="1">
      <c r="A56" s="779" t="s">
        <v>137</v>
      </c>
      <c r="B56" s="773" t="s">
        <v>261</v>
      </c>
      <c r="C56" s="977">
        <v>0.1</v>
      </c>
      <c r="D56" s="977">
        <v>9.6000000000000002E-2</v>
      </c>
      <c r="E56" s="977">
        <v>5.1999999999999998E-2</v>
      </c>
      <c r="F56" s="978">
        <v>0.1</v>
      </c>
    </row>
    <row r="57" spans="1:6" ht="14.25" thickBot="1">
      <c r="A57" s="779" t="s">
        <v>137</v>
      </c>
      <c r="B57" s="773" t="s">
        <v>273</v>
      </c>
      <c r="C57" s="977">
        <v>9.7000000000000003E-2</v>
      </c>
      <c r="D57" s="977">
        <v>9.6000000000000002E-2</v>
      </c>
      <c r="E57" s="977">
        <v>9.6000000000000002E-2</v>
      </c>
      <c r="F57" s="978">
        <v>0.1</v>
      </c>
    </row>
    <row r="58" spans="1:6" ht="14.25" thickBot="1">
      <c r="A58" s="779" t="s">
        <v>137</v>
      </c>
      <c r="B58" s="773" t="s">
        <v>283</v>
      </c>
      <c r="C58" s="977">
        <v>9.6000000000000002E-2</v>
      </c>
      <c r="D58" s="977">
        <v>9.9000000000000005E-2</v>
      </c>
      <c r="E58" s="977">
        <v>9.6000000000000002E-2</v>
      </c>
      <c r="F58" s="978">
        <v>0.1</v>
      </c>
    </row>
    <row r="59" spans="1:6" ht="14.25" thickBot="1">
      <c r="A59" s="779" t="s">
        <v>137</v>
      </c>
      <c r="B59" s="773" t="s">
        <v>293</v>
      </c>
      <c r="C59" s="977">
        <v>7.1999999999999995E-2</v>
      </c>
      <c r="D59" s="977">
        <v>9.6000000000000002E-2</v>
      </c>
      <c r="E59" s="977">
        <v>7.0999999999999994E-2</v>
      </c>
      <c r="F59" s="978">
        <v>0.1</v>
      </c>
    </row>
    <row r="60" spans="1:6" ht="14.25" thickBot="1">
      <c r="A60" s="779" t="s">
        <v>137</v>
      </c>
      <c r="B60" s="773" t="s">
        <v>303</v>
      </c>
      <c r="C60" s="977">
        <v>9.6000000000000002E-2</v>
      </c>
      <c r="D60" s="977">
        <v>8.8999999999999996E-2</v>
      </c>
      <c r="E60" s="977">
        <v>9.6000000000000002E-2</v>
      </c>
      <c r="F60" s="978">
        <v>0.1</v>
      </c>
    </row>
    <row r="61" spans="1:6" ht="14.25" thickBot="1">
      <c r="A61" s="779" t="s">
        <v>137</v>
      </c>
      <c r="B61" s="773" t="s">
        <v>313</v>
      </c>
      <c r="C61" s="977">
        <v>8.8999999999999996E-2</v>
      </c>
      <c r="D61" s="977">
        <v>9.8000000000000004E-2</v>
      </c>
      <c r="E61" s="977">
        <v>8.7999999999999995E-2</v>
      </c>
      <c r="F61" s="989"/>
    </row>
    <row r="62" spans="1:6" ht="14.25" thickBot="1">
      <c r="A62" s="779" t="s">
        <v>137</v>
      </c>
      <c r="B62" s="773" t="s">
        <v>324</v>
      </c>
      <c r="C62" s="977">
        <v>9.8000000000000004E-2</v>
      </c>
      <c r="D62" s="977">
        <v>9.2999999999999999E-2</v>
      </c>
      <c r="E62" s="977">
        <v>9.7000000000000003E-2</v>
      </c>
      <c r="F62" s="989"/>
    </row>
    <row r="63" spans="1:6" ht="14.25" thickBot="1">
      <c r="A63" s="779" t="s">
        <v>137</v>
      </c>
      <c r="B63" s="773" t="s">
        <v>335</v>
      </c>
      <c r="C63" s="977">
        <v>9.6000000000000002E-2</v>
      </c>
      <c r="D63" s="977">
        <v>9.8000000000000004E-2</v>
      </c>
      <c r="E63" s="977">
        <v>0.09</v>
      </c>
      <c r="F63" s="989"/>
    </row>
    <row r="64" spans="1:6" ht="14.25" thickBot="1">
      <c r="A64" s="779" t="s">
        <v>137</v>
      </c>
      <c r="B64" s="773" t="s">
        <v>345</v>
      </c>
      <c r="C64" s="977">
        <v>9.9000000000000005E-2</v>
      </c>
      <c r="D64" s="977">
        <v>9.7000000000000003E-2</v>
      </c>
      <c r="E64" s="977">
        <v>9.9000000000000005E-2</v>
      </c>
      <c r="F64" s="989"/>
    </row>
    <row r="65" spans="1:6" ht="14.25" thickBot="1">
      <c r="A65" s="779" t="s">
        <v>137</v>
      </c>
      <c r="B65" s="773" t="s">
        <v>355</v>
      </c>
      <c r="C65" s="977">
        <v>9.8000000000000004E-2</v>
      </c>
      <c r="D65" s="977">
        <v>9.6000000000000002E-2</v>
      </c>
      <c r="E65" s="977">
        <v>9.6000000000000002E-2</v>
      </c>
      <c r="F65" s="989"/>
    </row>
    <row r="66" spans="1:6" ht="14.25" thickBot="1">
      <c r="A66" s="779" t="s">
        <v>137</v>
      </c>
      <c r="B66" s="773" t="s">
        <v>365</v>
      </c>
      <c r="C66" s="977">
        <v>9.6000000000000002E-2</v>
      </c>
      <c r="D66" s="977">
        <v>9.1999999999999998E-2</v>
      </c>
      <c r="E66" s="977">
        <v>9.6000000000000002E-2</v>
      </c>
      <c r="F66" s="989"/>
    </row>
    <row r="67" spans="1:6" ht="14.25" thickBot="1">
      <c r="A67" s="779" t="s">
        <v>137</v>
      </c>
      <c r="B67" s="773" t="s">
        <v>375</v>
      </c>
      <c r="C67" s="977">
        <v>9.4E-2</v>
      </c>
      <c r="D67" s="977">
        <v>0.1</v>
      </c>
      <c r="E67" s="977">
        <v>8.7999999999999995E-2</v>
      </c>
      <c r="F67" s="989"/>
    </row>
    <row r="68" spans="1:6" ht="14.25" thickBot="1">
      <c r="A68" s="779" t="s">
        <v>137</v>
      </c>
      <c r="B68" s="773" t="s">
        <v>384</v>
      </c>
      <c r="C68" s="977">
        <v>0.1</v>
      </c>
      <c r="D68" s="977">
        <v>8.7999999999999995E-2</v>
      </c>
      <c r="E68" s="977">
        <v>9.7000000000000003E-2</v>
      </c>
      <c r="F68" s="989"/>
    </row>
    <row r="69" spans="1:6" ht="14.25" thickBot="1">
      <c r="A69" s="779" t="s">
        <v>137</v>
      </c>
      <c r="B69" s="773" t="s">
        <v>393</v>
      </c>
      <c r="C69" s="977">
        <v>6.4000000000000001E-2</v>
      </c>
      <c r="D69" s="977">
        <v>0.1</v>
      </c>
      <c r="E69" s="977">
        <v>0.1</v>
      </c>
      <c r="F69" s="989"/>
    </row>
    <row r="70" spans="1:6" ht="14.25" thickBot="1">
      <c r="A70" s="779" t="s">
        <v>137</v>
      </c>
      <c r="B70" s="773" t="s">
        <v>401</v>
      </c>
      <c r="C70" s="977">
        <v>9.0999999999999998E-2</v>
      </c>
      <c r="D70" s="990"/>
      <c r="E70" s="990"/>
      <c r="F70" s="989"/>
    </row>
    <row r="71" spans="1:6" ht="14.25" thickBot="1">
      <c r="A71" s="779" t="s">
        <v>137</v>
      </c>
      <c r="B71" s="773" t="s">
        <v>408</v>
      </c>
      <c r="C71" s="977">
        <v>0.1</v>
      </c>
      <c r="D71" s="990"/>
      <c r="E71" s="990"/>
      <c r="F71" s="989"/>
    </row>
    <row r="72" spans="1:6" ht="14.25" thickBot="1">
      <c r="A72" s="779" t="s">
        <v>137</v>
      </c>
      <c r="B72" s="773" t="s">
        <v>853</v>
      </c>
      <c r="C72" s="990"/>
      <c r="D72" s="990"/>
      <c r="E72" s="990"/>
      <c r="F72" s="978">
        <v>0.05</v>
      </c>
    </row>
    <row r="73" spans="1:6" ht="14.25" thickBot="1">
      <c r="A73" s="779" t="s">
        <v>137</v>
      </c>
      <c r="B73" s="773" t="s">
        <v>854</v>
      </c>
      <c r="C73" s="990"/>
      <c r="D73" s="990"/>
      <c r="E73" s="990"/>
      <c r="F73" s="978">
        <v>0.05</v>
      </c>
    </row>
    <row r="74" spans="1:6" ht="14.25" thickBot="1">
      <c r="A74" s="779" t="s">
        <v>137</v>
      </c>
      <c r="B74" s="773" t="s">
        <v>855</v>
      </c>
      <c r="C74" s="990"/>
      <c r="D74" s="990"/>
      <c r="E74" s="990"/>
      <c r="F74" s="978">
        <v>0.05</v>
      </c>
    </row>
    <row r="75" spans="1:6" ht="14.25" thickBot="1">
      <c r="A75" s="789" t="s">
        <v>137</v>
      </c>
      <c r="B75" s="785" t="s">
        <v>856</v>
      </c>
      <c r="C75" s="987"/>
      <c r="D75" s="987"/>
      <c r="E75" s="987"/>
      <c r="F75" s="980">
        <v>0.05</v>
      </c>
    </row>
    <row r="76" spans="1:6" ht="14.25" thickBot="1">
      <c r="A76" s="779" t="s">
        <v>523</v>
      </c>
      <c r="B76" s="780" t="s">
        <v>857</v>
      </c>
      <c r="C76" s="975">
        <v>0.1</v>
      </c>
      <c r="D76" s="975">
        <v>0.1</v>
      </c>
      <c r="E76" s="975">
        <v>0.1</v>
      </c>
      <c r="F76" s="976">
        <v>0.1</v>
      </c>
    </row>
    <row r="77" spans="1:6" ht="14.25" thickBot="1">
      <c r="A77" s="779" t="s">
        <v>523</v>
      </c>
      <c r="B77" s="773" t="s">
        <v>191</v>
      </c>
      <c r="C77" s="977">
        <v>8.7999999999999995E-2</v>
      </c>
      <c r="D77" s="977">
        <v>8.6999999999999994E-2</v>
      </c>
      <c r="E77" s="977">
        <v>7.9000000000000001E-2</v>
      </c>
      <c r="F77" s="978">
        <v>0.1</v>
      </c>
    </row>
    <row r="78" spans="1:6" ht="14.25" thickBot="1">
      <c r="A78" s="779" t="s">
        <v>523</v>
      </c>
      <c r="B78" s="773" t="s">
        <v>204</v>
      </c>
      <c r="C78" s="977">
        <v>8.6999999999999994E-2</v>
      </c>
      <c r="D78" s="977">
        <v>8.4000000000000005E-2</v>
      </c>
      <c r="E78" s="977">
        <v>9.6000000000000002E-2</v>
      </c>
      <c r="F78" s="978">
        <v>0.1</v>
      </c>
    </row>
    <row r="79" spans="1:6" ht="14.25" thickBot="1">
      <c r="A79" s="779" t="s">
        <v>523</v>
      </c>
      <c r="B79" s="773" t="s">
        <v>217</v>
      </c>
      <c r="C79" s="977">
        <v>9.8000000000000004E-2</v>
      </c>
      <c r="D79" s="977">
        <v>9.8000000000000004E-2</v>
      </c>
      <c r="E79" s="977">
        <v>9.0999999999999998E-2</v>
      </c>
      <c r="F79" s="978">
        <v>0.1</v>
      </c>
    </row>
    <row r="80" spans="1:6" ht="14.25" thickBot="1">
      <c r="A80" s="779" t="s">
        <v>523</v>
      </c>
      <c r="B80" s="773" t="s">
        <v>229</v>
      </c>
      <c r="C80" s="977">
        <v>9.6000000000000002E-2</v>
      </c>
      <c r="D80" s="977">
        <v>9.6000000000000002E-2</v>
      </c>
      <c r="E80" s="977">
        <v>0.1</v>
      </c>
      <c r="F80" s="978">
        <v>0.1</v>
      </c>
    </row>
    <row r="81" spans="1:6" ht="14.25" thickBot="1">
      <c r="A81" s="779" t="s">
        <v>523</v>
      </c>
      <c r="B81" s="773" t="s">
        <v>240</v>
      </c>
      <c r="C81" s="977">
        <v>9.9000000000000005E-2</v>
      </c>
      <c r="D81" s="977">
        <v>9.9000000000000005E-2</v>
      </c>
      <c r="E81" s="977">
        <v>9.8000000000000004E-2</v>
      </c>
      <c r="F81" s="978">
        <v>0.1</v>
      </c>
    </row>
    <row r="82" spans="1:6" ht="14.25" thickBot="1">
      <c r="A82" s="779" t="s">
        <v>523</v>
      </c>
      <c r="B82" s="773" t="s">
        <v>251</v>
      </c>
      <c r="C82" s="977">
        <v>9.9000000000000005E-2</v>
      </c>
      <c r="D82" s="977">
        <v>9.9000000000000005E-2</v>
      </c>
      <c r="E82" s="977">
        <v>9.7000000000000003E-2</v>
      </c>
      <c r="F82" s="978">
        <v>0.1</v>
      </c>
    </row>
    <row r="83" spans="1:6" ht="14.25" thickBot="1">
      <c r="A83" s="779" t="s">
        <v>523</v>
      </c>
      <c r="B83" s="773" t="s">
        <v>262</v>
      </c>
      <c r="C83" s="977">
        <v>9.8000000000000004E-2</v>
      </c>
      <c r="D83" s="977">
        <v>9.8000000000000004E-2</v>
      </c>
      <c r="E83" s="977">
        <v>9.8000000000000004E-2</v>
      </c>
      <c r="F83" s="978">
        <v>0.1</v>
      </c>
    </row>
    <row r="84" spans="1:6" ht="14.25" thickBot="1">
      <c r="A84" s="779" t="s">
        <v>523</v>
      </c>
      <c r="B84" s="773" t="s">
        <v>274</v>
      </c>
      <c r="C84" s="977">
        <v>9.9000000000000005E-2</v>
      </c>
      <c r="D84" s="977">
        <v>9.9000000000000005E-2</v>
      </c>
      <c r="E84" s="977">
        <v>9.9000000000000005E-2</v>
      </c>
      <c r="F84" s="978">
        <v>0.1</v>
      </c>
    </row>
    <row r="85" spans="1:6" ht="14.25" thickBot="1">
      <c r="A85" s="779" t="s">
        <v>523</v>
      </c>
      <c r="B85" s="773" t="s">
        <v>284</v>
      </c>
      <c r="C85" s="977">
        <v>9.9000000000000005E-2</v>
      </c>
      <c r="D85" s="977">
        <v>9.9000000000000005E-2</v>
      </c>
      <c r="E85" s="977">
        <v>9.9000000000000005E-2</v>
      </c>
      <c r="F85" s="978">
        <v>0.1</v>
      </c>
    </row>
    <row r="86" spans="1:6" ht="14.25" thickBot="1">
      <c r="A86" s="779" t="s">
        <v>523</v>
      </c>
      <c r="B86" s="773" t="s">
        <v>294</v>
      </c>
      <c r="C86" s="977">
        <v>0.1</v>
      </c>
      <c r="D86" s="977">
        <v>0.1</v>
      </c>
      <c r="E86" s="977">
        <v>7.6999999999999999E-2</v>
      </c>
      <c r="F86" s="978">
        <v>0.1</v>
      </c>
    </row>
    <row r="87" spans="1:6" ht="14.25" thickBot="1">
      <c r="A87" s="779" t="s">
        <v>523</v>
      </c>
      <c r="B87" s="773" t="s">
        <v>304</v>
      </c>
      <c r="C87" s="977">
        <v>0.1</v>
      </c>
      <c r="D87" s="977">
        <v>0.1</v>
      </c>
      <c r="E87" s="977">
        <v>9.8000000000000004E-2</v>
      </c>
      <c r="F87" s="989"/>
    </row>
    <row r="88" spans="1:6" ht="14.25" thickBot="1">
      <c r="A88" s="779" t="s">
        <v>523</v>
      </c>
      <c r="B88" s="773" t="s">
        <v>314</v>
      </c>
      <c r="C88" s="977">
        <v>9.1999999999999998E-2</v>
      </c>
      <c r="D88" s="977">
        <v>8.5000000000000006E-2</v>
      </c>
      <c r="E88" s="977">
        <v>9.6000000000000002E-2</v>
      </c>
      <c r="F88" s="989"/>
    </row>
    <row r="89" spans="1:6" ht="14.25" thickBot="1">
      <c r="A89" s="779" t="s">
        <v>523</v>
      </c>
      <c r="B89" s="773" t="s">
        <v>325</v>
      </c>
      <c r="C89" s="977">
        <v>0.1</v>
      </c>
      <c r="D89" s="977">
        <v>0.1</v>
      </c>
      <c r="E89" s="977">
        <v>9.7000000000000003E-2</v>
      </c>
      <c r="F89" s="989"/>
    </row>
    <row r="90" spans="1:6" ht="14.25" thickBot="1">
      <c r="A90" s="779" t="s">
        <v>523</v>
      </c>
      <c r="B90" s="773" t="s">
        <v>336</v>
      </c>
      <c r="C90" s="977">
        <v>9.8000000000000004E-2</v>
      </c>
      <c r="D90" s="977">
        <v>9.8000000000000004E-2</v>
      </c>
      <c r="E90" s="977">
        <v>8.7999999999999995E-2</v>
      </c>
      <c r="F90" s="989"/>
    </row>
    <row r="91" spans="1:6" ht="14.25" thickBot="1">
      <c r="A91" s="779" t="s">
        <v>523</v>
      </c>
      <c r="B91" s="773" t="s">
        <v>346</v>
      </c>
      <c r="C91" s="977">
        <v>9.9000000000000005E-2</v>
      </c>
      <c r="D91" s="977">
        <v>9.9000000000000005E-2</v>
      </c>
      <c r="E91" s="977">
        <v>9.0999999999999998E-2</v>
      </c>
      <c r="F91" s="989"/>
    </row>
    <row r="92" spans="1:6" ht="14.25" thickBot="1">
      <c r="A92" s="779" t="s">
        <v>523</v>
      </c>
      <c r="B92" s="773" t="s">
        <v>356</v>
      </c>
      <c r="C92" s="977">
        <v>9.6000000000000002E-2</v>
      </c>
      <c r="D92" s="977">
        <v>9.6000000000000002E-2</v>
      </c>
      <c r="E92" s="977">
        <v>7.2999999999999995E-2</v>
      </c>
      <c r="F92" s="989"/>
    </row>
    <row r="93" spans="1:6" ht="14.25" thickBot="1">
      <c r="A93" s="779" t="s">
        <v>523</v>
      </c>
      <c r="B93" s="773" t="s">
        <v>366</v>
      </c>
      <c r="C93" s="977">
        <v>9.6000000000000002E-2</v>
      </c>
      <c r="D93" s="977">
        <v>9.6000000000000002E-2</v>
      </c>
      <c r="E93" s="977">
        <v>9.9000000000000005E-2</v>
      </c>
      <c r="F93" s="989"/>
    </row>
    <row r="94" spans="1:6" ht="14.25" thickBot="1">
      <c r="A94" s="779" t="s">
        <v>523</v>
      </c>
      <c r="B94" s="773" t="s">
        <v>376</v>
      </c>
      <c r="C94" s="977">
        <v>7.5999999999999998E-2</v>
      </c>
      <c r="D94" s="977">
        <v>7.3999999999999996E-2</v>
      </c>
      <c r="E94" s="977">
        <v>9.7000000000000003E-2</v>
      </c>
      <c r="F94" s="989"/>
    </row>
    <row r="95" spans="1:6" ht="14.25" thickBot="1">
      <c r="A95" s="779" t="s">
        <v>523</v>
      </c>
      <c r="B95" s="773" t="s">
        <v>385</v>
      </c>
      <c r="C95" s="977">
        <v>9.9000000000000005E-2</v>
      </c>
      <c r="D95" s="977">
        <v>9.4E-2</v>
      </c>
      <c r="E95" s="977">
        <v>9.6000000000000002E-2</v>
      </c>
      <c r="F95" s="989"/>
    </row>
    <row r="96" spans="1:6" ht="14.25" thickBot="1">
      <c r="A96" s="779" t="s">
        <v>523</v>
      </c>
      <c r="B96" s="773" t="s">
        <v>394</v>
      </c>
      <c r="C96" s="977">
        <v>9.9000000000000005E-2</v>
      </c>
      <c r="D96" s="977">
        <v>9.9000000000000005E-2</v>
      </c>
      <c r="E96" s="977">
        <v>9.9000000000000005E-2</v>
      </c>
      <c r="F96" s="989"/>
    </row>
    <row r="97" spans="1:6" ht="14.25" thickBot="1">
      <c r="A97" s="779" t="s">
        <v>523</v>
      </c>
      <c r="B97" s="773" t="s">
        <v>402</v>
      </c>
      <c r="C97" s="977">
        <v>9.8000000000000004E-2</v>
      </c>
      <c r="D97" s="977">
        <v>9.8000000000000004E-2</v>
      </c>
      <c r="E97" s="977">
        <v>9.7000000000000003E-2</v>
      </c>
      <c r="F97" s="989"/>
    </row>
    <row r="98" spans="1:6" ht="14.25" thickBot="1">
      <c r="A98" s="779" t="s">
        <v>523</v>
      </c>
      <c r="B98" s="773" t="s">
        <v>409</v>
      </c>
      <c r="C98" s="977">
        <v>0.1</v>
      </c>
      <c r="D98" s="977">
        <v>0.1</v>
      </c>
      <c r="E98" s="977">
        <v>9.7000000000000003E-2</v>
      </c>
      <c r="F98" s="989"/>
    </row>
    <row r="99" spans="1:6" ht="14.25" thickBot="1">
      <c r="A99" s="779" t="s">
        <v>523</v>
      </c>
      <c r="B99" s="773" t="s">
        <v>416</v>
      </c>
      <c r="C99" s="977">
        <v>0.1</v>
      </c>
      <c r="D99" s="977">
        <v>0.1</v>
      </c>
      <c r="E99" s="990"/>
      <c r="F99" s="989"/>
    </row>
    <row r="100" spans="1:6" ht="14.25" thickBot="1">
      <c r="A100" s="779" t="s">
        <v>523</v>
      </c>
      <c r="B100" s="773" t="s">
        <v>423</v>
      </c>
      <c r="C100" s="977">
        <v>0.09</v>
      </c>
      <c r="D100" s="977">
        <v>8.8999999999999996E-2</v>
      </c>
      <c r="E100" s="990"/>
      <c r="F100" s="989"/>
    </row>
    <row r="101" spans="1:6" ht="14.25" thickBot="1">
      <c r="A101" s="779" t="s">
        <v>523</v>
      </c>
      <c r="B101" s="773" t="s">
        <v>430</v>
      </c>
      <c r="C101" s="977">
        <v>9.8000000000000004E-2</v>
      </c>
      <c r="D101" s="977">
        <v>9.7000000000000003E-2</v>
      </c>
      <c r="E101" s="990"/>
      <c r="F101" s="989"/>
    </row>
    <row r="102" spans="1:6" ht="14.25" thickBot="1">
      <c r="A102" s="779" t="s">
        <v>523</v>
      </c>
      <c r="B102" s="773" t="s">
        <v>858</v>
      </c>
      <c r="C102" s="990"/>
      <c r="D102" s="990"/>
      <c r="E102" s="990"/>
      <c r="F102" s="978">
        <v>0.05</v>
      </c>
    </row>
    <row r="103" spans="1:6" ht="24.75" thickBot="1">
      <c r="A103" s="779" t="s">
        <v>523</v>
      </c>
      <c r="B103" s="773" t="s">
        <v>859</v>
      </c>
      <c r="C103" s="990"/>
      <c r="D103" s="990"/>
      <c r="E103" s="990"/>
      <c r="F103" s="978">
        <v>0.05</v>
      </c>
    </row>
    <row r="104" spans="1:6" ht="14.25" thickBot="1">
      <c r="A104" s="779" t="s">
        <v>523</v>
      </c>
      <c r="B104" s="773" t="s">
        <v>860</v>
      </c>
      <c r="C104" s="990"/>
      <c r="D104" s="990"/>
      <c r="E104" s="990"/>
      <c r="F104" s="978">
        <v>0.05</v>
      </c>
    </row>
    <row r="105" spans="1:6" ht="14.25" thickBot="1">
      <c r="A105" s="779" t="s">
        <v>523</v>
      </c>
      <c r="B105" s="773" t="s">
        <v>861</v>
      </c>
      <c r="C105" s="990"/>
      <c r="D105" s="990"/>
      <c r="E105" s="990"/>
      <c r="F105" s="978">
        <v>0.05</v>
      </c>
    </row>
    <row r="106" spans="1:6" ht="14.25" thickBot="1">
      <c r="A106" s="779" t="s">
        <v>523</v>
      </c>
      <c r="B106" s="773" t="s">
        <v>862</v>
      </c>
      <c r="C106" s="990"/>
      <c r="D106" s="990"/>
      <c r="E106" s="990"/>
      <c r="F106" s="978">
        <v>0.05</v>
      </c>
    </row>
    <row r="107" spans="1:6" ht="24.75" thickBot="1">
      <c r="A107" s="779" t="s">
        <v>523</v>
      </c>
      <c r="B107" s="773" t="s">
        <v>863</v>
      </c>
      <c r="C107" s="990"/>
      <c r="D107" s="990"/>
      <c r="E107" s="990"/>
      <c r="F107" s="978">
        <v>0.05</v>
      </c>
    </row>
    <row r="108" spans="1:6" ht="24.75" thickBot="1">
      <c r="A108" s="779" t="s">
        <v>523</v>
      </c>
      <c r="B108" s="773" t="s">
        <v>864</v>
      </c>
      <c r="C108" s="990"/>
      <c r="D108" s="990"/>
      <c r="E108" s="990"/>
      <c r="F108" s="978">
        <v>0.05</v>
      </c>
    </row>
    <row r="109" spans="1:6" ht="24.75" thickBot="1">
      <c r="A109" s="789" t="s">
        <v>523</v>
      </c>
      <c r="B109" s="785" t="s">
        <v>865</v>
      </c>
      <c r="C109" s="987"/>
      <c r="D109" s="987"/>
      <c r="E109" s="987"/>
      <c r="F109" s="980">
        <v>0.05</v>
      </c>
    </row>
    <row r="110" spans="1:6" ht="14.25" thickBot="1">
      <c r="A110" s="779" t="s">
        <v>56</v>
      </c>
      <c r="B110" s="780" t="s">
        <v>866</v>
      </c>
      <c r="C110" s="975">
        <v>0.129</v>
      </c>
      <c r="D110" s="975">
        <v>0.129</v>
      </c>
      <c r="E110" s="975">
        <v>0.126</v>
      </c>
      <c r="F110" s="976">
        <v>0.13</v>
      </c>
    </row>
    <row r="111" spans="1:6" ht="14.25" thickBot="1">
      <c r="A111" s="779" t="s">
        <v>56</v>
      </c>
      <c r="B111" s="773" t="s">
        <v>192</v>
      </c>
      <c r="C111" s="977">
        <v>0.11</v>
      </c>
      <c r="D111" s="977">
        <v>0.11</v>
      </c>
      <c r="E111" s="977">
        <v>9.9000000000000005E-2</v>
      </c>
      <c r="F111" s="978">
        <v>0.128</v>
      </c>
    </row>
    <row r="112" spans="1:6" ht="14.25" thickBot="1">
      <c r="A112" s="779" t="s">
        <v>56</v>
      </c>
      <c r="B112" s="773" t="s">
        <v>205</v>
      </c>
      <c r="C112" s="977">
        <v>0.125</v>
      </c>
      <c r="D112" s="977">
        <v>0.125</v>
      </c>
      <c r="E112" s="977">
        <v>0.12</v>
      </c>
      <c r="F112" s="978">
        <v>0.125</v>
      </c>
    </row>
    <row r="113" spans="1:6" ht="14.25" thickBot="1">
      <c r="A113" s="779" t="s">
        <v>56</v>
      </c>
      <c r="B113" s="773" t="s">
        <v>218</v>
      </c>
      <c r="C113" s="977">
        <v>0.13</v>
      </c>
      <c r="D113" s="977">
        <v>0.13</v>
      </c>
      <c r="E113" s="977">
        <v>0.13</v>
      </c>
      <c r="F113" s="978">
        <v>0.13</v>
      </c>
    </row>
    <row r="114" spans="1:6" ht="14.25" thickBot="1">
      <c r="A114" s="779" t="s">
        <v>56</v>
      </c>
      <c r="B114" s="773" t="s">
        <v>230</v>
      </c>
      <c r="C114" s="977">
        <v>0.123</v>
      </c>
      <c r="D114" s="977">
        <v>0.123</v>
      </c>
      <c r="E114" s="977">
        <v>0.12</v>
      </c>
      <c r="F114" s="978">
        <v>0.13</v>
      </c>
    </row>
    <row r="115" spans="1:6" ht="14.25" thickBot="1">
      <c r="A115" s="779" t="s">
        <v>56</v>
      </c>
      <c r="B115" s="773" t="s">
        <v>241</v>
      </c>
      <c r="C115" s="977">
        <v>0.125</v>
      </c>
      <c r="D115" s="977">
        <v>0.125</v>
      </c>
      <c r="E115" s="977">
        <v>0.11700000000000001</v>
      </c>
      <c r="F115" s="978">
        <v>0.13</v>
      </c>
    </row>
    <row r="116" spans="1:6" ht="14.25" thickBot="1">
      <c r="A116" s="779" t="s">
        <v>56</v>
      </c>
      <c r="B116" s="773" t="s">
        <v>252</v>
      </c>
      <c r="C116" s="977">
        <v>0.11700000000000001</v>
      </c>
      <c r="D116" s="977">
        <v>0.11700000000000001</v>
      </c>
      <c r="E116" s="977">
        <v>8.7999999999999995E-2</v>
      </c>
      <c r="F116" s="978">
        <v>0.13</v>
      </c>
    </row>
    <row r="117" spans="1:6" ht="14.25" thickBot="1">
      <c r="A117" s="779" t="s">
        <v>56</v>
      </c>
      <c r="B117" s="773" t="s">
        <v>263</v>
      </c>
      <c r="C117" s="977">
        <v>0.13</v>
      </c>
      <c r="D117" s="977">
        <v>0.13</v>
      </c>
      <c r="E117" s="977">
        <v>0.129</v>
      </c>
      <c r="F117" s="978">
        <v>0.13</v>
      </c>
    </row>
    <row r="118" spans="1:6" ht="14.25" thickBot="1">
      <c r="A118" s="779" t="s">
        <v>56</v>
      </c>
      <c r="B118" s="773" t="s">
        <v>275</v>
      </c>
      <c r="C118" s="977">
        <v>0.123</v>
      </c>
      <c r="D118" s="977">
        <v>0.123</v>
      </c>
      <c r="E118" s="977">
        <v>0.11600000000000001</v>
      </c>
      <c r="F118" s="978">
        <v>0.13</v>
      </c>
    </row>
    <row r="119" spans="1:6" ht="14.25" thickBot="1">
      <c r="A119" s="779" t="s">
        <v>56</v>
      </c>
      <c r="B119" s="773" t="s">
        <v>285</v>
      </c>
      <c r="C119" s="977">
        <v>0.127</v>
      </c>
      <c r="D119" s="977">
        <v>0.127</v>
      </c>
      <c r="E119" s="977">
        <v>0.124</v>
      </c>
      <c r="F119" s="978">
        <v>0.13</v>
      </c>
    </row>
    <row r="120" spans="1:6" ht="14.25" thickBot="1">
      <c r="A120" s="779" t="s">
        <v>56</v>
      </c>
      <c r="B120" s="773" t="s">
        <v>295</v>
      </c>
      <c r="C120" s="977">
        <v>0.125</v>
      </c>
      <c r="D120" s="977">
        <v>0.125</v>
      </c>
      <c r="E120" s="977">
        <v>0.122</v>
      </c>
      <c r="F120" s="978">
        <v>0.13</v>
      </c>
    </row>
    <row r="121" spans="1:6" ht="14.25" thickBot="1">
      <c r="A121" s="779" t="s">
        <v>56</v>
      </c>
      <c r="B121" s="773" t="s">
        <v>305</v>
      </c>
      <c r="C121" s="977">
        <v>0.13</v>
      </c>
      <c r="D121" s="977">
        <v>0.13</v>
      </c>
      <c r="E121" s="977">
        <v>0.13</v>
      </c>
      <c r="F121" s="978">
        <v>0.13</v>
      </c>
    </row>
    <row r="122" spans="1:6" ht="14.25" thickBot="1">
      <c r="A122" s="779" t="s">
        <v>56</v>
      </c>
      <c r="B122" s="773" t="s">
        <v>315</v>
      </c>
      <c r="C122" s="977">
        <v>0.13</v>
      </c>
      <c r="D122" s="977">
        <v>0.13</v>
      </c>
      <c r="E122" s="977">
        <v>0.125</v>
      </c>
      <c r="F122" s="978">
        <v>0.13</v>
      </c>
    </row>
    <row r="123" spans="1:6" ht="14.25" thickBot="1">
      <c r="A123" s="779" t="s">
        <v>56</v>
      </c>
      <c r="B123" s="773" t="s">
        <v>326</v>
      </c>
      <c r="C123" s="977">
        <v>0.129</v>
      </c>
      <c r="D123" s="977">
        <v>0.129</v>
      </c>
      <c r="E123" s="977">
        <v>0.123</v>
      </c>
      <c r="F123" s="978">
        <v>0.13</v>
      </c>
    </row>
    <row r="124" spans="1:6" ht="14.25" thickBot="1">
      <c r="A124" s="779" t="s">
        <v>56</v>
      </c>
      <c r="B124" s="773" t="s">
        <v>337</v>
      </c>
      <c r="C124" s="977">
        <v>0.10199999999999999</v>
      </c>
      <c r="D124" s="977">
        <v>0.10100000000000001</v>
      </c>
      <c r="E124" s="977">
        <v>0.08</v>
      </c>
      <c r="F124" s="989"/>
    </row>
    <row r="125" spans="1:6" ht="14.25" thickBot="1">
      <c r="A125" s="779" t="s">
        <v>56</v>
      </c>
      <c r="B125" s="773" t="s">
        <v>347</v>
      </c>
      <c r="C125" s="977">
        <v>0.13</v>
      </c>
      <c r="D125" s="977">
        <v>0.13</v>
      </c>
      <c r="E125" s="977">
        <v>0.129</v>
      </c>
      <c r="F125" s="989"/>
    </row>
    <row r="126" spans="1:6" ht="14.25" thickBot="1">
      <c r="A126" s="779" t="s">
        <v>56</v>
      </c>
      <c r="B126" s="773" t="s">
        <v>357</v>
      </c>
      <c r="C126" s="977">
        <v>0.13</v>
      </c>
      <c r="D126" s="977">
        <v>0.13</v>
      </c>
      <c r="E126" s="977">
        <v>0.126</v>
      </c>
      <c r="F126" s="989"/>
    </row>
    <row r="127" spans="1:6" ht="14.25" thickBot="1">
      <c r="A127" s="779" t="s">
        <v>56</v>
      </c>
      <c r="B127" s="773" t="s">
        <v>367</v>
      </c>
      <c r="C127" s="977">
        <v>0.125</v>
      </c>
      <c r="D127" s="977">
        <v>0.125</v>
      </c>
      <c r="E127" s="977">
        <v>0.121</v>
      </c>
      <c r="F127" s="989"/>
    </row>
    <row r="128" spans="1:6" ht="14.25" thickBot="1">
      <c r="A128" s="779" t="s">
        <v>56</v>
      </c>
      <c r="B128" s="773" t="s">
        <v>377</v>
      </c>
      <c r="C128" s="977">
        <v>0.12</v>
      </c>
      <c r="D128" s="977">
        <v>0.12</v>
      </c>
      <c r="E128" s="977">
        <v>0.105</v>
      </c>
      <c r="F128" s="989"/>
    </row>
    <row r="129" spans="1:6" ht="14.25" thickBot="1">
      <c r="A129" s="779" t="s">
        <v>56</v>
      </c>
      <c r="B129" s="773" t="s">
        <v>386</v>
      </c>
      <c r="C129" s="977">
        <v>0.13</v>
      </c>
      <c r="D129" s="977">
        <v>0.13</v>
      </c>
      <c r="E129" s="977">
        <v>0.126</v>
      </c>
      <c r="F129" s="989"/>
    </row>
    <row r="130" spans="1:6" ht="14.25" thickBot="1">
      <c r="A130" s="779" t="s">
        <v>56</v>
      </c>
      <c r="B130" s="773" t="s">
        <v>395</v>
      </c>
      <c r="C130" s="977">
        <v>0.125</v>
      </c>
      <c r="D130" s="977">
        <v>0.125</v>
      </c>
      <c r="E130" s="977">
        <v>0.122</v>
      </c>
      <c r="F130" s="989"/>
    </row>
    <row r="131" spans="1:6" ht="14.25" thickBot="1">
      <c r="A131" s="779" t="s">
        <v>56</v>
      </c>
      <c r="B131" s="773" t="s">
        <v>403</v>
      </c>
      <c r="C131" s="977">
        <v>0.127</v>
      </c>
      <c r="D131" s="977">
        <v>0.126</v>
      </c>
      <c r="E131" s="977">
        <v>0.123</v>
      </c>
      <c r="F131" s="989"/>
    </row>
    <row r="132" spans="1:6" ht="14.25" thickBot="1">
      <c r="A132" s="779" t="s">
        <v>56</v>
      </c>
      <c r="B132" s="773" t="s">
        <v>410</v>
      </c>
      <c r="C132" s="977">
        <v>9.0999999999999998E-2</v>
      </c>
      <c r="D132" s="977">
        <v>0.121</v>
      </c>
      <c r="E132" s="977">
        <v>9.9000000000000005E-2</v>
      </c>
      <c r="F132" s="989"/>
    </row>
    <row r="133" spans="1:6" ht="14.25" thickBot="1">
      <c r="A133" s="779" t="s">
        <v>56</v>
      </c>
      <c r="B133" s="773" t="s">
        <v>417</v>
      </c>
      <c r="C133" s="977">
        <v>0.13</v>
      </c>
      <c r="D133" s="977">
        <v>0.13</v>
      </c>
      <c r="E133" s="977">
        <v>0.129</v>
      </c>
      <c r="F133" s="989"/>
    </row>
    <row r="134" spans="1:6" ht="14.25" thickBot="1">
      <c r="A134" s="779" t="s">
        <v>56</v>
      </c>
      <c r="B134" s="773" t="s">
        <v>867</v>
      </c>
      <c r="C134" s="977">
        <v>6.8000000000000005E-2</v>
      </c>
      <c r="D134" s="977">
        <v>6.5000000000000002E-2</v>
      </c>
      <c r="E134" s="977">
        <v>6.5000000000000002E-2</v>
      </c>
      <c r="F134" s="978">
        <v>0.13</v>
      </c>
    </row>
    <row r="135" spans="1:6" ht="14.25" thickBot="1">
      <c r="A135" s="779" t="s">
        <v>56</v>
      </c>
      <c r="B135" s="773" t="s">
        <v>431</v>
      </c>
      <c r="C135" s="977">
        <v>0.123</v>
      </c>
      <c r="D135" s="977">
        <v>0.123</v>
      </c>
      <c r="E135" s="977">
        <v>0.11</v>
      </c>
      <c r="F135" s="989"/>
    </row>
    <row r="136" spans="1:6" ht="14.25" thickBot="1">
      <c r="A136" s="779" t="s">
        <v>56</v>
      </c>
      <c r="B136" s="773" t="s">
        <v>438</v>
      </c>
      <c r="C136" s="977">
        <v>0.13</v>
      </c>
      <c r="D136" s="977">
        <v>0.13</v>
      </c>
      <c r="E136" s="977">
        <v>0.125</v>
      </c>
      <c r="F136" s="989"/>
    </row>
    <row r="137" spans="1:6" ht="14.25" thickBot="1">
      <c r="A137" s="779" t="s">
        <v>56</v>
      </c>
      <c r="B137" s="773" t="s">
        <v>445</v>
      </c>
      <c r="C137" s="977">
        <v>0.121</v>
      </c>
      <c r="D137" s="977">
        <v>0.122</v>
      </c>
      <c r="E137" s="977">
        <v>0.115</v>
      </c>
      <c r="F137" s="989"/>
    </row>
    <row r="138" spans="1:6" ht="14.25" thickBot="1">
      <c r="A138" s="779" t="s">
        <v>56</v>
      </c>
      <c r="B138" s="773" t="s">
        <v>868</v>
      </c>
      <c r="C138" s="977">
        <v>0.105</v>
      </c>
      <c r="D138" s="977">
        <v>0.125</v>
      </c>
      <c r="E138" s="977">
        <v>0.112</v>
      </c>
      <c r="F138" s="989"/>
    </row>
    <row r="139" spans="1:6" ht="14.25" thickBot="1">
      <c r="A139" s="779" t="s">
        <v>56</v>
      </c>
      <c r="B139" s="773" t="s">
        <v>869</v>
      </c>
      <c r="C139" s="977">
        <v>0.127</v>
      </c>
      <c r="D139" s="977">
        <v>0.127</v>
      </c>
      <c r="E139" s="977">
        <v>0.122</v>
      </c>
      <c r="F139" s="978">
        <v>0.13</v>
      </c>
    </row>
    <row r="140" spans="1:6" ht="14.25" thickBot="1">
      <c r="A140" s="779" t="s">
        <v>56</v>
      </c>
      <c r="B140" s="773" t="s">
        <v>870</v>
      </c>
      <c r="C140" s="977">
        <v>0.125</v>
      </c>
      <c r="D140" s="977">
        <v>0.125</v>
      </c>
      <c r="E140" s="977">
        <v>0.11899999999999999</v>
      </c>
      <c r="F140" s="978">
        <v>0.13</v>
      </c>
    </row>
    <row r="141" spans="1:6" ht="14.25" thickBot="1">
      <c r="A141" s="779" t="s">
        <v>56</v>
      </c>
      <c r="B141" s="773" t="s">
        <v>464</v>
      </c>
      <c r="C141" s="977">
        <v>0.125</v>
      </c>
      <c r="D141" s="977">
        <v>0.125</v>
      </c>
      <c r="E141" s="977">
        <v>0.11700000000000001</v>
      </c>
      <c r="F141" s="989"/>
    </row>
    <row r="142" spans="1:6" ht="14.25" thickBot="1">
      <c r="A142" s="779" t="s">
        <v>56</v>
      </c>
      <c r="B142" s="773" t="s">
        <v>469</v>
      </c>
      <c r="C142" s="977">
        <v>0.125</v>
      </c>
      <c r="D142" s="977">
        <v>0.125</v>
      </c>
      <c r="E142" s="977">
        <v>0.115</v>
      </c>
      <c r="F142" s="989"/>
    </row>
    <row r="143" spans="1:6" ht="14.25" thickBot="1">
      <c r="A143" s="779" t="s">
        <v>56</v>
      </c>
      <c r="B143" s="773" t="s">
        <v>474</v>
      </c>
      <c r="C143" s="977">
        <v>0.121</v>
      </c>
      <c r="D143" s="977">
        <v>0.121</v>
      </c>
      <c r="E143" s="977">
        <v>0.108</v>
      </c>
      <c r="F143" s="989"/>
    </row>
    <row r="144" spans="1:6" ht="14.25" thickBot="1">
      <c r="A144" s="779" t="s">
        <v>56</v>
      </c>
      <c r="B144" s="981" t="s">
        <v>871</v>
      </c>
      <c r="C144" s="982">
        <v>0.126</v>
      </c>
      <c r="D144" s="982">
        <v>0.126</v>
      </c>
      <c r="E144" s="982">
        <v>0.121</v>
      </c>
      <c r="F144" s="989"/>
    </row>
    <row r="145" spans="1:6" ht="14.25" thickBot="1">
      <c r="A145" s="789" t="s">
        <v>56</v>
      </c>
      <c r="B145" s="983" t="s">
        <v>872</v>
      </c>
      <c r="C145" s="991"/>
      <c r="D145" s="991"/>
      <c r="E145" s="991"/>
      <c r="F145" s="984">
        <v>0.05</v>
      </c>
    </row>
    <row r="146" spans="1:6" ht="24.75" thickBot="1">
      <c r="A146" s="985" t="s">
        <v>56</v>
      </c>
      <c r="B146" s="783" t="s">
        <v>873</v>
      </c>
      <c r="C146" s="990"/>
      <c r="D146" s="990"/>
      <c r="E146" s="990"/>
      <c r="F146" s="986">
        <v>0.05</v>
      </c>
    </row>
    <row r="147" spans="1:6" ht="24.75" thickBot="1">
      <c r="A147" s="779" t="s">
        <v>56</v>
      </c>
      <c r="B147" s="773" t="s">
        <v>874</v>
      </c>
      <c r="C147" s="990"/>
      <c r="D147" s="990"/>
      <c r="E147" s="990"/>
      <c r="F147" s="978">
        <v>0.05</v>
      </c>
    </row>
    <row r="148" spans="1:6" ht="24.75" thickBot="1">
      <c r="A148" s="779" t="s">
        <v>56</v>
      </c>
      <c r="B148" s="773" t="s">
        <v>875</v>
      </c>
      <c r="C148" s="990"/>
      <c r="D148" s="990"/>
      <c r="E148" s="990"/>
      <c r="F148" s="978">
        <v>0.05</v>
      </c>
    </row>
    <row r="149" spans="1:6" ht="24.75" thickBot="1">
      <c r="A149" s="779" t="s">
        <v>56</v>
      </c>
      <c r="B149" s="773" t="s">
        <v>876</v>
      </c>
      <c r="C149" s="990"/>
      <c r="D149" s="990"/>
      <c r="E149" s="990"/>
      <c r="F149" s="978">
        <v>0.05</v>
      </c>
    </row>
    <row r="150" spans="1:6" ht="24.75" thickBot="1">
      <c r="A150" s="779" t="s">
        <v>56</v>
      </c>
      <c r="B150" s="773" t="s">
        <v>877</v>
      </c>
      <c r="C150" s="990"/>
      <c r="D150" s="990"/>
      <c r="E150" s="990"/>
      <c r="F150" s="978">
        <v>0.05</v>
      </c>
    </row>
    <row r="151" spans="1:6" ht="24.75" thickBot="1">
      <c r="A151" s="779" t="s">
        <v>56</v>
      </c>
      <c r="B151" s="773" t="s">
        <v>878</v>
      </c>
      <c r="C151" s="990"/>
      <c r="D151" s="990"/>
      <c r="E151" s="990"/>
      <c r="F151" s="978">
        <v>0.05</v>
      </c>
    </row>
    <row r="152" spans="1:6" ht="24.75" thickBot="1">
      <c r="A152" s="779" t="s">
        <v>56</v>
      </c>
      <c r="B152" s="773" t="s">
        <v>507</v>
      </c>
      <c r="C152" s="990"/>
      <c r="D152" s="990"/>
      <c r="E152" s="990"/>
      <c r="F152" s="978">
        <v>0.05</v>
      </c>
    </row>
    <row r="153" spans="1:6" ht="14.25" thickBot="1">
      <c r="A153" s="779" t="s">
        <v>56</v>
      </c>
      <c r="B153" s="773" t="s">
        <v>879</v>
      </c>
      <c r="C153" s="990"/>
      <c r="D153" s="990"/>
      <c r="E153" s="990"/>
      <c r="F153" s="978">
        <v>0.05</v>
      </c>
    </row>
    <row r="154" spans="1:6" ht="14.25" thickBot="1">
      <c r="A154" s="779" t="s">
        <v>56</v>
      </c>
      <c r="B154" s="773" t="s">
        <v>880</v>
      </c>
      <c r="C154" s="990"/>
      <c r="D154" s="990"/>
      <c r="E154" s="990"/>
      <c r="F154" s="978">
        <v>0.05</v>
      </c>
    </row>
    <row r="155" spans="1:6" ht="24.75" thickBot="1">
      <c r="A155" s="779" t="s">
        <v>56</v>
      </c>
      <c r="B155" s="773" t="s">
        <v>881</v>
      </c>
      <c r="C155" s="990"/>
      <c r="D155" s="990"/>
      <c r="E155" s="990"/>
      <c r="F155" s="978">
        <v>0.05</v>
      </c>
    </row>
    <row r="156" spans="1:6" ht="24.75" thickBot="1">
      <c r="A156" s="779" t="s">
        <v>56</v>
      </c>
      <c r="B156" s="773" t="s">
        <v>882</v>
      </c>
      <c r="C156" s="990"/>
      <c r="D156" s="990"/>
      <c r="E156" s="990"/>
      <c r="F156" s="978">
        <v>0.05</v>
      </c>
    </row>
    <row r="157" spans="1:6" ht="14.25" thickBot="1">
      <c r="A157" s="789" t="s">
        <v>56</v>
      </c>
      <c r="B157" s="785" t="s">
        <v>883</v>
      </c>
      <c r="C157" s="987"/>
      <c r="D157" s="987"/>
      <c r="E157" s="987"/>
      <c r="F157" s="980">
        <v>0.05</v>
      </c>
    </row>
    <row r="158" spans="1:6" ht="14.25" thickBot="1">
      <c r="A158" s="779" t="s">
        <v>526</v>
      </c>
      <c r="B158" s="780" t="s">
        <v>884</v>
      </c>
      <c r="C158" s="975">
        <v>0.13</v>
      </c>
      <c r="D158" s="975">
        <v>0.13</v>
      </c>
      <c r="E158" s="975">
        <v>0.13</v>
      </c>
      <c r="F158" s="976">
        <v>0.13</v>
      </c>
    </row>
    <row r="159" spans="1:6" ht="14.25" thickBot="1">
      <c r="A159" s="779" t="s">
        <v>526</v>
      </c>
      <c r="B159" s="773" t="s">
        <v>193</v>
      </c>
      <c r="C159" s="977">
        <v>0.13</v>
      </c>
      <c r="D159" s="977">
        <v>0.13</v>
      </c>
      <c r="E159" s="977">
        <v>0.13</v>
      </c>
      <c r="F159" s="978">
        <v>0.13</v>
      </c>
    </row>
    <row r="160" spans="1:6" ht="14.25" thickBot="1">
      <c r="A160" s="779" t="s">
        <v>526</v>
      </c>
      <c r="B160" s="773" t="s">
        <v>206</v>
      </c>
      <c r="C160" s="977">
        <v>0.13</v>
      </c>
      <c r="D160" s="977">
        <v>0.13</v>
      </c>
      <c r="E160" s="977">
        <v>0.129</v>
      </c>
      <c r="F160" s="978">
        <v>0.13</v>
      </c>
    </row>
    <row r="161" spans="1:6" ht="14.25" thickBot="1">
      <c r="A161" s="779" t="s">
        <v>526</v>
      </c>
      <c r="B161" s="773" t="s">
        <v>219</v>
      </c>
      <c r="C161" s="977">
        <v>0.128</v>
      </c>
      <c r="D161" s="977">
        <v>0.128</v>
      </c>
      <c r="E161" s="977">
        <v>0.125</v>
      </c>
      <c r="F161" s="978">
        <v>0.13</v>
      </c>
    </row>
    <row r="162" spans="1:6" ht="14.25" thickBot="1">
      <c r="A162" s="779" t="s">
        <v>526</v>
      </c>
      <c r="B162" s="773" t="s">
        <v>231</v>
      </c>
      <c r="C162" s="977">
        <v>0.122</v>
      </c>
      <c r="D162" s="977">
        <v>0.122</v>
      </c>
      <c r="E162" s="977">
        <v>0.126</v>
      </c>
      <c r="F162" s="978">
        <v>0.122</v>
      </c>
    </row>
    <row r="163" spans="1:6" ht="14.25" thickBot="1">
      <c r="A163" s="779" t="s">
        <v>526</v>
      </c>
      <c r="B163" s="773" t="s">
        <v>242</v>
      </c>
      <c r="C163" s="977">
        <v>0.13</v>
      </c>
      <c r="D163" s="977">
        <v>0.13</v>
      </c>
      <c r="E163" s="977">
        <v>0.125</v>
      </c>
      <c r="F163" s="978">
        <v>0.13</v>
      </c>
    </row>
    <row r="164" spans="1:6" ht="14.25" thickBot="1">
      <c r="A164" s="779" t="s">
        <v>526</v>
      </c>
      <c r="B164" s="773" t="s">
        <v>253</v>
      </c>
      <c r="C164" s="977">
        <v>0.13</v>
      </c>
      <c r="D164" s="977">
        <v>0.13</v>
      </c>
      <c r="E164" s="977">
        <v>0.13</v>
      </c>
      <c r="F164" s="978">
        <v>0.13</v>
      </c>
    </row>
    <row r="165" spans="1:6" ht="14.25" thickBot="1">
      <c r="A165" s="779" t="s">
        <v>526</v>
      </c>
      <c r="B165" s="773" t="s">
        <v>264</v>
      </c>
      <c r="C165" s="977">
        <v>0.13</v>
      </c>
      <c r="D165" s="977">
        <v>0.13</v>
      </c>
      <c r="E165" s="977">
        <v>0.124</v>
      </c>
      <c r="F165" s="978">
        <v>0.13</v>
      </c>
    </row>
    <row r="166" spans="1:6" ht="14.25" thickBot="1">
      <c r="A166" s="779" t="s">
        <v>526</v>
      </c>
      <c r="B166" s="773" t="s">
        <v>276</v>
      </c>
      <c r="C166" s="977">
        <v>0.13</v>
      </c>
      <c r="D166" s="977">
        <v>0.13</v>
      </c>
      <c r="E166" s="977">
        <v>0.13</v>
      </c>
      <c r="F166" s="978">
        <v>0.13</v>
      </c>
    </row>
    <row r="167" spans="1:6" ht="14.25" thickBot="1">
      <c r="A167" s="779" t="s">
        <v>526</v>
      </c>
      <c r="B167" s="773" t="s">
        <v>286</v>
      </c>
      <c r="C167" s="977">
        <v>0.125</v>
      </c>
      <c r="D167" s="977">
        <v>0.125</v>
      </c>
      <c r="E167" s="977">
        <v>0.121</v>
      </c>
      <c r="F167" s="989"/>
    </row>
    <row r="168" spans="1:6" ht="14.25" thickBot="1">
      <c r="A168" s="779" t="s">
        <v>526</v>
      </c>
      <c r="B168" s="773" t="s">
        <v>296</v>
      </c>
      <c r="C168" s="977">
        <v>0.13</v>
      </c>
      <c r="D168" s="977">
        <v>0.13</v>
      </c>
      <c r="E168" s="977">
        <v>0.126</v>
      </c>
      <c r="F168" s="989"/>
    </row>
    <row r="169" spans="1:6" ht="14.25" thickBot="1">
      <c r="A169" s="779" t="s">
        <v>526</v>
      </c>
      <c r="B169" s="773" t="s">
        <v>306</v>
      </c>
      <c r="C169" s="977">
        <v>0.128</v>
      </c>
      <c r="D169" s="977">
        <v>0.129</v>
      </c>
      <c r="E169" s="977">
        <v>0.13</v>
      </c>
      <c r="F169" s="989"/>
    </row>
    <row r="170" spans="1:6" ht="14.25" thickBot="1">
      <c r="A170" s="779" t="s">
        <v>526</v>
      </c>
      <c r="B170" s="773" t="s">
        <v>316</v>
      </c>
      <c r="C170" s="977">
        <v>0.14099999999999999</v>
      </c>
      <c r="D170" s="977">
        <v>0.13</v>
      </c>
      <c r="E170" s="977">
        <v>0.125</v>
      </c>
      <c r="F170" s="989"/>
    </row>
    <row r="171" spans="1:6" ht="14.25" thickBot="1">
      <c r="A171" s="779" t="s">
        <v>526</v>
      </c>
      <c r="B171" s="773" t="s">
        <v>885</v>
      </c>
      <c r="C171" s="977">
        <v>0.127</v>
      </c>
      <c r="D171" s="977">
        <v>0.126</v>
      </c>
      <c r="E171" s="977">
        <v>0.126</v>
      </c>
      <c r="F171" s="978">
        <v>0.11799999999999999</v>
      </c>
    </row>
    <row r="172" spans="1:6" ht="14.25" thickBot="1">
      <c r="A172" s="779" t="s">
        <v>526</v>
      </c>
      <c r="B172" s="773" t="s">
        <v>886</v>
      </c>
      <c r="C172" s="977">
        <v>0.13</v>
      </c>
      <c r="D172" s="977">
        <v>0.13</v>
      </c>
      <c r="E172" s="977">
        <v>0.13</v>
      </c>
      <c r="F172" s="989"/>
    </row>
    <row r="173" spans="1:6" ht="14.25" thickBot="1">
      <c r="A173" s="779" t="s">
        <v>526</v>
      </c>
      <c r="B173" s="773" t="s">
        <v>348</v>
      </c>
      <c r="C173" s="977">
        <v>0.13</v>
      </c>
      <c r="D173" s="977">
        <v>0.13</v>
      </c>
      <c r="E173" s="977">
        <v>0.13</v>
      </c>
      <c r="F173" s="989"/>
    </row>
    <row r="174" spans="1:6" ht="14.25" thickBot="1">
      <c r="A174" s="779" t="s">
        <v>526</v>
      </c>
      <c r="B174" s="773" t="s">
        <v>887</v>
      </c>
      <c r="C174" s="977">
        <v>0.13</v>
      </c>
      <c r="D174" s="977">
        <v>0.13</v>
      </c>
      <c r="E174" s="977">
        <v>0.13</v>
      </c>
      <c r="F174" s="978">
        <v>0.13</v>
      </c>
    </row>
    <row r="175" spans="1:6" ht="14.25" thickBot="1">
      <c r="A175" s="779" t="s">
        <v>526</v>
      </c>
      <c r="B175" s="773" t="s">
        <v>888</v>
      </c>
      <c r="C175" s="977">
        <v>0.13</v>
      </c>
      <c r="D175" s="977">
        <v>0.13</v>
      </c>
      <c r="E175" s="977">
        <v>0.13</v>
      </c>
      <c r="F175" s="978">
        <v>0.13</v>
      </c>
    </row>
    <row r="176" spans="1:6" ht="14.25" thickBot="1">
      <c r="A176" s="779" t="s">
        <v>526</v>
      </c>
      <c r="B176" s="773" t="s">
        <v>378</v>
      </c>
      <c r="C176" s="977">
        <v>0.13</v>
      </c>
      <c r="D176" s="977">
        <v>0.13</v>
      </c>
      <c r="E176" s="977">
        <v>0.13</v>
      </c>
      <c r="F176" s="978">
        <v>0.13</v>
      </c>
    </row>
    <row r="177" spans="1:6" ht="14.25" thickBot="1">
      <c r="A177" s="779" t="s">
        <v>526</v>
      </c>
      <c r="B177" s="773" t="s">
        <v>889</v>
      </c>
      <c r="C177" s="977">
        <v>0.13</v>
      </c>
      <c r="D177" s="977">
        <v>0.13</v>
      </c>
      <c r="E177" s="977">
        <v>0.13</v>
      </c>
      <c r="F177" s="978">
        <v>0.13</v>
      </c>
    </row>
    <row r="178" spans="1:6" ht="14.25" thickBot="1">
      <c r="A178" s="779" t="s">
        <v>526</v>
      </c>
      <c r="B178" s="773" t="s">
        <v>396</v>
      </c>
      <c r="C178" s="977">
        <v>0.13</v>
      </c>
      <c r="D178" s="977">
        <v>0.13</v>
      </c>
      <c r="E178" s="977">
        <v>0.13</v>
      </c>
      <c r="F178" s="978">
        <v>0.127</v>
      </c>
    </row>
    <row r="179" spans="1:6" ht="14.25" thickBot="1">
      <c r="A179" s="779" t="s">
        <v>526</v>
      </c>
      <c r="B179" s="773" t="s">
        <v>404</v>
      </c>
      <c r="C179" s="977">
        <v>0.13</v>
      </c>
      <c r="D179" s="977">
        <v>0.13</v>
      </c>
      <c r="E179" s="977">
        <v>0.13</v>
      </c>
      <c r="F179" s="989"/>
    </row>
    <row r="180" spans="1:6" ht="14.25" thickBot="1">
      <c r="A180" s="779" t="s">
        <v>526</v>
      </c>
      <c r="B180" s="773" t="s">
        <v>890</v>
      </c>
      <c r="C180" s="977">
        <v>0.13</v>
      </c>
      <c r="D180" s="977">
        <v>0.13</v>
      </c>
      <c r="E180" s="977">
        <v>0.125</v>
      </c>
      <c r="F180" s="978">
        <v>0.13</v>
      </c>
    </row>
    <row r="181" spans="1:6" ht="14.25" thickBot="1">
      <c r="A181" s="779" t="s">
        <v>526</v>
      </c>
      <c r="B181" s="773" t="s">
        <v>418</v>
      </c>
      <c r="C181" s="977">
        <v>0.122</v>
      </c>
      <c r="D181" s="977">
        <v>0.123</v>
      </c>
      <c r="E181" s="977">
        <v>0.126</v>
      </c>
      <c r="F181" s="978">
        <v>0.121</v>
      </c>
    </row>
    <row r="182" spans="1:6" ht="14.25" thickBot="1">
      <c r="A182" s="779" t="s">
        <v>526</v>
      </c>
      <c r="B182" s="773" t="s">
        <v>425</v>
      </c>
      <c r="C182" s="977">
        <v>0.125</v>
      </c>
      <c r="D182" s="977">
        <v>0.125</v>
      </c>
      <c r="E182" s="977">
        <v>0.11700000000000001</v>
      </c>
      <c r="F182" s="978">
        <v>0.13</v>
      </c>
    </row>
    <row r="183" spans="1:6" ht="14.25" thickBot="1">
      <c r="A183" s="779" t="s">
        <v>526</v>
      </c>
      <c r="B183" s="773" t="s">
        <v>432</v>
      </c>
      <c r="C183" s="977">
        <v>0.127</v>
      </c>
      <c r="D183" s="977">
        <v>0.127</v>
      </c>
      <c r="E183" s="977">
        <v>0.128</v>
      </c>
      <c r="F183" s="989"/>
    </row>
    <row r="184" spans="1:6" ht="14.25" thickBot="1">
      <c r="A184" s="779" t="s">
        <v>526</v>
      </c>
      <c r="B184" s="773" t="s">
        <v>439</v>
      </c>
      <c r="C184" s="977">
        <v>0.125</v>
      </c>
      <c r="D184" s="977">
        <v>0.125</v>
      </c>
      <c r="E184" s="977">
        <v>0.127</v>
      </c>
      <c r="F184" s="989"/>
    </row>
    <row r="185" spans="1:6" ht="14.25" thickBot="1">
      <c r="A185" s="779" t="s">
        <v>526</v>
      </c>
      <c r="B185" s="773" t="s">
        <v>891</v>
      </c>
      <c r="C185" s="977">
        <v>0.127</v>
      </c>
      <c r="D185" s="977">
        <v>0.127</v>
      </c>
      <c r="E185" s="977">
        <v>0.128</v>
      </c>
      <c r="F185" s="978">
        <v>0.13</v>
      </c>
    </row>
    <row r="186" spans="1:6" ht="24.75" thickBot="1">
      <c r="A186" s="779" t="s">
        <v>526</v>
      </c>
      <c r="B186" s="773" t="s">
        <v>892</v>
      </c>
      <c r="C186" s="990"/>
      <c r="D186" s="990"/>
      <c r="E186" s="990"/>
      <c r="F186" s="978">
        <v>0.05</v>
      </c>
    </row>
    <row r="187" spans="1:6" ht="14.25" thickBot="1">
      <c r="A187" s="779" t="s">
        <v>526</v>
      </c>
      <c r="B187" s="773" t="s">
        <v>893</v>
      </c>
      <c r="C187" s="990"/>
      <c r="D187" s="990"/>
      <c r="E187" s="990"/>
      <c r="F187" s="978">
        <v>0.05</v>
      </c>
    </row>
    <row r="188" spans="1:6" ht="14.25" thickBot="1">
      <c r="A188" s="779" t="s">
        <v>526</v>
      </c>
      <c r="B188" s="773" t="s">
        <v>894</v>
      </c>
      <c r="C188" s="990"/>
      <c r="D188" s="990"/>
      <c r="E188" s="990"/>
      <c r="F188" s="978">
        <v>0.05</v>
      </c>
    </row>
    <row r="189" spans="1:6" ht="24.75" thickBot="1">
      <c r="A189" s="779" t="s">
        <v>526</v>
      </c>
      <c r="B189" s="773" t="s">
        <v>895</v>
      </c>
      <c r="C189" s="990"/>
      <c r="D189" s="990"/>
      <c r="E189" s="990"/>
      <c r="F189" s="978">
        <v>0.05</v>
      </c>
    </row>
    <row r="190" spans="1:6" ht="24.75" thickBot="1">
      <c r="A190" s="779" t="s">
        <v>526</v>
      </c>
      <c r="B190" s="773" t="s">
        <v>896</v>
      </c>
      <c r="C190" s="990"/>
      <c r="D190" s="990"/>
      <c r="E190" s="990"/>
      <c r="F190" s="978">
        <v>0.05</v>
      </c>
    </row>
    <row r="191" spans="1:6" ht="24.75" thickBot="1">
      <c r="A191" s="779" t="s">
        <v>526</v>
      </c>
      <c r="B191" s="773" t="s">
        <v>897</v>
      </c>
      <c r="C191" s="990"/>
      <c r="D191" s="990"/>
      <c r="E191" s="990"/>
      <c r="F191" s="978">
        <v>0.05</v>
      </c>
    </row>
    <row r="192" spans="1:6" ht="24.75" thickBot="1">
      <c r="A192" s="779" t="s">
        <v>526</v>
      </c>
      <c r="B192" s="773" t="s">
        <v>898</v>
      </c>
      <c r="C192" s="990"/>
      <c r="D192" s="990"/>
      <c r="E192" s="990"/>
      <c r="F192" s="978">
        <v>0.05</v>
      </c>
    </row>
    <row r="193" spans="1:6" ht="24.75" thickBot="1">
      <c r="A193" s="779" t="s">
        <v>526</v>
      </c>
      <c r="B193" s="773" t="s">
        <v>899</v>
      </c>
      <c r="C193" s="990"/>
      <c r="D193" s="990"/>
      <c r="E193" s="990"/>
      <c r="F193" s="978">
        <v>0.05</v>
      </c>
    </row>
    <row r="194" spans="1:6" ht="24.75" thickBot="1">
      <c r="A194" s="779" t="s">
        <v>526</v>
      </c>
      <c r="B194" s="773" t="s">
        <v>900</v>
      </c>
      <c r="C194" s="990"/>
      <c r="D194" s="990"/>
      <c r="E194" s="990"/>
      <c r="F194" s="978">
        <v>0.05</v>
      </c>
    </row>
    <row r="195" spans="1:6" ht="14.25" thickBot="1">
      <c r="A195" s="779" t="s">
        <v>526</v>
      </c>
      <c r="B195" s="773" t="s">
        <v>901</v>
      </c>
      <c r="C195" s="990"/>
      <c r="D195" s="990"/>
      <c r="E195" s="990"/>
      <c r="F195" s="978">
        <v>0.05</v>
      </c>
    </row>
    <row r="196" spans="1:6" ht="24.75" thickBot="1">
      <c r="A196" s="779" t="s">
        <v>526</v>
      </c>
      <c r="B196" s="773" t="s">
        <v>902</v>
      </c>
      <c r="C196" s="990"/>
      <c r="D196" s="990"/>
      <c r="E196" s="990"/>
      <c r="F196" s="978">
        <v>0.05</v>
      </c>
    </row>
    <row r="197" spans="1:6" ht="24.75" thickBot="1">
      <c r="A197" s="779" t="s">
        <v>526</v>
      </c>
      <c r="B197" s="773" t="s">
        <v>903</v>
      </c>
      <c r="C197" s="990"/>
      <c r="D197" s="990"/>
      <c r="E197" s="990"/>
      <c r="F197" s="978">
        <v>0.05</v>
      </c>
    </row>
    <row r="198" spans="1:6" ht="24.75" thickBot="1">
      <c r="A198" s="779" t="s">
        <v>526</v>
      </c>
      <c r="B198" s="773" t="s">
        <v>904</v>
      </c>
      <c r="C198" s="990"/>
      <c r="D198" s="990"/>
      <c r="E198" s="990"/>
      <c r="F198" s="978">
        <v>0.05</v>
      </c>
    </row>
    <row r="199" spans="1:6" ht="24.75" thickBot="1">
      <c r="A199" s="779" t="s">
        <v>526</v>
      </c>
      <c r="B199" s="773" t="s">
        <v>905</v>
      </c>
      <c r="C199" s="990"/>
      <c r="D199" s="990"/>
      <c r="E199" s="990"/>
      <c r="F199" s="978">
        <v>0.05</v>
      </c>
    </row>
    <row r="200" spans="1:6" ht="24.75" thickBot="1">
      <c r="A200" s="779" t="s">
        <v>526</v>
      </c>
      <c r="B200" s="773" t="s">
        <v>906</v>
      </c>
      <c r="C200" s="990"/>
      <c r="D200" s="990"/>
      <c r="E200" s="990"/>
      <c r="F200" s="978">
        <v>0.05</v>
      </c>
    </row>
    <row r="201" spans="1:6" ht="24.75" thickBot="1">
      <c r="A201" s="779" t="s">
        <v>526</v>
      </c>
      <c r="B201" s="773" t="s">
        <v>907</v>
      </c>
      <c r="C201" s="990"/>
      <c r="D201" s="990"/>
      <c r="E201" s="990"/>
      <c r="F201" s="978">
        <v>0.05</v>
      </c>
    </row>
    <row r="202" spans="1:6" ht="24.75" thickBot="1">
      <c r="A202" s="779" t="s">
        <v>526</v>
      </c>
      <c r="B202" s="773" t="s">
        <v>908</v>
      </c>
      <c r="C202" s="990"/>
      <c r="D202" s="990"/>
      <c r="E202" s="990"/>
      <c r="F202" s="978">
        <v>0.05</v>
      </c>
    </row>
    <row r="203" spans="1:6" ht="24.75" thickBot="1">
      <c r="A203" s="779" t="s">
        <v>526</v>
      </c>
      <c r="B203" s="773" t="s">
        <v>909</v>
      </c>
      <c r="C203" s="990"/>
      <c r="D203" s="990"/>
      <c r="E203" s="990"/>
      <c r="F203" s="978">
        <v>0.05</v>
      </c>
    </row>
    <row r="204" spans="1:6" ht="14.25" thickBot="1">
      <c r="A204" s="779" t="s">
        <v>526</v>
      </c>
      <c r="B204" s="773" t="s">
        <v>910</v>
      </c>
      <c r="C204" s="990"/>
      <c r="D204" s="990"/>
      <c r="E204" s="990"/>
      <c r="F204" s="978">
        <v>0.05</v>
      </c>
    </row>
    <row r="205" spans="1:6" ht="14.25" thickBot="1">
      <c r="A205" s="789" t="s">
        <v>526</v>
      </c>
      <c r="B205" s="785" t="s">
        <v>911</v>
      </c>
      <c r="C205" s="987"/>
      <c r="D205" s="987"/>
      <c r="E205" s="987"/>
      <c r="F205" s="980">
        <v>0.05</v>
      </c>
    </row>
    <row r="206" spans="1:6" ht="14.25" thickBot="1">
      <c r="A206" s="779" t="s">
        <v>528</v>
      </c>
      <c r="B206" s="780" t="s">
        <v>912</v>
      </c>
      <c r="C206" s="975">
        <v>0.15</v>
      </c>
      <c r="D206" s="975">
        <v>0.15</v>
      </c>
      <c r="E206" s="975">
        <v>0.15</v>
      </c>
      <c r="F206" s="976">
        <v>0.15</v>
      </c>
    </row>
    <row r="207" spans="1:6" ht="14.25" thickBot="1">
      <c r="A207" s="779" t="s">
        <v>528</v>
      </c>
      <c r="B207" s="773" t="s">
        <v>194</v>
      </c>
      <c r="C207" s="977">
        <v>0.15</v>
      </c>
      <c r="D207" s="977">
        <v>0.15</v>
      </c>
      <c r="E207" s="977">
        <v>0.15</v>
      </c>
      <c r="F207" s="978">
        <v>0.14399999999999999</v>
      </c>
    </row>
    <row r="208" spans="1:6" ht="14.25" thickBot="1">
      <c r="A208" s="779" t="s">
        <v>528</v>
      </c>
      <c r="B208" s="773" t="s">
        <v>207</v>
      </c>
      <c r="C208" s="977">
        <v>0.15</v>
      </c>
      <c r="D208" s="977">
        <v>0.15</v>
      </c>
      <c r="E208" s="977">
        <v>0.15</v>
      </c>
      <c r="F208" s="978">
        <v>0.15</v>
      </c>
    </row>
    <row r="209" spans="1:6" ht="14.25" thickBot="1">
      <c r="A209" s="779" t="s">
        <v>528</v>
      </c>
      <c r="B209" s="773" t="s">
        <v>220</v>
      </c>
      <c r="C209" s="977">
        <v>0.13700000000000001</v>
      </c>
      <c r="D209" s="977">
        <v>0.13700000000000001</v>
      </c>
      <c r="E209" s="977">
        <v>0.14000000000000001</v>
      </c>
      <c r="F209" s="978">
        <v>0.11700000000000001</v>
      </c>
    </row>
    <row r="210" spans="1:6" ht="14.25" thickBot="1">
      <c r="A210" s="779" t="s">
        <v>528</v>
      </c>
      <c r="B210" s="773" t="s">
        <v>913</v>
      </c>
      <c r="C210" s="977">
        <v>0.15</v>
      </c>
      <c r="D210" s="977">
        <v>0.15</v>
      </c>
      <c r="E210" s="977">
        <v>0.15</v>
      </c>
      <c r="F210" s="978">
        <v>0.13800000000000001</v>
      </c>
    </row>
    <row r="211" spans="1:6" ht="14.25" thickBot="1">
      <c r="A211" s="779" t="s">
        <v>528</v>
      </c>
      <c r="B211" s="773" t="s">
        <v>914</v>
      </c>
      <c r="C211" s="977">
        <v>0.13700000000000001</v>
      </c>
      <c r="D211" s="977">
        <v>0.13500000000000001</v>
      </c>
      <c r="E211" s="977">
        <v>0.13600000000000001</v>
      </c>
      <c r="F211" s="978">
        <v>0.1</v>
      </c>
    </row>
    <row r="212" spans="1:6" ht="14.25" thickBot="1">
      <c r="A212" s="779" t="s">
        <v>528</v>
      </c>
      <c r="B212" s="773" t="s">
        <v>915</v>
      </c>
      <c r="C212" s="977">
        <v>0.15</v>
      </c>
      <c r="D212" s="977">
        <v>0.15</v>
      </c>
      <c r="E212" s="977">
        <v>0.14799999999999999</v>
      </c>
      <c r="F212" s="978">
        <v>0.13600000000000001</v>
      </c>
    </row>
    <row r="213" spans="1:6" ht="14.25" thickBot="1">
      <c r="A213" s="779" t="s">
        <v>528</v>
      </c>
      <c r="B213" s="773" t="s">
        <v>265</v>
      </c>
      <c r="C213" s="977">
        <v>0.15</v>
      </c>
      <c r="D213" s="977">
        <v>0.15</v>
      </c>
      <c r="E213" s="977">
        <v>0.15</v>
      </c>
      <c r="F213" s="978">
        <v>0.13800000000000001</v>
      </c>
    </row>
    <row r="214" spans="1:6" ht="14.25" thickBot="1">
      <c r="A214" s="779" t="s">
        <v>528</v>
      </c>
      <c r="B214" s="773" t="s">
        <v>277</v>
      </c>
      <c r="C214" s="977">
        <v>9.0999999999999998E-2</v>
      </c>
      <c r="D214" s="977">
        <v>0.09</v>
      </c>
      <c r="E214" s="977">
        <v>9.1999999999999998E-2</v>
      </c>
      <c r="F214" s="989"/>
    </row>
    <row r="215" spans="1:6" ht="14.25" thickBot="1">
      <c r="A215" s="779" t="s">
        <v>528</v>
      </c>
      <c r="B215" s="773" t="s">
        <v>916</v>
      </c>
      <c r="C215" s="977">
        <v>0.15</v>
      </c>
      <c r="D215" s="977">
        <v>0.15</v>
      </c>
      <c r="E215" s="977">
        <v>0.15</v>
      </c>
      <c r="F215" s="978">
        <v>0.15</v>
      </c>
    </row>
    <row r="216" spans="1:6" ht="14.25" thickBot="1">
      <c r="A216" s="779" t="s">
        <v>528</v>
      </c>
      <c r="B216" s="773" t="s">
        <v>297</v>
      </c>
      <c r="C216" s="977">
        <v>0.14699999999999999</v>
      </c>
      <c r="D216" s="977">
        <v>0.14699999999999999</v>
      </c>
      <c r="E216" s="977">
        <v>0.15</v>
      </c>
      <c r="F216" s="978">
        <v>0.14000000000000001</v>
      </c>
    </row>
    <row r="217" spans="1:6" ht="14.25" thickBot="1">
      <c r="A217" s="779" t="s">
        <v>528</v>
      </c>
      <c r="B217" s="773" t="s">
        <v>307</v>
      </c>
      <c r="C217" s="977">
        <v>0.15</v>
      </c>
      <c r="D217" s="977">
        <v>0.15</v>
      </c>
      <c r="E217" s="977">
        <v>0.15</v>
      </c>
      <c r="F217" s="978">
        <v>0.15</v>
      </c>
    </row>
    <row r="218" spans="1:6" ht="14.25" thickBot="1">
      <c r="A218" s="779" t="s">
        <v>528</v>
      </c>
      <c r="B218" s="773" t="s">
        <v>917</v>
      </c>
      <c r="C218" s="977">
        <v>0.15</v>
      </c>
      <c r="D218" s="977">
        <v>0.15</v>
      </c>
      <c r="E218" s="977">
        <v>0.15</v>
      </c>
      <c r="F218" s="978">
        <v>0.15</v>
      </c>
    </row>
    <row r="219" spans="1:6" ht="14.25" thickBot="1">
      <c r="A219" s="779" t="s">
        <v>528</v>
      </c>
      <c r="B219" s="773" t="s">
        <v>328</v>
      </c>
      <c r="C219" s="977">
        <v>0.15</v>
      </c>
      <c r="D219" s="977">
        <v>0.15</v>
      </c>
      <c r="E219" s="977">
        <v>0.15</v>
      </c>
      <c r="F219" s="978">
        <v>0.14799999999999999</v>
      </c>
    </row>
    <row r="220" spans="1:6" ht="14.25" thickBot="1">
      <c r="A220" s="779" t="s">
        <v>528</v>
      </c>
      <c r="B220" s="773" t="s">
        <v>918</v>
      </c>
      <c r="C220" s="977">
        <v>0.15</v>
      </c>
      <c r="D220" s="977">
        <v>0.15</v>
      </c>
      <c r="E220" s="977">
        <v>0.15</v>
      </c>
      <c r="F220" s="978">
        <v>0.15</v>
      </c>
    </row>
    <row r="221" spans="1:6" ht="14.25" thickBot="1">
      <c r="A221" s="779" t="s">
        <v>528</v>
      </c>
      <c r="B221" s="773" t="s">
        <v>349</v>
      </c>
      <c r="C221" s="977"/>
      <c r="D221" s="990"/>
      <c r="E221" s="990"/>
      <c r="F221" s="978">
        <v>0.14799999999999999</v>
      </c>
    </row>
    <row r="222" spans="1:6" ht="14.25" thickBot="1">
      <c r="A222" s="779" t="s">
        <v>528</v>
      </c>
      <c r="B222" s="773" t="s">
        <v>359</v>
      </c>
      <c r="C222" s="977"/>
      <c r="D222" s="990"/>
      <c r="E222" s="990"/>
      <c r="F222" s="978">
        <v>0.1</v>
      </c>
    </row>
    <row r="223" spans="1:6" ht="14.25" thickBot="1">
      <c r="A223" s="779" t="s">
        <v>528</v>
      </c>
      <c r="B223" s="773" t="s">
        <v>369</v>
      </c>
      <c r="C223" s="977"/>
      <c r="D223" s="990"/>
      <c r="E223" s="990"/>
      <c r="F223" s="978">
        <v>0.15</v>
      </c>
    </row>
    <row r="224" spans="1:6" ht="14.25" thickBot="1">
      <c r="A224" s="779" t="s">
        <v>528</v>
      </c>
      <c r="B224" s="773" t="s">
        <v>379</v>
      </c>
      <c r="C224" s="977"/>
      <c r="D224" s="990"/>
      <c r="E224" s="990"/>
      <c r="F224" s="978">
        <v>0.15</v>
      </c>
    </row>
    <row r="225" spans="1:6" ht="14.25" thickBot="1">
      <c r="A225" s="779" t="s">
        <v>528</v>
      </c>
      <c r="B225" s="773" t="s">
        <v>919</v>
      </c>
      <c r="C225" s="977">
        <v>0.15</v>
      </c>
      <c r="D225" s="977">
        <v>0.15</v>
      </c>
      <c r="E225" s="977">
        <v>0.15</v>
      </c>
      <c r="F225" s="978">
        <v>0.15</v>
      </c>
    </row>
    <row r="226" spans="1:6" ht="14.25" thickBot="1">
      <c r="A226" s="779" t="s">
        <v>528</v>
      </c>
      <c r="B226" s="773" t="s">
        <v>397</v>
      </c>
      <c r="C226" s="977">
        <v>0.15</v>
      </c>
      <c r="D226" s="977">
        <v>0.15</v>
      </c>
      <c r="E226" s="977">
        <v>0.15</v>
      </c>
      <c r="F226" s="978">
        <v>0.14799999999999999</v>
      </c>
    </row>
    <row r="227" spans="1:6" ht="14.25" thickBot="1">
      <c r="A227" s="779" t="s">
        <v>528</v>
      </c>
      <c r="B227" s="773" t="s">
        <v>920</v>
      </c>
      <c r="C227" s="977">
        <v>0.15</v>
      </c>
      <c r="D227" s="977">
        <v>0.15</v>
      </c>
      <c r="E227" s="977">
        <v>0.15</v>
      </c>
      <c r="F227" s="978">
        <v>0.15</v>
      </c>
    </row>
    <row r="228" spans="1:6" ht="14.25" thickBot="1">
      <c r="A228" s="779" t="s">
        <v>528</v>
      </c>
      <c r="B228" s="773" t="s">
        <v>412</v>
      </c>
      <c r="C228" s="977">
        <v>0.15</v>
      </c>
      <c r="D228" s="977">
        <v>0.15</v>
      </c>
      <c r="E228" s="977">
        <v>0.15</v>
      </c>
      <c r="F228" s="978">
        <v>0.15</v>
      </c>
    </row>
    <row r="229" spans="1:6" ht="14.25" thickBot="1">
      <c r="A229" s="779" t="s">
        <v>528</v>
      </c>
      <c r="B229" s="773" t="s">
        <v>419</v>
      </c>
      <c r="C229" s="977">
        <v>0.15</v>
      </c>
      <c r="D229" s="977">
        <v>0.15</v>
      </c>
      <c r="E229" s="977">
        <v>0.15</v>
      </c>
      <c r="F229" s="989"/>
    </row>
    <row r="230" spans="1:6" ht="14.25" thickBot="1">
      <c r="A230" s="779" t="s">
        <v>528</v>
      </c>
      <c r="B230" s="773" t="s">
        <v>426</v>
      </c>
      <c r="C230" s="977">
        <v>0.14499999999999999</v>
      </c>
      <c r="D230" s="977">
        <v>0.14499999999999999</v>
      </c>
      <c r="E230" s="977">
        <v>0.14399999999999999</v>
      </c>
      <c r="F230" s="989"/>
    </row>
    <row r="231" spans="1:6" ht="14.25" thickBot="1">
      <c r="A231" s="779" t="s">
        <v>528</v>
      </c>
      <c r="B231" s="773" t="s">
        <v>921</v>
      </c>
      <c r="C231" s="977">
        <v>0.128</v>
      </c>
      <c r="D231" s="977">
        <v>0.125</v>
      </c>
      <c r="E231" s="977">
        <v>0.13200000000000001</v>
      </c>
      <c r="F231" s="989"/>
    </row>
    <row r="232" spans="1:6" ht="14.25" thickBot="1">
      <c r="A232" s="779" t="s">
        <v>528</v>
      </c>
      <c r="B232" s="773" t="s">
        <v>922</v>
      </c>
      <c r="C232" s="977">
        <v>0.14499999999999999</v>
      </c>
      <c r="D232" s="977">
        <v>0.14399999999999999</v>
      </c>
      <c r="E232" s="977">
        <v>0.14599999999999999</v>
      </c>
      <c r="F232" s="978">
        <v>0.13800000000000001</v>
      </c>
    </row>
    <row r="233" spans="1:6" ht="14.25" thickBot="1">
      <c r="A233" s="779" t="s">
        <v>528</v>
      </c>
      <c r="B233" s="773" t="s">
        <v>923</v>
      </c>
      <c r="C233" s="977">
        <v>0.14499999999999999</v>
      </c>
      <c r="D233" s="977">
        <v>0.14299999999999999</v>
      </c>
      <c r="E233" s="977">
        <v>0.14199999999999999</v>
      </c>
      <c r="F233" s="989"/>
    </row>
    <row r="234" spans="1:6" ht="14.25" thickBot="1">
      <c r="A234" s="779" t="s">
        <v>528</v>
      </c>
      <c r="B234" s="773" t="s">
        <v>924</v>
      </c>
      <c r="C234" s="977">
        <v>0.14000000000000001</v>
      </c>
      <c r="D234" s="977">
        <v>0.14000000000000001</v>
      </c>
      <c r="E234" s="977">
        <v>0.14399999999999999</v>
      </c>
      <c r="F234" s="989"/>
    </row>
    <row r="235" spans="1:6" ht="14.25" thickBot="1">
      <c r="A235" s="779" t="s">
        <v>528</v>
      </c>
      <c r="B235" s="773" t="s">
        <v>925</v>
      </c>
      <c r="C235" s="977">
        <v>0.14099999999999999</v>
      </c>
      <c r="D235" s="977">
        <v>0.14199999999999999</v>
      </c>
      <c r="E235" s="977">
        <v>0.14499999999999999</v>
      </c>
      <c r="F235" s="978">
        <v>0.15</v>
      </c>
    </row>
    <row r="236" spans="1:6" ht="14.25" thickBot="1">
      <c r="A236" s="779" t="s">
        <v>528</v>
      </c>
      <c r="B236" s="773" t="s">
        <v>461</v>
      </c>
      <c r="C236" s="990"/>
      <c r="D236" s="990"/>
      <c r="E236" s="990"/>
      <c r="F236" s="978">
        <v>0.14299999999999999</v>
      </c>
    </row>
    <row r="237" spans="1:6" ht="24.75" thickBot="1">
      <c r="A237" s="779" t="s">
        <v>528</v>
      </c>
      <c r="B237" s="773" t="s">
        <v>926</v>
      </c>
      <c r="C237" s="990"/>
      <c r="D237" s="990"/>
      <c r="E237" s="990"/>
      <c r="F237" s="978">
        <v>0.05</v>
      </c>
    </row>
    <row r="238" spans="1:6" ht="24.75" thickBot="1">
      <c r="A238" s="779" t="s">
        <v>528</v>
      </c>
      <c r="B238" s="773" t="s">
        <v>927</v>
      </c>
      <c r="C238" s="990"/>
      <c r="D238" s="990"/>
      <c r="E238" s="990"/>
      <c r="F238" s="978">
        <v>0.05</v>
      </c>
    </row>
    <row r="239" spans="1:6" ht="24.75" thickBot="1">
      <c r="A239" s="779" t="s">
        <v>528</v>
      </c>
      <c r="B239" s="773" t="s">
        <v>928</v>
      </c>
      <c r="C239" s="990"/>
      <c r="D239" s="990"/>
      <c r="E239" s="990"/>
      <c r="F239" s="978">
        <v>0.05</v>
      </c>
    </row>
    <row r="240" spans="1:6" ht="24.75" thickBot="1">
      <c r="A240" s="779" t="s">
        <v>528</v>
      </c>
      <c r="B240" s="773" t="s">
        <v>929</v>
      </c>
      <c r="C240" s="990"/>
      <c r="D240" s="990"/>
      <c r="E240" s="990"/>
      <c r="F240" s="978">
        <v>0.05</v>
      </c>
    </row>
    <row r="241" spans="1:6" ht="24.75" thickBot="1">
      <c r="A241" s="779" t="s">
        <v>528</v>
      </c>
      <c r="B241" s="773" t="s">
        <v>930</v>
      </c>
      <c r="C241" s="990"/>
      <c r="D241" s="990"/>
      <c r="E241" s="990"/>
      <c r="F241" s="978">
        <v>0.05</v>
      </c>
    </row>
    <row r="242" spans="1:6" ht="24.75" thickBot="1">
      <c r="A242" s="779" t="s">
        <v>528</v>
      </c>
      <c r="B242" s="773" t="s">
        <v>931</v>
      </c>
      <c r="C242" s="990"/>
      <c r="D242" s="990"/>
      <c r="E242" s="990"/>
      <c r="F242" s="978">
        <v>0.05</v>
      </c>
    </row>
    <row r="243" spans="1:6" ht="24.75" thickBot="1">
      <c r="A243" s="779" t="s">
        <v>528</v>
      </c>
      <c r="B243" s="773" t="s">
        <v>932</v>
      </c>
      <c r="C243" s="990"/>
      <c r="D243" s="990"/>
      <c r="E243" s="990"/>
      <c r="F243" s="978">
        <v>0.05</v>
      </c>
    </row>
    <row r="244" spans="1:6" ht="24.75" thickBot="1">
      <c r="A244" s="789" t="s">
        <v>528</v>
      </c>
      <c r="B244" s="785" t="s">
        <v>933</v>
      </c>
      <c r="C244" s="987"/>
      <c r="D244" s="987"/>
      <c r="E244" s="987"/>
      <c r="F244" s="980">
        <v>0.05</v>
      </c>
    </row>
    <row r="245" spans="1:6" ht="14.25" thickBot="1">
      <c r="A245" s="779" t="s">
        <v>530</v>
      </c>
      <c r="B245" s="780" t="s">
        <v>934</v>
      </c>
      <c r="C245" s="975">
        <v>0.15</v>
      </c>
      <c r="D245" s="975">
        <v>0.15</v>
      </c>
      <c r="E245" s="975">
        <v>0.15</v>
      </c>
      <c r="F245" s="976">
        <v>0.14299999999999999</v>
      </c>
    </row>
    <row r="246" spans="1:6" ht="14.25" thickBot="1">
      <c r="A246" s="779" t="s">
        <v>530</v>
      </c>
      <c r="B246" s="773" t="s">
        <v>195</v>
      </c>
      <c r="C246" s="977">
        <v>0.15</v>
      </c>
      <c r="D246" s="977">
        <v>0.15</v>
      </c>
      <c r="E246" s="977">
        <v>0.15</v>
      </c>
      <c r="F246" s="978">
        <v>0.114</v>
      </c>
    </row>
    <row r="247" spans="1:6" ht="14.25" thickBot="1">
      <c r="A247" s="779" t="s">
        <v>530</v>
      </c>
      <c r="B247" s="773" t="s">
        <v>935</v>
      </c>
      <c r="C247" s="977">
        <v>0.15</v>
      </c>
      <c r="D247" s="977">
        <v>0.15</v>
      </c>
      <c r="E247" s="977">
        <v>0.15</v>
      </c>
      <c r="F247" s="978">
        <v>0.15</v>
      </c>
    </row>
    <row r="248" spans="1:6" ht="14.25" thickBot="1">
      <c r="A248" s="779" t="s">
        <v>530</v>
      </c>
      <c r="B248" s="773" t="s">
        <v>936</v>
      </c>
      <c r="C248" s="977">
        <v>0.15</v>
      </c>
      <c r="D248" s="977">
        <v>0.15</v>
      </c>
      <c r="E248" s="977">
        <v>0.15</v>
      </c>
      <c r="F248" s="978">
        <v>0.14000000000000001</v>
      </c>
    </row>
    <row r="249" spans="1:6" ht="14.25" thickBot="1">
      <c r="A249" s="779" t="s">
        <v>530</v>
      </c>
      <c r="B249" s="773" t="s">
        <v>937</v>
      </c>
      <c r="C249" s="977">
        <v>0.15</v>
      </c>
      <c r="D249" s="977">
        <v>0.14899999999999999</v>
      </c>
      <c r="E249" s="977">
        <v>0.15</v>
      </c>
      <c r="F249" s="978">
        <v>0.1</v>
      </c>
    </row>
    <row r="250" spans="1:6" ht="14.25" thickBot="1">
      <c r="A250" s="779" t="s">
        <v>530</v>
      </c>
      <c r="B250" s="773" t="s">
        <v>938</v>
      </c>
      <c r="C250" s="977">
        <v>0.15</v>
      </c>
      <c r="D250" s="977">
        <v>0.15</v>
      </c>
      <c r="E250" s="977">
        <v>0.15</v>
      </c>
      <c r="F250" s="978">
        <v>0.14399999999999999</v>
      </c>
    </row>
    <row r="251" spans="1:6" ht="14.25" thickBot="1">
      <c r="A251" s="779" t="s">
        <v>530</v>
      </c>
      <c r="B251" s="773" t="s">
        <v>255</v>
      </c>
      <c r="C251" s="977">
        <v>0.15</v>
      </c>
      <c r="D251" s="977">
        <v>0.15</v>
      </c>
      <c r="E251" s="977">
        <v>0.15</v>
      </c>
      <c r="F251" s="978">
        <v>0.14299999999999999</v>
      </c>
    </row>
    <row r="252" spans="1:6" ht="14.25" thickBot="1">
      <c r="A252" s="779" t="s">
        <v>530</v>
      </c>
      <c r="B252" s="773" t="s">
        <v>266</v>
      </c>
      <c r="C252" s="977">
        <v>0.15</v>
      </c>
      <c r="D252" s="977">
        <v>0.15</v>
      </c>
      <c r="E252" s="977">
        <v>0.15</v>
      </c>
      <c r="F252" s="978">
        <v>0.1</v>
      </c>
    </row>
    <row r="253" spans="1:6" ht="14.25" thickBot="1">
      <c r="A253" s="779" t="s">
        <v>530</v>
      </c>
      <c r="B253" s="773" t="s">
        <v>278</v>
      </c>
      <c r="C253" s="977">
        <v>0.15</v>
      </c>
      <c r="D253" s="977">
        <v>0.15</v>
      </c>
      <c r="E253" s="977">
        <v>0.15</v>
      </c>
      <c r="F253" s="978">
        <v>0.1</v>
      </c>
    </row>
    <row r="254" spans="1:6" ht="14.25" thickBot="1">
      <c r="A254" s="779" t="s">
        <v>530</v>
      </c>
      <c r="B254" s="773" t="s">
        <v>288</v>
      </c>
      <c r="C254" s="990"/>
      <c r="D254" s="990"/>
      <c r="E254" s="990"/>
      <c r="F254" s="978">
        <v>0.15</v>
      </c>
    </row>
    <row r="255" spans="1:6" ht="14.25" thickBot="1">
      <c r="A255" s="779" t="s">
        <v>530</v>
      </c>
      <c r="B255" s="773" t="s">
        <v>298</v>
      </c>
      <c r="C255" s="990"/>
      <c r="D255" s="990"/>
      <c r="E255" s="990"/>
      <c r="F255" s="978">
        <v>0.14299999999999999</v>
      </c>
    </row>
    <row r="256" spans="1:6" ht="14.25" thickBot="1">
      <c r="A256" s="779" t="s">
        <v>530</v>
      </c>
      <c r="B256" s="773" t="s">
        <v>939</v>
      </c>
      <c r="C256" s="977">
        <v>0.14599999999999999</v>
      </c>
      <c r="D256" s="977">
        <v>0.14699999999999999</v>
      </c>
      <c r="E256" s="977">
        <v>0.15</v>
      </c>
      <c r="F256" s="978">
        <v>0.13200000000000001</v>
      </c>
    </row>
    <row r="257" spans="1:6" ht="14.25" thickBot="1">
      <c r="A257" s="779" t="s">
        <v>530</v>
      </c>
      <c r="B257" s="773" t="s">
        <v>318</v>
      </c>
      <c r="C257" s="977">
        <v>0.15</v>
      </c>
      <c r="D257" s="977">
        <v>0.15</v>
      </c>
      <c r="E257" s="977">
        <v>0.15</v>
      </c>
      <c r="F257" s="978">
        <v>0.13900000000000001</v>
      </c>
    </row>
    <row r="258" spans="1:6" ht="14.25" thickBot="1">
      <c r="A258" s="779" t="s">
        <v>530</v>
      </c>
      <c r="B258" s="773" t="s">
        <v>329</v>
      </c>
      <c r="C258" s="977">
        <v>0.15</v>
      </c>
      <c r="D258" s="977">
        <v>0.15</v>
      </c>
      <c r="E258" s="977">
        <v>0.15</v>
      </c>
      <c r="F258" s="978">
        <v>0.13</v>
      </c>
    </row>
    <row r="259" spans="1:6" ht="14.25" thickBot="1">
      <c r="A259" s="779" t="s">
        <v>530</v>
      </c>
      <c r="B259" s="773" t="s">
        <v>940</v>
      </c>
      <c r="C259" s="977">
        <v>0.14799999999999999</v>
      </c>
      <c r="D259" s="977">
        <v>0.14899999999999999</v>
      </c>
      <c r="E259" s="977">
        <v>0.15</v>
      </c>
      <c r="F259" s="978">
        <v>0.13700000000000001</v>
      </c>
    </row>
    <row r="260" spans="1:6" ht="14.25" thickBot="1">
      <c r="A260" s="779" t="s">
        <v>530</v>
      </c>
      <c r="B260" s="773" t="s">
        <v>350</v>
      </c>
      <c r="C260" s="977">
        <v>0.15</v>
      </c>
      <c r="D260" s="977">
        <v>0.15</v>
      </c>
      <c r="E260" s="977">
        <v>0.15</v>
      </c>
      <c r="F260" s="978">
        <v>0.14199999999999999</v>
      </c>
    </row>
    <row r="261" spans="1:6" ht="14.25" thickBot="1">
      <c r="A261" s="779" t="s">
        <v>530</v>
      </c>
      <c r="B261" s="773" t="s">
        <v>360</v>
      </c>
      <c r="C261" s="977">
        <v>0.15</v>
      </c>
      <c r="D261" s="977">
        <v>0.15</v>
      </c>
      <c r="E261" s="977">
        <v>0.14899999999999999</v>
      </c>
      <c r="F261" s="978">
        <v>0.14799999999999999</v>
      </c>
    </row>
    <row r="262" spans="1:6" ht="14.25" thickBot="1">
      <c r="A262" s="779" t="s">
        <v>530</v>
      </c>
      <c r="B262" s="773" t="s">
        <v>370</v>
      </c>
      <c r="C262" s="977">
        <v>0.15</v>
      </c>
      <c r="D262" s="977">
        <v>0.15</v>
      </c>
      <c r="E262" s="977">
        <v>0.15</v>
      </c>
      <c r="F262" s="989"/>
    </row>
    <row r="263" spans="1:6" ht="14.25" thickBot="1">
      <c r="A263" s="779" t="s">
        <v>530</v>
      </c>
      <c r="B263" s="773" t="s">
        <v>941</v>
      </c>
      <c r="C263" s="977">
        <v>0.14899999999999999</v>
      </c>
      <c r="D263" s="977">
        <v>0.14899999999999999</v>
      </c>
      <c r="E263" s="977">
        <v>0.15</v>
      </c>
      <c r="F263" s="978">
        <v>0.13</v>
      </c>
    </row>
    <row r="264" spans="1:6" ht="14.25" thickBot="1">
      <c r="A264" s="779" t="s">
        <v>530</v>
      </c>
      <c r="B264" s="773" t="s">
        <v>389</v>
      </c>
      <c r="C264" s="977">
        <v>0.14799999999999999</v>
      </c>
      <c r="D264" s="977">
        <v>0.14699999999999999</v>
      </c>
      <c r="E264" s="977">
        <v>0.15</v>
      </c>
      <c r="F264" s="978">
        <v>7.8E-2</v>
      </c>
    </row>
    <row r="265" spans="1:6" ht="14.25" thickBot="1">
      <c r="A265" s="779" t="s">
        <v>530</v>
      </c>
      <c r="B265" s="773" t="s">
        <v>398</v>
      </c>
      <c r="C265" s="977">
        <v>0.15</v>
      </c>
      <c r="D265" s="977">
        <v>0.15</v>
      </c>
      <c r="E265" s="977">
        <v>0.15</v>
      </c>
      <c r="F265" s="978">
        <v>7.3999999999999996E-2</v>
      </c>
    </row>
    <row r="266" spans="1:6" ht="14.25" thickBot="1">
      <c r="A266" s="779" t="s">
        <v>530</v>
      </c>
      <c r="B266" s="773" t="s">
        <v>406</v>
      </c>
      <c r="C266" s="977">
        <v>0.14699999999999999</v>
      </c>
      <c r="D266" s="977">
        <v>0.14699999999999999</v>
      </c>
      <c r="E266" s="977">
        <v>0.15</v>
      </c>
      <c r="F266" s="978">
        <v>0.14299999999999999</v>
      </c>
    </row>
    <row r="267" spans="1:6" ht="14.25" thickBot="1">
      <c r="A267" s="779" t="s">
        <v>530</v>
      </c>
      <c r="B267" s="773" t="s">
        <v>413</v>
      </c>
      <c r="C267" s="977">
        <v>0.14199999999999999</v>
      </c>
      <c r="D267" s="977">
        <v>0.14299999999999999</v>
      </c>
      <c r="E267" s="977">
        <v>0.15</v>
      </c>
      <c r="F267" s="989"/>
    </row>
    <row r="268" spans="1:6" ht="14.25" thickBot="1">
      <c r="A268" s="779" t="s">
        <v>530</v>
      </c>
      <c r="B268" s="773" t="s">
        <v>942</v>
      </c>
      <c r="C268" s="977">
        <v>0.15</v>
      </c>
      <c r="D268" s="977">
        <v>0.15</v>
      </c>
      <c r="E268" s="977">
        <v>0.15</v>
      </c>
      <c r="F268" s="978">
        <v>0.13</v>
      </c>
    </row>
    <row r="269" spans="1:6" ht="14.25" thickBot="1">
      <c r="A269" s="779" t="s">
        <v>530</v>
      </c>
      <c r="B269" s="773" t="s">
        <v>427</v>
      </c>
      <c r="C269" s="977">
        <v>0.15</v>
      </c>
      <c r="D269" s="977">
        <v>0.15</v>
      </c>
      <c r="E269" s="977">
        <v>0.15</v>
      </c>
      <c r="F269" s="978">
        <v>0.14299999999999999</v>
      </c>
    </row>
    <row r="270" spans="1:6" ht="14.25" thickBot="1">
      <c r="A270" s="779" t="s">
        <v>530</v>
      </c>
      <c r="B270" s="773" t="s">
        <v>434</v>
      </c>
      <c r="C270" s="977">
        <v>0.14499999999999999</v>
      </c>
      <c r="D270" s="977">
        <v>0.14499999999999999</v>
      </c>
      <c r="E270" s="977">
        <v>0.15</v>
      </c>
      <c r="F270" s="978">
        <v>0.14699999999999999</v>
      </c>
    </row>
    <row r="271" spans="1:6" ht="14.25" thickBot="1">
      <c r="A271" s="779" t="s">
        <v>530</v>
      </c>
      <c r="B271" s="773" t="s">
        <v>441</v>
      </c>
      <c r="C271" s="977">
        <v>0.15</v>
      </c>
      <c r="D271" s="977">
        <v>0.15</v>
      </c>
      <c r="E271" s="977">
        <v>0.15</v>
      </c>
      <c r="F271" s="978">
        <v>0.13800000000000001</v>
      </c>
    </row>
    <row r="272" spans="1:6" ht="14.25" thickBot="1">
      <c r="A272" s="779" t="s">
        <v>530</v>
      </c>
      <c r="B272" s="773" t="s">
        <v>448</v>
      </c>
      <c r="C272" s="990"/>
      <c r="D272" s="990"/>
      <c r="E272" s="990"/>
      <c r="F272" s="978">
        <v>0.14000000000000001</v>
      </c>
    </row>
    <row r="273" spans="1:6" ht="14.25" thickBot="1">
      <c r="A273" s="779" t="s">
        <v>530</v>
      </c>
      <c r="B273" s="773" t="s">
        <v>943</v>
      </c>
      <c r="C273" s="977">
        <v>0.14199999999999999</v>
      </c>
      <c r="D273" s="977">
        <v>0.14299999999999999</v>
      </c>
      <c r="E273" s="977">
        <v>0.15</v>
      </c>
      <c r="F273" s="978">
        <v>0.1</v>
      </c>
    </row>
    <row r="274" spans="1:6" ht="14.25" thickBot="1">
      <c r="A274" s="779" t="s">
        <v>530</v>
      </c>
      <c r="B274" s="773" t="s">
        <v>944</v>
      </c>
      <c r="C274" s="977">
        <v>0.14799999999999999</v>
      </c>
      <c r="D274" s="977">
        <v>0.14799999999999999</v>
      </c>
      <c r="E274" s="977">
        <v>0.15</v>
      </c>
      <c r="F274" s="978">
        <v>6.7000000000000004E-2</v>
      </c>
    </row>
    <row r="275" spans="1:6" ht="14.25" thickBot="1">
      <c r="A275" s="779" t="s">
        <v>530</v>
      </c>
      <c r="B275" s="773" t="s">
        <v>945</v>
      </c>
      <c r="C275" s="977">
        <v>0.15</v>
      </c>
      <c r="D275" s="977">
        <v>0.15</v>
      </c>
      <c r="E275" s="977">
        <v>0.15</v>
      </c>
      <c r="F275" s="978">
        <v>0.15</v>
      </c>
    </row>
    <row r="276" spans="1:6" ht="14.25" thickBot="1">
      <c r="A276" s="779" t="s">
        <v>530</v>
      </c>
      <c r="B276" s="773" t="s">
        <v>946</v>
      </c>
      <c r="C276" s="977">
        <v>0.14499999999999999</v>
      </c>
      <c r="D276" s="977">
        <v>0.14299999999999999</v>
      </c>
      <c r="E276" s="977">
        <v>0.15</v>
      </c>
      <c r="F276" s="978">
        <v>5.8999999999999997E-2</v>
      </c>
    </row>
    <row r="277" spans="1:6" ht="14.25" thickBot="1">
      <c r="A277" s="779" t="s">
        <v>530</v>
      </c>
      <c r="B277" s="773" t="s">
        <v>947</v>
      </c>
      <c r="C277" s="977">
        <v>0.15</v>
      </c>
      <c r="D277" s="977">
        <v>0.15</v>
      </c>
      <c r="E277" s="977">
        <v>0.15</v>
      </c>
      <c r="F277" s="978">
        <v>0.121</v>
      </c>
    </row>
    <row r="278" spans="1:6" ht="14.25" thickBot="1">
      <c r="A278" s="779" t="s">
        <v>530</v>
      </c>
      <c r="B278" s="773" t="s">
        <v>948</v>
      </c>
      <c r="C278" s="977">
        <v>0.15</v>
      </c>
      <c r="D278" s="977">
        <v>0.15</v>
      </c>
      <c r="E278" s="977">
        <v>0.15</v>
      </c>
      <c r="F278" s="978">
        <v>0.13800000000000001</v>
      </c>
    </row>
    <row r="279" spans="1:6" ht="24.75" thickBot="1">
      <c r="A279" s="779" t="s">
        <v>530</v>
      </c>
      <c r="B279" s="773" t="s">
        <v>949</v>
      </c>
      <c r="C279" s="990"/>
      <c r="D279" s="990"/>
      <c r="E279" s="990"/>
      <c r="F279" s="978">
        <v>0.05</v>
      </c>
    </row>
    <row r="280" spans="1:6" ht="24.75" thickBot="1">
      <c r="A280" s="779" t="s">
        <v>530</v>
      </c>
      <c r="B280" s="773" t="s">
        <v>950</v>
      </c>
      <c r="C280" s="990"/>
      <c r="D280" s="990"/>
      <c r="E280" s="990"/>
      <c r="F280" s="978">
        <v>0.05</v>
      </c>
    </row>
    <row r="281" spans="1:6" ht="24.75" thickBot="1">
      <c r="A281" s="779" t="s">
        <v>530</v>
      </c>
      <c r="B281" s="773" t="s">
        <v>951</v>
      </c>
      <c r="C281" s="990"/>
      <c r="D281" s="990"/>
      <c r="E281" s="990"/>
      <c r="F281" s="978">
        <v>0.05</v>
      </c>
    </row>
    <row r="282" spans="1:6" ht="24.75" thickBot="1">
      <c r="A282" s="779" t="s">
        <v>530</v>
      </c>
      <c r="B282" s="773" t="s">
        <v>952</v>
      </c>
      <c r="C282" s="990"/>
      <c r="D282" s="990"/>
      <c r="E282" s="990"/>
      <c r="F282" s="978">
        <v>0.05</v>
      </c>
    </row>
    <row r="283" spans="1:6" ht="24.75" thickBot="1">
      <c r="A283" s="779" t="s">
        <v>530</v>
      </c>
      <c r="B283" s="773" t="s">
        <v>953</v>
      </c>
      <c r="C283" s="990"/>
      <c r="D283" s="990"/>
      <c r="E283" s="990"/>
      <c r="F283" s="978">
        <v>0.05</v>
      </c>
    </row>
    <row r="284" spans="1:6" ht="24.75" thickBot="1">
      <c r="A284" s="779" t="s">
        <v>530</v>
      </c>
      <c r="B284" s="773" t="s">
        <v>954</v>
      </c>
      <c r="C284" s="990"/>
      <c r="D284" s="990"/>
      <c r="E284" s="990"/>
      <c r="F284" s="978">
        <v>0.05</v>
      </c>
    </row>
    <row r="285" spans="1:6" ht="24.75" thickBot="1">
      <c r="A285" s="779" t="s">
        <v>530</v>
      </c>
      <c r="B285" s="773" t="s">
        <v>955</v>
      </c>
      <c r="C285" s="990"/>
      <c r="D285" s="990"/>
      <c r="E285" s="990"/>
      <c r="F285" s="978">
        <v>0.05</v>
      </c>
    </row>
    <row r="286" spans="1:6" ht="24.75" thickBot="1">
      <c r="A286" s="779" t="s">
        <v>530</v>
      </c>
      <c r="B286" s="773" t="s">
        <v>956</v>
      </c>
      <c r="C286" s="990"/>
      <c r="D286" s="990"/>
      <c r="E286" s="990"/>
      <c r="F286" s="978">
        <v>0.05</v>
      </c>
    </row>
    <row r="287" spans="1:6" ht="24.75" thickBot="1">
      <c r="A287" s="779" t="s">
        <v>530</v>
      </c>
      <c r="B287" s="773" t="s">
        <v>957</v>
      </c>
      <c r="C287" s="990"/>
      <c r="D287" s="990"/>
      <c r="E287" s="990"/>
      <c r="F287" s="978">
        <v>0.05</v>
      </c>
    </row>
    <row r="288" spans="1:6" ht="24.75" thickBot="1">
      <c r="A288" s="779" t="s">
        <v>530</v>
      </c>
      <c r="B288" s="773" t="s">
        <v>958</v>
      </c>
      <c r="C288" s="990"/>
      <c r="D288" s="990"/>
      <c r="E288" s="990"/>
      <c r="F288" s="978">
        <v>0.05</v>
      </c>
    </row>
    <row r="289" spans="1:6" ht="24.75" thickBot="1">
      <c r="A289" s="789" t="s">
        <v>530</v>
      </c>
      <c r="B289" s="785" t="s">
        <v>959</v>
      </c>
      <c r="C289" s="987"/>
      <c r="D289" s="987"/>
      <c r="E289" s="987"/>
      <c r="F289" s="980">
        <v>0.05</v>
      </c>
    </row>
    <row r="290" spans="1:6" ht="14.25" thickBot="1">
      <c r="A290" s="779" t="s">
        <v>534</v>
      </c>
      <c r="B290" s="780" t="s">
        <v>960</v>
      </c>
      <c r="C290" s="975">
        <v>0.15</v>
      </c>
      <c r="D290" s="975">
        <v>0.15</v>
      </c>
      <c r="E290" s="975">
        <v>0.15</v>
      </c>
      <c r="F290" s="992"/>
    </row>
    <row r="291" spans="1:6" ht="14.25" thickBot="1">
      <c r="A291" s="779" t="s">
        <v>534</v>
      </c>
      <c r="B291" s="773" t="s">
        <v>196</v>
      </c>
      <c r="C291" s="977">
        <v>0.15</v>
      </c>
      <c r="D291" s="977">
        <v>0.15</v>
      </c>
      <c r="E291" s="977">
        <v>0.15</v>
      </c>
      <c r="F291" s="989"/>
    </row>
    <row r="292" spans="1:6" ht="14.25" thickBot="1">
      <c r="A292" s="779" t="s">
        <v>534</v>
      </c>
      <c r="B292" s="773" t="s">
        <v>961</v>
      </c>
      <c r="C292" s="977">
        <v>0.15</v>
      </c>
      <c r="D292" s="977">
        <v>0.15</v>
      </c>
      <c r="E292" s="977">
        <v>0.15</v>
      </c>
      <c r="F292" s="978">
        <v>0.14699999999999999</v>
      </c>
    </row>
    <row r="293" spans="1:6" ht="14.25" thickBot="1">
      <c r="A293" s="779" t="s">
        <v>534</v>
      </c>
      <c r="B293" s="773" t="s">
        <v>962</v>
      </c>
      <c r="C293" s="990"/>
      <c r="D293" s="990"/>
      <c r="E293" s="990"/>
      <c r="F293" s="978">
        <v>0.1</v>
      </c>
    </row>
    <row r="294" spans="1:6" ht="14.25" thickBot="1">
      <c r="A294" s="779" t="s">
        <v>534</v>
      </c>
      <c r="B294" s="773" t="s">
        <v>963</v>
      </c>
      <c r="C294" s="977">
        <v>0.15</v>
      </c>
      <c r="D294" s="977">
        <v>0.15</v>
      </c>
      <c r="E294" s="977">
        <v>0.15</v>
      </c>
      <c r="F294" s="978">
        <v>0.15</v>
      </c>
    </row>
    <row r="295" spans="1:6" ht="14.25" thickBot="1">
      <c r="A295" s="779" t="s">
        <v>534</v>
      </c>
      <c r="B295" s="773" t="s">
        <v>234</v>
      </c>
      <c r="C295" s="977">
        <v>0.15</v>
      </c>
      <c r="D295" s="977">
        <v>0.15</v>
      </c>
      <c r="E295" s="977">
        <v>0.15</v>
      </c>
      <c r="F295" s="978">
        <v>0.15</v>
      </c>
    </row>
    <row r="296" spans="1:6" ht="14.25" thickBot="1">
      <c r="A296" s="779" t="s">
        <v>534</v>
      </c>
      <c r="B296" s="773" t="s">
        <v>964</v>
      </c>
      <c r="C296" s="977">
        <v>0.15</v>
      </c>
      <c r="D296" s="977">
        <v>0.15</v>
      </c>
      <c r="E296" s="977">
        <v>0.15</v>
      </c>
      <c r="F296" s="978">
        <v>0.15</v>
      </c>
    </row>
    <row r="297" spans="1:6" ht="14.25" thickBot="1">
      <c r="A297" s="779" t="s">
        <v>534</v>
      </c>
      <c r="B297" s="773" t="s">
        <v>965</v>
      </c>
      <c r="C297" s="977">
        <v>0.14799999999999999</v>
      </c>
      <c r="D297" s="977">
        <v>0.14899999999999999</v>
      </c>
      <c r="E297" s="977">
        <v>0.15</v>
      </c>
      <c r="F297" s="978">
        <v>0.13700000000000001</v>
      </c>
    </row>
    <row r="298" spans="1:6" ht="14.25" thickBot="1">
      <c r="A298" s="779" t="s">
        <v>534</v>
      </c>
      <c r="B298" s="773" t="s">
        <v>267</v>
      </c>
      <c r="C298" s="977">
        <v>0.13400000000000001</v>
      </c>
      <c r="D298" s="977">
        <v>0.13400000000000001</v>
      </c>
      <c r="E298" s="977">
        <v>0.14499999999999999</v>
      </c>
      <c r="F298" s="978">
        <v>0.14799999999999999</v>
      </c>
    </row>
    <row r="299" spans="1:6" ht="14.25" thickBot="1">
      <c r="A299" s="779" t="s">
        <v>534</v>
      </c>
      <c r="B299" s="773" t="s">
        <v>279</v>
      </c>
      <c r="C299" s="977">
        <v>0.15</v>
      </c>
      <c r="D299" s="977">
        <v>0.15</v>
      </c>
      <c r="E299" s="977">
        <v>0.15</v>
      </c>
      <c r="F299" s="989"/>
    </row>
    <row r="300" spans="1:6" ht="14.25" thickBot="1">
      <c r="A300" s="779" t="s">
        <v>534</v>
      </c>
      <c r="B300" s="773" t="s">
        <v>966</v>
      </c>
      <c r="C300" s="977">
        <v>0.15</v>
      </c>
      <c r="D300" s="977">
        <v>0.15</v>
      </c>
      <c r="E300" s="977">
        <v>0.15</v>
      </c>
      <c r="F300" s="978">
        <v>0.15</v>
      </c>
    </row>
    <row r="301" spans="1:6" ht="14.25" thickBot="1">
      <c r="A301" s="779" t="s">
        <v>534</v>
      </c>
      <c r="B301" s="773" t="s">
        <v>299</v>
      </c>
      <c r="C301" s="977">
        <v>0.15</v>
      </c>
      <c r="D301" s="977">
        <v>0.15</v>
      </c>
      <c r="E301" s="977">
        <v>0.15</v>
      </c>
      <c r="F301" s="989"/>
    </row>
    <row r="302" spans="1:6" ht="14.25" thickBot="1">
      <c r="A302" s="779" t="s">
        <v>534</v>
      </c>
      <c r="B302" s="773" t="s">
        <v>967</v>
      </c>
      <c r="C302" s="977">
        <v>0.15</v>
      </c>
      <c r="D302" s="977">
        <v>0.15</v>
      </c>
      <c r="E302" s="977">
        <v>0.15</v>
      </c>
      <c r="F302" s="978">
        <v>0.15</v>
      </c>
    </row>
    <row r="303" spans="1:6" ht="14.25" thickBot="1">
      <c r="A303" s="779" t="s">
        <v>534</v>
      </c>
      <c r="B303" s="773" t="s">
        <v>319</v>
      </c>
      <c r="C303" s="977">
        <v>0.15</v>
      </c>
      <c r="D303" s="977">
        <v>0.15</v>
      </c>
      <c r="E303" s="977">
        <v>0.15</v>
      </c>
      <c r="F303" s="978">
        <v>0.15</v>
      </c>
    </row>
    <row r="304" spans="1:6" ht="14.25" thickBot="1">
      <c r="A304" s="779" t="s">
        <v>534</v>
      </c>
      <c r="B304" s="773" t="s">
        <v>330</v>
      </c>
      <c r="C304" s="977">
        <v>0.15</v>
      </c>
      <c r="D304" s="977">
        <v>0.15</v>
      </c>
      <c r="E304" s="977">
        <v>0.15</v>
      </c>
      <c r="F304" s="989"/>
    </row>
    <row r="305" spans="1:6" ht="14.25" thickBot="1">
      <c r="A305" s="779" t="s">
        <v>534</v>
      </c>
      <c r="B305" s="773" t="s">
        <v>968</v>
      </c>
      <c r="C305" s="977">
        <v>0.15</v>
      </c>
      <c r="D305" s="977">
        <v>0.15</v>
      </c>
      <c r="E305" s="977">
        <v>0.15</v>
      </c>
      <c r="F305" s="978">
        <v>0.14000000000000001</v>
      </c>
    </row>
    <row r="306" spans="1:6" ht="14.25" thickBot="1">
      <c r="A306" s="779" t="s">
        <v>534</v>
      </c>
      <c r="B306" s="773" t="s">
        <v>351</v>
      </c>
      <c r="C306" s="977">
        <v>0.15</v>
      </c>
      <c r="D306" s="977">
        <v>0.15</v>
      </c>
      <c r="E306" s="977">
        <v>0.15</v>
      </c>
      <c r="F306" s="989"/>
    </row>
    <row r="307" spans="1:6" ht="14.25" thickBot="1">
      <c r="A307" s="779" t="s">
        <v>534</v>
      </c>
      <c r="B307" s="773" t="s">
        <v>969</v>
      </c>
      <c r="C307" s="977">
        <v>0.15</v>
      </c>
      <c r="D307" s="977">
        <v>0.15</v>
      </c>
      <c r="E307" s="977">
        <v>0.15</v>
      </c>
      <c r="F307" s="978">
        <v>0.14299999999999999</v>
      </c>
    </row>
    <row r="308" spans="1:6" ht="14.25" thickBot="1">
      <c r="A308" s="779" t="s">
        <v>534</v>
      </c>
      <c r="B308" s="773" t="s">
        <v>371</v>
      </c>
      <c r="C308" s="977">
        <v>0.15</v>
      </c>
      <c r="D308" s="977">
        <v>0.15</v>
      </c>
      <c r="E308" s="977">
        <v>0.15</v>
      </c>
      <c r="F308" s="978">
        <v>0.15</v>
      </c>
    </row>
    <row r="309" spans="1:6" ht="14.25" thickBot="1">
      <c r="A309" s="779" t="s">
        <v>534</v>
      </c>
      <c r="B309" s="773" t="s">
        <v>381</v>
      </c>
      <c r="C309" s="977">
        <v>0.15</v>
      </c>
      <c r="D309" s="977">
        <v>0.15</v>
      </c>
      <c r="E309" s="977">
        <v>0.15</v>
      </c>
      <c r="F309" s="989"/>
    </row>
    <row r="310" spans="1:6" ht="14.25" thickBot="1">
      <c r="A310" s="779" t="s">
        <v>534</v>
      </c>
      <c r="B310" s="773" t="s">
        <v>970</v>
      </c>
      <c r="C310" s="977">
        <v>0.15</v>
      </c>
      <c r="D310" s="977">
        <v>0.15</v>
      </c>
      <c r="E310" s="977">
        <v>0.15</v>
      </c>
      <c r="F310" s="978">
        <v>0.13700000000000001</v>
      </c>
    </row>
    <row r="311" spans="1:6" ht="14.25" thickBot="1">
      <c r="A311" s="779" t="s">
        <v>534</v>
      </c>
      <c r="B311" s="773" t="s">
        <v>971</v>
      </c>
      <c r="C311" s="977">
        <v>0.15</v>
      </c>
      <c r="D311" s="977">
        <v>0.15</v>
      </c>
      <c r="E311" s="977">
        <v>0.15</v>
      </c>
      <c r="F311" s="978">
        <v>0.15</v>
      </c>
    </row>
    <row r="312" spans="1:6" ht="14.25" thickBot="1">
      <c r="A312" s="779" t="s">
        <v>534</v>
      </c>
      <c r="B312" s="773" t="s">
        <v>407</v>
      </c>
      <c r="C312" s="977">
        <v>0.15</v>
      </c>
      <c r="D312" s="977">
        <v>0.15</v>
      </c>
      <c r="E312" s="977">
        <v>0.15</v>
      </c>
      <c r="F312" s="978">
        <v>0.1</v>
      </c>
    </row>
    <row r="313" spans="1:6" ht="14.25" thickBot="1">
      <c r="A313" s="779" t="s">
        <v>534</v>
      </c>
      <c r="B313" s="773" t="s">
        <v>972</v>
      </c>
      <c r="C313" s="977">
        <v>0.15</v>
      </c>
      <c r="D313" s="977">
        <v>0.15</v>
      </c>
      <c r="E313" s="977">
        <v>0.15</v>
      </c>
      <c r="F313" s="978">
        <v>0.15</v>
      </c>
    </row>
    <row r="314" spans="1:6" ht="24.75" thickBot="1">
      <c r="A314" s="779" t="s">
        <v>534</v>
      </c>
      <c r="B314" s="773" t="s">
        <v>973</v>
      </c>
      <c r="C314" s="990"/>
      <c r="D314" s="990"/>
      <c r="E314" s="990"/>
      <c r="F314" s="978">
        <v>0.05</v>
      </c>
    </row>
    <row r="315" spans="1:6" ht="24.75" thickBot="1">
      <c r="A315" s="779" t="s">
        <v>534</v>
      </c>
      <c r="B315" s="773" t="s">
        <v>974</v>
      </c>
      <c r="C315" s="990"/>
      <c r="D315" s="990"/>
      <c r="E315" s="990"/>
      <c r="F315" s="978">
        <v>0.05</v>
      </c>
    </row>
    <row r="316" spans="1:6" ht="24.75" thickBot="1">
      <c r="A316" s="789" t="s">
        <v>534</v>
      </c>
      <c r="B316" s="785" t="s">
        <v>975</v>
      </c>
      <c r="C316" s="987"/>
      <c r="D316" s="987"/>
      <c r="E316" s="987"/>
      <c r="F316" s="980">
        <v>0.05</v>
      </c>
    </row>
    <row r="317" spans="1:6" ht="14.25" thickBot="1">
      <c r="A317" s="779" t="s">
        <v>976</v>
      </c>
      <c r="B317" s="780" t="s">
        <v>977</v>
      </c>
      <c r="C317" s="975">
        <v>0.15</v>
      </c>
      <c r="D317" s="975">
        <v>0.15</v>
      </c>
      <c r="E317" s="975">
        <v>0.15</v>
      </c>
      <c r="F317" s="976">
        <v>0.15</v>
      </c>
    </row>
    <row r="318" spans="1:6" ht="14.25" thickBot="1">
      <c r="A318" s="779" t="s">
        <v>976</v>
      </c>
      <c r="B318" s="773" t="s">
        <v>978</v>
      </c>
      <c r="C318" s="977">
        <v>0.107</v>
      </c>
      <c r="D318" s="977">
        <v>0.11</v>
      </c>
      <c r="E318" s="977">
        <v>0.112</v>
      </c>
      <c r="F318" s="989"/>
    </row>
    <row r="319" spans="1:6" ht="14.25" thickBot="1">
      <c r="A319" s="779" t="s">
        <v>976</v>
      </c>
      <c r="B319" s="773" t="s">
        <v>979</v>
      </c>
      <c r="C319" s="977">
        <v>0.15</v>
      </c>
      <c r="D319" s="977">
        <v>0.15</v>
      </c>
      <c r="E319" s="977">
        <v>0.15</v>
      </c>
      <c r="F319" s="978">
        <v>0.15</v>
      </c>
    </row>
    <row r="320" spans="1:6" ht="14.25" thickBot="1">
      <c r="A320" s="779" t="s">
        <v>976</v>
      </c>
      <c r="B320" s="773" t="s">
        <v>223</v>
      </c>
      <c r="C320" s="977">
        <v>0.15</v>
      </c>
      <c r="D320" s="977">
        <v>0.15</v>
      </c>
      <c r="E320" s="977">
        <v>0.15</v>
      </c>
      <c r="F320" s="989"/>
    </row>
    <row r="321" spans="1:6" ht="14.25" thickBot="1">
      <c r="A321" s="779" t="s">
        <v>976</v>
      </c>
      <c r="B321" s="773" t="s">
        <v>980</v>
      </c>
      <c r="C321" s="977">
        <v>0.15</v>
      </c>
      <c r="D321" s="977">
        <v>0.15</v>
      </c>
      <c r="E321" s="977">
        <v>0.15</v>
      </c>
      <c r="F321" s="989"/>
    </row>
    <row r="322" spans="1:6" ht="14.25" thickBot="1">
      <c r="A322" s="779" t="s">
        <v>976</v>
      </c>
      <c r="B322" s="773" t="s">
        <v>981</v>
      </c>
      <c r="C322" s="977">
        <v>0.15</v>
      </c>
      <c r="D322" s="977">
        <v>0.15</v>
      </c>
      <c r="E322" s="977">
        <v>0.15</v>
      </c>
      <c r="F322" s="978">
        <v>0.15</v>
      </c>
    </row>
    <row r="323" spans="1:6" ht="14.25" thickBot="1">
      <c r="A323" s="779" t="s">
        <v>976</v>
      </c>
      <c r="B323" s="773" t="s">
        <v>982</v>
      </c>
      <c r="C323" s="977">
        <v>0.15</v>
      </c>
      <c r="D323" s="977">
        <v>0.15</v>
      </c>
      <c r="E323" s="977">
        <v>0.15</v>
      </c>
      <c r="F323" s="989"/>
    </row>
    <row r="324" spans="1:6" ht="14.25" thickBot="1">
      <c r="A324" s="779" t="s">
        <v>976</v>
      </c>
      <c r="B324" s="773" t="s">
        <v>983</v>
      </c>
      <c r="C324" s="977">
        <v>0.15</v>
      </c>
      <c r="D324" s="977">
        <v>0.15</v>
      </c>
      <c r="E324" s="977">
        <v>0.15</v>
      </c>
      <c r="F324" s="989"/>
    </row>
    <row r="325" spans="1:6" ht="14.25" thickBot="1">
      <c r="A325" s="779" t="s">
        <v>976</v>
      </c>
      <c r="B325" s="773" t="s">
        <v>984</v>
      </c>
      <c r="C325" s="977">
        <v>0.15</v>
      </c>
      <c r="D325" s="977">
        <v>0.15</v>
      </c>
      <c r="E325" s="977">
        <v>0.15</v>
      </c>
      <c r="F325" s="978">
        <v>0.14699999999999999</v>
      </c>
    </row>
    <row r="326" spans="1:6" ht="14.25" thickBot="1">
      <c r="A326" s="779" t="s">
        <v>976</v>
      </c>
      <c r="B326" s="773" t="s">
        <v>290</v>
      </c>
      <c r="C326" s="977">
        <v>0.15</v>
      </c>
      <c r="D326" s="977">
        <v>0.15</v>
      </c>
      <c r="E326" s="977">
        <v>0.15</v>
      </c>
      <c r="F326" s="989"/>
    </row>
    <row r="327" spans="1:6" ht="14.25" thickBot="1">
      <c r="A327" s="779" t="s">
        <v>976</v>
      </c>
      <c r="B327" s="773" t="s">
        <v>985</v>
      </c>
      <c r="C327" s="977">
        <v>0.15</v>
      </c>
      <c r="D327" s="977">
        <v>0.15</v>
      </c>
      <c r="E327" s="977">
        <v>0.15</v>
      </c>
      <c r="F327" s="978">
        <v>0.15</v>
      </c>
    </row>
    <row r="328" spans="1:6" ht="14.25" thickBot="1">
      <c r="A328" s="779" t="s">
        <v>976</v>
      </c>
      <c r="B328" s="773" t="s">
        <v>310</v>
      </c>
      <c r="C328" s="977">
        <v>0.15</v>
      </c>
      <c r="D328" s="977">
        <v>0.15</v>
      </c>
      <c r="E328" s="977">
        <v>0.15</v>
      </c>
      <c r="F328" s="978">
        <v>0.14099999999999999</v>
      </c>
    </row>
    <row r="329" spans="1:6" ht="14.25" thickBot="1">
      <c r="A329" s="779" t="s">
        <v>976</v>
      </c>
      <c r="B329" s="773" t="s">
        <v>320</v>
      </c>
      <c r="C329" s="977">
        <v>0.15</v>
      </c>
      <c r="D329" s="977">
        <v>0.15</v>
      </c>
      <c r="E329" s="977">
        <v>0.15</v>
      </c>
      <c r="F329" s="978">
        <v>0.15</v>
      </c>
    </row>
    <row r="330" spans="1:6" ht="14.25" thickBot="1">
      <c r="A330" s="779" t="s">
        <v>976</v>
      </c>
      <c r="B330" s="773" t="s">
        <v>331</v>
      </c>
      <c r="C330" s="977">
        <v>0.15</v>
      </c>
      <c r="D330" s="977">
        <v>0.15</v>
      </c>
      <c r="E330" s="977">
        <v>0.15</v>
      </c>
      <c r="F330" s="989"/>
    </row>
    <row r="331" spans="1:6" ht="14.25" thickBot="1">
      <c r="A331" s="779" t="s">
        <v>976</v>
      </c>
      <c r="B331" s="773" t="s">
        <v>986</v>
      </c>
      <c r="C331" s="977">
        <v>0.15</v>
      </c>
      <c r="D331" s="977">
        <v>0.15</v>
      </c>
      <c r="E331" s="977">
        <v>0.15</v>
      </c>
      <c r="F331" s="978">
        <v>0.15</v>
      </c>
    </row>
    <row r="332" spans="1:6" ht="14.25" thickBot="1">
      <c r="A332" s="779" t="s">
        <v>976</v>
      </c>
      <c r="B332" s="773" t="s">
        <v>352</v>
      </c>
      <c r="C332" s="977">
        <v>0.15</v>
      </c>
      <c r="D332" s="977">
        <v>0.15</v>
      </c>
      <c r="E332" s="977">
        <v>0.15</v>
      </c>
      <c r="F332" s="978">
        <v>0.15</v>
      </c>
    </row>
    <row r="333" spans="1:6" ht="14.25" thickBot="1">
      <c r="A333" s="779" t="s">
        <v>976</v>
      </c>
      <c r="B333" s="773" t="s">
        <v>987</v>
      </c>
      <c r="C333" s="977">
        <v>0.15</v>
      </c>
      <c r="D333" s="977">
        <v>0.15</v>
      </c>
      <c r="E333" s="977">
        <v>0.15</v>
      </c>
      <c r="F333" s="978">
        <v>0.14099999999999999</v>
      </c>
    </row>
    <row r="334" spans="1:6" ht="14.25" thickBot="1">
      <c r="A334" s="779" t="s">
        <v>976</v>
      </c>
      <c r="B334" s="773" t="s">
        <v>372</v>
      </c>
      <c r="C334" s="977">
        <v>0.15</v>
      </c>
      <c r="D334" s="977">
        <v>0.15</v>
      </c>
      <c r="E334" s="977">
        <v>0.15</v>
      </c>
      <c r="F334" s="978">
        <v>0.15</v>
      </c>
    </row>
    <row r="335" spans="1:6" ht="14.25" thickBot="1">
      <c r="A335" s="779" t="s">
        <v>976</v>
      </c>
      <c r="B335" s="773" t="s">
        <v>382</v>
      </c>
      <c r="C335" s="977">
        <v>0.15</v>
      </c>
      <c r="D335" s="977">
        <v>0.15</v>
      </c>
      <c r="E335" s="977">
        <v>0.15</v>
      </c>
      <c r="F335" s="989"/>
    </row>
    <row r="336" spans="1:6" ht="14.25" thickBot="1">
      <c r="A336" s="779" t="s">
        <v>976</v>
      </c>
      <c r="B336" s="773" t="s">
        <v>988</v>
      </c>
      <c r="C336" s="977">
        <v>0.15</v>
      </c>
      <c r="D336" s="977">
        <v>0.15</v>
      </c>
      <c r="E336" s="977">
        <v>0.15</v>
      </c>
      <c r="F336" s="978">
        <v>0.11799999999999999</v>
      </c>
    </row>
    <row r="337" spans="1:6" ht="14.25" thickBot="1">
      <c r="A337" s="789" t="s">
        <v>976</v>
      </c>
      <c r="B337" s="785" t="s">
        <v>400</v>
      </c>
      <c r="C337" s="987"/>
      <c r="D337" s="987"/>
      <c r="E337" s="987"/>
      <c r="F337" s="980">
        <v>0.14299999999999999</v>
      </c>
    </row>
    <row r="338" spans="1:6" ht="14.25" thickBot="1">
      <c r="A338" s="779" t="s">
        <v>989</v>
      </c>
      <c r="B338" s="780" t="s">
        <v>990</v>
      </c>
      <c r="C338" s="975">
        <v>0.15</v>
      </c>
      <c r="D338" s="975">
        <v>0.15</v>
      </c>
      <c r="E338" s="975">
        <v>0.15</v>
      </c>
      <c r="F338" s="992"/>
    </row>
    <row r="339" spans="1:6" ht="14.25" thickBot="1">
      <c r="A339" s="779" t="s">
        <v>989</v>
      </c>
      <c r="B339" s="773" t="s">
        <v>991</v>
      </c>
      <c r="C339" s="977">
        <v>0.15</v>
      </c>
      <c r="D339" s="977">
        <v>0.15</v>
      </c>
      <c r="E339" s="977">
        <v>0.15</v>
      </c>
      <c r="F339" s="989"/>
    </row>
    <row r="340" spans="1:6" ht="14.25" thickBot="1">
      <c r="A340" s="779" t="s">
        <v>989</v>
      </c>
      <c r="B340" s="773" t="s">
        <v>992</v>
      </c>
      <c r="C340" s="977">
        <v>0.15</v>
      </c>
      <c r="D340" s="977">
        <v>0.15</v>
      </c>
      <c r="E340" s="977">
        <v>0.15</v>
      </c>
      <c r="F340" s="989"/>
    </row>
    <row r="341" spans="1:6" ht="14.25" thickBot="1">
      <c r="A341" s="779" t="s">
        <v>989</v>
      </c>
      <c r="B341" s="773" t="s">
        <v>993</v>
      </c>
      <c r="C341" s="977">
        <v>0.15</v>
      </c>
      <c r="D341" s="977">
        <v>0.15</v>
      </c>
      <c r="E341" s="977">
        <v>0.15</v>
      </c>
      <c r="F341" s="978">
        <v>0.15</v>
      </c>
    </row>
    <row r="342" spans="1:6" ht="14.25" thickBot="1">
      <c r="A342" s="779" t="s">
        <v>989</v>
      </c>
      <c r="B342" s="773" t="s">
        <v>994</v>
      </c>
      <c r="C342" s="977">
        <v>0.15</v>
      </c>
      <c r="D342" s="977">
        <v>0.15</v>
      </c>
      <c r="E342" s="977">
        <v>0.15</v>
      </c>
      <c r="F342" s="978">
        <v>0.15</v>
      </c>
    </row>
    <row r="343" spans="1:6" ht="14.25" thickBot="1">
      <c r="A343" s="779" t="s">
        <v>989</v>
      </c>
      <c r="B343" s="773" t="s">
        <v>995</v>
      </c>
      <c r="C343" s="977">
        <v>0.15</v>
      </c>
      <c r="D343" s="977">
        <v>0.15</v>
      </c>
      <c r="E343" s="977">
        <v>0.15</v>
      </c>
      <c r="F343" s="978">
        <v>0.15</v>
      </c>
    </row>
    <row r="344" spans="1:6" ht="14.25" thickBot="1">
      <c r="A344" s="789" t="s">
        <v>989</v>
      </c>
      <c r="B344" s="785" t="s">
        <v>996</v>
      </c>
      <c r="C344" s="979">
        <v>0.15</v>
      </c>
      <c r="D344" s="979">
        <v>0.15</v>
      </c>
      <c r="E344" s="979">
        <v>0.15</v>
      </c>
      <c r="F344" s="980">
        <v>0.15</v>
      </c>
    </row>
  </sheetData>
  <sheetProtection password="C66D" sheet="1" objects="1" scenarios="1"/>
  <mergeCells count="1">
    <mergeCell ref="A1:B1"/>
  </mergeCells>
  <phoneticPr fontId="98"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44186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517" t="s">
        <v>1627</v>
      </c>
      <c r="B1" s="3517"/>
      <c r="C1" s="3517"/>
      <c r="D1" s="3517"/>
    </row>
    <row r="2" spans="1:4" ht="18">
      <c r="A2" s="3518" t="s">
        <v>1611</v>
      </c>
      <c r="B2" s="3518"/>
      <c r="C2" s="3518"/>
      <c r="D2" s="3518"/>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518" t="s">
        <v>1617</v>
      </c>
      <c r="B6" s="3518"/>
      <c r="C6" s="3518"/>
      <c r="D6" s="351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519" t="s">
        <v>1620</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3" t="s">
        <v>1621</v>
      </c>
      <c r="B16" s="3523"/>
      <c r="C16" s="3523"/>
      <c r="D16" s="3523"/>
    </row>
    <row r="17" spans="1:4" ht="144" customHeight="1">
      <c r="A17" s="3523" t="s">
        <v>1622</v>
      </c>
      <c r="B17" s="3523"/>
      <c r="C17" s="3523"/>
      <c r="D17" s="3523"/>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1623</v>
      </c>
      <c r="B22" s="3525"/>
      <c r="C22" s="3525"/>
      <c r="D22" s="352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522">
        <v>42551</v>
      </c>
      <c r="D31" s="35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2"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AH26"/>
  <sheetViews>
    <sheetView zoomScale="80" zoomScaleNormal="80" workbookViewId="0">
      <selection activeCell="Q22" sqref="Q22"/>
    </sheetView>
  </sheetViews>
  <sheetFormatPr defaultRowHeight="13.5"/>
  <cols>
    <col min="1" max="1" width="10.5" bestFit="1" customWidth="1"/>
    <col min="5" max="5" width="10.5" bestFit="1" customWidth="1"/>
    <col min="9" max="9" width="10.5" bestFit="1" customWidth="1"/>
    <col min="13" max="13" width="10.5" bestFit="1" customWidth="1"/>
    <col min="17" max="17" width="9.5" bestFit="1" customWidth="1"/>
    <col min="21" max="21" width="9.5" bestFit="1" customWidth="1"/>
    <col min="25" max="25" width="9.5" bestFit="1" customWidth="1"/>
    <col min="29" max="29" width="9.5" bestFit="1" customWidth="1"/>
    <col min="33" max="33" width="9.5" bestFit="1" customWidth="1"/>
  </cols>
  <sheetData>
    <row r="10" spans="1:33">
      <c r="A10" s="3040" t="s">
        <v>3052</v>
      </c>
      <c r="E10" s="3040" t="s">
        <v>3053</v>
      </c>
      <c r="I10" s="3040" t="s">
        <v>3058</v>
      </c>
      <c r="M10" s="3040" t="s">
        <v>3061</v>
      </c>
      <c r="Q10" s="3040" t="s">
        <v>3064</v>
      </c>
      <c r="U10" s="3040" t="s">
        <v>3068</v>
      </c>
      <c r="Y10" s="3040" t="s">
        <v>3071</v>
      </c>
      <c r="AC10" s="3040" t="s">
        <v>3075</v>
      </c>
      <c r="AG10" s="3040" t="s">
        <v>3078</v>
      </c>
    </row>
    <row r="11" spans="1:33" s="3042" customFormat="1">
      <c r="A11" s="3041" t="s">
        <v>3046</v>
      </c>
    </row>
    <row r="12" spans="1:33">
      <c r="A12" s="3040" t="s">
        <v>3047</v>
      </c>
      <c r="E12" s="3040" t="s">
        <v>3054</v>
      </c>
      <c r="I12" s="3040" t="s">
        <v>3059</v>
      </c>
      <c r="M12" s="3040" t="s">
        <v>3062</v>
      </c>
      <c r="Q12" s="3040" t="s">
        <v>3065</v>
      </c>
      <c r="U12" s="3040" t="s">
        <v>3069</v>
      </c>
      <c r="Y12" s="3040" t="s">
        <v>3072</v>
      </c>
      <c r="AC12" s="3040" t="s">
        <v>3076</v>
      </c>
      <c r="AG12" s="3040" t="s">
        <v>3079</v>
      </c>
    </row>
    <row r="13" spans="1:33">
      <c r="A13" s="3040" t="s">
        <v>3048</v>
      </c>
      <c r="E13" t="str">
        <f>A13</f>
        <v>国世通房地产开发有限公司</v>
      </c>
      <c r="I13" t="str">
        <f>A13</f>
        <v>国世通房地产开发有限公司</v>
      </c>
      <c r="M13" t="str">
        <f>I13</f>
        <v>国世通房地产开发有限公司</v>
      </c>
      <c r="Q13" t="str">
        <f>M13</f>
        <v>国世通房地产开发有限公司</v>
      </c>
      <c r="U13" t="str">
        <f>Q13</f>
        <v>国世通房地产开发有限公司</v>
      </c>
      <c r="Y13" t="str">
        <f>U13</f>
        <v>国世通房地产开发有限公司</v>
      </c>
      <c r="AC13" t="str">
        <f>Y13</f>
        <v>国世通房地产开发有限公司</v>
      </c>
      <c r="AG13" t="str">
        <f>AC13</f>
        <v>国世通房地产开发有限公司</v>
      </c>
    </row>
    <row r="14" spans="1:33">
      <c r="A14" s="3040" t="s">
        <v>3049</v>
      </c>
      <c r="E14" s="3040" t="s">
        <v>3055</v>
      </c>
      <c r="I14" s="3040" t="s">
        <v>3060</v>
      </c>
      <c r="M14" s="3040" t="s">
        <v>3063</v>
      </c>
      <c r="Q14" s="3040" t="s">
        <v>3066</v>
      </c>
      <c r="U14" s="3040" t="s">
        <v>3070</v>
      </c>
      <c r="Y14" s="3040" t="s">
        <v>3073</v>
      </c>
      <c r="AC14" s="3040" t="s">
        <v>3077</v>
      </c>
      <c r="AG14" s="3040" t="s">
        <v>3080</v>
      </c>
    </row>
    <row r="15" spans="1:33">
      <c r="A15" s="3040" t="s">
        <v>3050</v>
      </c>
      <c r="E15" t="str">
        <f>A15</f>
        <v>独流一排村东北、大广高速东侧</v>
      </c>
      <c r="I15" t="str">
        <f>E15</f>
        <v>独流一排村东北、大广高速东侧</v>
      </c>
      <c r="M15" t="str">
        <f>I15</f>
        <v>独流一排村东北、大广高速东侧</v>
      </c>
      <c r="Q15" s="3040" t="s">
        <v>3067</v>
      </c>
      <c r="U15" t="str">
        <f>Q15</f>
        <v>固安温泉休闲商务产业园区、独流一排村东北</v>
      </c>
      <c r="Y15" t="str">
        <f>U15</f>
        <v>固安温泉休闲商务产业园区、独流一排村东北</v>
      </c>
      <c r="AC15" t="str">
        <f>Y15</f>
        <v>固安温泉休闲商务产业园区、独流一排村东北</v>
      </c>
      <c r="AG15" t="str">
        <f>AC15</f>
        <v>固安温泉休闲商务产业园区、独流一排村东北</v>
      </c>
    </row>
    <row r="16" spans="1:33">
      <c r="A16" s="3040" t="s">
        <v>3051</v>
      </c>
      <c r="E16" t="str">
        <f>A16</f>
        <v>居住用地</v>
      </c>
      <c r="I16" t="str">
        <f>E16</f>
        <v>居住用地</v>
      </c>
      <c r="M16" t="str">
        <f>I16</f>
        <v>居住用地</v>
      </c>
      <c r="Q16" t="str">
        <f>M16</f>
        <v>居住用地</v>
      </c>
      <c r="U16" t="str">
        <f>Q16</f>
        <v>居住用地</v>
      </c>
      <c r="Y16" t="str">
        <f>U16</f>
        <v>居住用地</v>
      </c>
      <c r="AC16" t="str">
        <f>Y16</f>
        <v>居住用地</v>
      </c>
      <c r="AG16" t="str">
        <f>AC16</f>
        <v>居住用地</v>
      </c>
    </row>
    <row r="17" spans="1:34">
      <c r="A17" s="3040">
        <v>66666.5</v>
      </c>
      <c r="B17" s="3040" t="s">
        <v>3056</v>
      </c>
      <c r="E17">
        <v>68666</v>
      </c>
      <c r="F17" s="3040" t="s">
        <v>3057</v>
      </c>
      <c r="I17">
        <v>63941.3</v>
      </c>
      <c r="J17" s="3040" t="s">
        <v>3057</v>
      </c>
      <c r="M17">
        <v>65568.2</v>
      </c>
      <c r="N17" s="3040" t="s">
        <v>3057</v>
      </c>
      <c r="Q17">
        <v>45896.3</v>
      </c>
      <c r="R17" s="3040" t="s">
        <v>3057</v>
      </c>
      <c r="U17">
        <v>65454.9</v>
      </c>
      <c r="V17" s="3040" t="s">
        <v>3057</v>
      </c>
      <c r="Y17">
        <v>63511.7</v>
      </c>
      <c r="Z17" s="3040" t="s">
        <v>3074</v>
      </c>
      <c r="AC17">
        <v>57985</v>
      </c>
      <c r="AD17" s="3040" t="s">
        <v>3057</v>
      </c>
      <c r="AG17">
        <v>52310.1</v>
      </c>
      <c r="AH17" s="3040" t="s">
        <v>3057</v>
      </c>
    </row>
    <row r="19" spans="1:34" s="3042" customFormat="1">
      <c r="A19" s="3041" t="s">
        <v>3081</v>
      </c>
    </row>
    <row r="20" spans="1:34">
      <c r="A20" s="3040" t="s">
        <v>3098</v>
      </c>
      <c r="E20" s="3040" t="s">
        <v>3099</v>
      </c>
      <c r="I20" s="3040" t="s">
        <v>3090</v>
      </c>
      <c r="M20" s="3040" t="s">
        <v>3097</v>
      </c>
      <c r="Q20" s="3040" t="s">
        <v>3082</v>
      </c>
      <c r="U20" s="3040" t="s">
        <v>3095</v>
      </c>
      <c r="Y20" s="3040" t="s">
        <v>3089</v>
      </c>
      <c r="AC20" s="3040" t="s">
        <v>3086</v>
      </c>
      <c r="AG20" s="3040" t="s">
        <v>3085</v>
      </c>
    </row>
    <row r="21" spans="1:34">
      <c r="A21" t="str">
        <f>A13</f>
        <v>国世通房地产开发有限公司</v>
      </c>
      <c r="E21" t="str">
        <f>E13</f>
        <v>国世通房地产开发有限公司</v>
      </c>
      <c r="I21" t="str">
        <f>I13</f>
        <v>国世通房地产开发有限公司</v>
      </c>
      <c r="M21" t="str">
        <f>M13</f>
        <v>国世通房地产开发有限公司</v>
      </c>
      <c r="Q21" s="3040" t="s">
        <v>3048</v>
      </c>
      <c r="U21" t="str">
        <f>U13</f>
        <v>国世通房地产开发有限公司</v>
      </c>
      <c r="Y21" t="str">
        <f>Y13</f>
        <v>国世通房地产开发有限公司</v>
      </c>
      <c r="AC21" t="str">
        <f>AC13</f>
        <v>国世通房地产开发有限公司</v>
      </c>
      <c r="AG21" t="str">
        <f>Q21</f>
        <v>国世通房地产开发有限公司</v>
      </c>
    </row>
    <row r="22" spans="1:34">
      <c r="A22" t="str">
        <f>I22</f>
        <v>独流一排村东北、大广高速东侧</v>
      </c>
      <c r="E22" t="str">
        <f>A22</f>
        <v>独流一排村东北、大广高速东侧</v>
      </c>
      <c r="I22" s="3040" t="s">
        <v>3091</v>
      </c>
      <c r="M22" t="str">
        <f>I22</f>
        <v>独流一排村东北、大广高速东侧</v>
      </c>
      <c r="Q22" s="3040" t="s">
        <v>3926</v>
      </c>
      <c r="U22" t="str">
        <f>Q22</f>
        <v>固安温泉休闲商务产业园区独流一排村东北</v>
      </c>
      <c r="Y22" t="str">
        <f>Q22</f>
        <v>固安温泉休闲商务产业园区独流一排村东北</v>
      </c>
      <c r="AC22" t="str">
        <f>Q22</f>
        <v>固安温泉休闲商务产业园区独流一排村东北</v>
      </c>
      <c r="AG22" t="str">
        <f>Q22</f>
        <v>固安温泉休闲商务产业园区独流一排村东北</v>
      </c>
    </row>
    <row r="23" spans="1:34">
      <c r="A23" t="str">
        <f>I23</f>
        <v>城镇住宅用地</v>
      </c>
      <c r="E23" t="str">
        <f>A23</f>
        <v>城镇住宅用地</v>
      </c>
      <c r="I23" s="3040" t="s">
        <v>3093</v>
      </c>
      <c r="M23" t="str">
        <f>I23</f>
        <v>城镇住宅用地</v>
      </c>
      <c r="Q23" s="3040" t="s">
        <v>3083</v>
      </c>
      <c r="U23" t="str">
        <f>Q23</f>
        <v>城镇住宅用地</v>
      </c>
      <c r="Y23" t="str">
        <f>Q23</f>
        <v>城镇住宅用地</v>
      </c>
      <c r="AC23" t="str">
        <f>Q23</f>
        <v>城镇住宅用地</v>
      </c>
      <c r="AG23" t="str">
        <f>Q23</f>
        <v>城镇住宅用地</v>
      </c>
    </row>
    <row r="24" spans="1:34">
      <c r="A24" t="str">
        <f>I24</f>
        <v>出让</v>
      </c>
      <c r="E24" t="str">
        <f>A24</f>
        <v>出让</v>
      </c>
      <c r="I24" s="3040" t="s">
        <v>3094</v>
      </c>
      <c r="M24" t="str">
        <f>I24</f>
        <v>出让</v>
      </c>
      <c r="Q24" s="3040" t="s">
        <v>3084</v>
      </c>
      <c r="U24" t="str">
        <f>Q24</f>
        <v>出让</v>
      </c>
      <c r="Y24" s="3040" t="s">
        <v>3088</v>
      </c>
      <c r="AC24" s="3040" t="s">
        <v>3088</v>
      </c>
      <c r="AG24" t="str">
        <f>Q24</f>
        <v>出让</v>
      </c>
    </row>
    <row r="25" spans="1:34">
      <c r="A25" s="3043">
        <f>I25</f>
        <v>66920</v>
      </c>
      <c r="E25" s="3043">
        <f>A25</f>
        <v>66920</v>
      </c>
      <c r="I25" s="3043">
        <v>66920</v>
      </c>
      <c r="M25" s="3043">
        <f>I25</f>
        <v>66920</v>
      </c>
      <c r="Q25" s="3043">
        <v>67275</v>
      </c>
      <c r="U25" s="3043">
        <f>Q25</f>
        <v>67275</v>
      </c>
      <c r="Y25" s="3043">
        <f>Q25</f>
        <v>67275</v>
      </c>
      <c r="AC25" s="3043">
        <f>Q25</f>
        <v>67275</v>
      </c>
      <c r="AG25" s="3043">
        <f>Q25</f>
        <v>67275</v>
      </c>
    </row>
    <row r="26" spans="1:34">
      <c r="A26">
        <v>66666.5</v>
      </c>
      <c r="B26" t="str">
        <f>B17</f>
        <v>平方米</v>
      </c>
      <c r="E26">
        <v>68666</v>
      </c>
      <c r="F26" t="str">
        <f>F17</f>
        <v>平方米</v>
      </c>
      <c r="I26">
        <v>63941.3</v>
      </c>
      <c r="J26" s="3040" t="s">
        <v>3056</v>
      </c>
      <c r="M26">
        <v>65568.2</v>
      </c>
      <c r="N26" s="3040" t="s">
        <v>3096</v>
      </c>
      <c r="Q26">
        <v>45896.3</v>
      </c>
      <c r="R26" s="3040" t="s">
        <v>3057</v>
      </c>
      <c r="U26">
        <v>65454.9</v>
      </c>
      <c r="V26" s="3040" t="s">
        <v>3096</v>
      </c>
      <c r="Y26">
        <v>63511.7</v>
      </c>
      <c r="AC26">
        <v>57985</v>
      </c>
      <c r="AG26">
        <v>52310.1</v>
      </c>
      <c r="AH26" s="3040" t="s">
        <v>3057</v>
      </c>
    </row>
  </sheetData>
  <phoneticPr fontId="142"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1" sqref="N61"/>
    </sheetView>
  </sheetViews>
  <sheetFormatPr defaultRowHeight="13.5"/>
  <sheetData/>
  <phoneticPr fontId="142"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531" t="s">
        <v>1634</v>
      </c>
      <c r="B15" s="3526" t="s">
        <v>136</v>
      </c>
      <c r="C15" s="3527"/>
    </row>
    <row r="16" spans="1:7" ht="13.5">
      <c r="A16" s="3532"/>
      <c r="B16" s="3526" t="s">
        <v>69</v>
      </c>
      <c r="C16" s="3527"/>
    </row>
    <row r="17" spans="1:3" ht="13.5">
      <c r="A17" s="3532"/>
      <c r="B17" s="3529" t="s">
        <v>1635</v>
      </c>
      <c r="C17" s="1718" t="s">
        <v>1634</v>
      </c>
    </row>
    <row r="18" spans="1:3" ht="13.5">
      <c r="A18" s="3532"/>
      <c r="B18" s="3529"/>
      <c r="C18" s="1718" t="s">
        <v>1636</v>
      </c>
    </row>
    <row r="19" spans="1:3" ht="13.5">
      <c r="A19" s="3532"/>
      <c r="B19" s="3529"/>
      <c r="C19" s="1718" t="s">
        <v>1637</v>
      </c>
    </row>
    <row r="20" spans="1:3" ht="13.5">
      <c r="A20" s="3533"/>
      <c r="B20" s="3528" t="s">
        <v>1638</v>
      </c>
      <c r="C20" s="3527"/>
    </row>
    <row r="21" spans="1:3" ht="13.5">
      <c r="A21" s="1719" t="s">
        <v>1639</v>
      </c>
      <c r="B21" s="1720"/>
      <c r="C21" s="1721"/>
    </row>
    <row r="22" spans="1:3" ht="13.5">
      <c r="A22" s="3530" t="s">
        <v>1640</v>
      </c>
      <c r="B22" s="3528" t="s">
        <v>1641</v>
      </c>
      <c r="C22" s="3527"/>
    </row>
    <row r="23" spans="1:3" ht="13.5">
      <c r="A23" s="3530"/>
      <c r="B23" s="3528" t="s">
        <v>1642</v>
      </c>
      <c r="C23" s="3527"/>
    </row>
    <row r="24" spans="1:3" ht="13.5">
      <c r="A24" s="3530"/>
      <c r="B24" s="3528" t="s">
        <v>1643</v>
      </c>
      <c r="C24" s="3527"/>
    </row>
    <row r="25" spans="1:3" ht="13.5">
      <c r="A25" s="3530"/>
      <c r="B25" s="3529" t="s">
        <v>1644</v>
      </c>
      <c r="C25" s="1718" t="s">
        <v>1645</v>
      </c>
    </row>
    <row r="26" spans="1:3" ht="13.5">
      <c r="A26" s="3530"/>
      <c r="B26" s="3529"/>
      <c r="C26" s="1718" t="s">
        <v>1646</v>
      </c>
    </row>
    <row r="27" spans="1:3" ht="13.5">
      <c r="A27" s="3530"/>
      <c r="B27" s="3529"/>
      <c r="C27" s="1718" t="s">
        <v>1647</v>
      </c>
    </row>
    <row r="28" spans="1:3" ht="13.5">
      <c r="A28" s="3530"/>
      <c r="B28" s="3529"/>
      <c r="C28" s="1718" t="s">
        <v>1648</v>
      </c>
    </row>
    <row r="29" spans="1:3" ht="13.5">
      <c r="A29" s="3530"/>
      <c r="B29" s="3529"/>
      <c r="C29" s="1718" t="s">
        <v>1649</v>
      </c>
    </row>
    <row r="30" spans="1:3" ht="13.5">
      <c r="A30" s="3530"/>
      <c r="B30" s="3529"/>
      <c r="C30" s="1718" t="s">
        <v>1650</v>
      </c>
    </row>
    <row r="31" spans="1:3" ht="13.5">
      <c r="A31" s="3530"/>
      <c r="B31" s="3529"/>
      <c r="C31" s="1718" t="s">
        <v>1651</v>
      </c>
    </row>
    <row r="32" spans="1:3" ht="13.5">
      <c r="A32" s="3530"/>
      <c r="B32" s="3529"/>
      <c r="C32" s="1718" t="s">
        <v>1652</v>
      </c>
    </row>
    <row r="33" spans="1:3" ht="13.5">
      <c r="A33" s="3530"/>
      <c r="B33" s="352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2871</v>
      </c>
      <c r="B2" s="2563">
        <f ca="1">TODAY()</f>
        <v>44186</v>
      </c>
      <c r="C2" s="2564" t="s">
        <v>2872</v>
      </c>
      <c r="D2" s="2564"/>
      <c r="E2" s="2564"/>
      <c r="F2" s="2560"/>
      <c r="G2" s="2560"/>
      <c r="H2" s="2560"/>
    </row>
    <row r="3" spans="1:8" ht="24" customHeight="1">
      <c r="A3" s="2565" t="s">
        <v>2873</v>
      </c>
      <c r="B3" s="2566" t="s">
        <v>2874</v>
      </c>
      <c r="C3" s="2566" t="s">
        <v>2875</v>
      </c>
      <c r="D3" s="2567" t="s">
        <v>2876</v>
      </c>
      <c r="E3" s="2568" t="s">
        <v>2877</v>
      </c>
      <c r="F3" s="1473" t="s">
        <v>2878</v>
      </c>
      <c r="G3" s="2566" t="s">
        <v>2875</v>
      </c>
      <c r="H3" s="2567" t="s">
        <v>2879</v>
      </c>
    </row>
    <row r="4" spans="1:8" ht="24" customHeight="1">
      <c r="A4" s="1473" t="s">
        <v>2880</v>
      </c>
      <c r="B4" s="1473">
        <f ca="1">IF(C4&lt;B2,"已过期",1119970066)</f>
        <v>1119970066</v>
      </c>
      <c r="C4" s="2569">
        <v>44876</v>
      </c>
      <c r="D4" s="2570" t="str">
        <f ca="1">A4&amp;"（注册号："&amp;B4&amp;"）"</f>
        <v>梁津（注册号：1119970066）</v>
      </c>
      <c r="E4" s="2571" t="s">
        <v>2880</v>
      </c>
      <c r="F4" s="1473">
        <f ca="1">IF(G4&lt;B2,"已过期",96010014)</f>
        <v>96010014</v>
      </c>
      <c r="G4" s="2572">
        <v>47118</v>
      </c>
      <c r="H4" s="2573" t="str">
        <f ca="1">E4&amp;"（注册号："&amp;F4&amp;"）"</f>
        <v>梁津（注册号：96010014）</v>
      </c>
    </row>
    <row r="5" spans="1:8" ht="24" customHeight="1">
      <c r="A5" s="1473" t="s">
        <v>2881</v>
      </c>
      <c r="B5" s="1473">
        <f ca="1">IF(C5&lt;B2,"已过期",1119970111)</f>
        <v>1119970111</v>
      </c>
      <c r="C5" s="2569">
        <v>44876</v>
      </c>
      <c r="D5" s="2570" t="str">
        <f t="shared" ref="D5:D15" ca="1" si="0">A5&amp;"（注册号："&amp;B5&amp;"）"</f>
        <v>叶凌（注册号：1119970111）</v>
      </c>
      <c r="E5" s="2571" t="s">
        <v>2881</v>
      </c>
      <c r="F5" s="1473">
        <f ca="1">IF(G5&lt;B2,"已过期",94010078)</f>
        <v>94010078</v>
      </c>
      <c r="G5" s="2572">
        <v>46387</v>
      </c>
      <c r="H5" s="2573" t="str">
        <f t="shared" ref="H5:H16" ca="1" si="1">E5&amp;"（注册号："&amp;F5&amp;"）"</f>
        <v>叶凌（注册号：94010078）</v>
      </c>
    </row>
    <row r="6" spans="1:8" ht="24" customHeight="1">
      <c r="A6" s="1473" t="s">
        <v>2882</v>
      </c>
      <c r="B6" s="1473">
        <f ca="1">IF(C6&lt;B2,"已过期",1120050019)</f>
        <v>1120050019</v>
      </c>
      <c r="C6" s="2569">
        <v>44395</v>
      </c>
      <c r="D6" s="2570" t="str">
        <f t="shared" ca="1" si="0"/>
        <v>王鹏（注册号：1120050019）</v>
      </c>
      <c r="E6" s="2571" t="s">
        <v>2882</v>
      </c>
      <c r="F6" s="1473">
        <f ca="1">IF(G6&lt;B2,"已过期",2002110030)</f>
        <v>2002110030</v>
      </c>
      <c r="G6" s="2572">
        <v>46387</v>
      </c>
      <c r="H6" s="2573" t="str">
        <f t="shared" ca="1" si="1"/>
        <v>王鹏（注册号：2002110030）</v>
      </c>
    </row>
    <row r="7" spans="1:8" ht="24" customHeight="1">
      <c r="A7" s="1473" t="s">
        <v>2883</v>
      </c>
      <c r="B7" s="1473">
        <f ca="1">IF(C7&lt;B2,"已过期",1120000080)</f>
        <v>1120000080</v>
      </c>
      <c r="C7" s="2569">
        <v>44876</v>
      </c>
      <c r="D7" s="2570" t="str">
        <f t="shared" ca="1" si="0"/>
        <v>欧红伟（注册号：1120000080）</v>
      </c>
      <c r="E7" s="2571" t="s">
        <v>2883</v>
      </c>
      <c r="F7" s="1473">
        <f ca="1">IF(G7&lt;B2,"已过期",2000110082)</f>
        <v>2000110082</v>
      </c>
      <c r="G7" s="2572">
        <v>46387</v>
      </c>
      <c r="H7" s="2573" t="str">
        <f t="shared" ca="1" si="1"/>
        <v>欧红伟（注册号：2000110082）</v>
      </c>
    </row>
    <row r="8" spans="1:8" ht="24" customHeight="1">
      <c r="A8" s="1473" t="s">
        <v>2884</v>
      </c>
      <c r="B8" s="1473">
        <f ca="1">IF(C8&lt;B2,"已过期",1419970001)</f>
        <v>1419970001</v>
      </c>
      <c r="C8" s="2569">
        <v>44899</v>
      </c>
      <c r="D8" s="2570" t="str">
        <f t="shared" ca="1" si="0"/>
        <v>吴薇（注册号：1419970001）</v>
      </c>
      <c r="E8" s="2571" t="s">
        <v>2884</v>
      </c>
      <c r="F8" s="1473">
        <f ca="1">IF(G8&lt;B2,"已过期",2002110125)</f>
        <v>2002110125</v>
      </c>
      <c r="G8" s="2572">
        <v>47118</v>
      </c>
      <c r="H8" s="2573" t="str">
        <f t="shared" ca="1" si="1"/>
        <v>吴薇（注册号：2002110125）</v>
      </c>
    </row>
    <row r="9" spans="1:8" ht="24" customHeight="1">
      <c r="A9" s="1473" t="s">
        <v>2885</v>
      </c>
      <c r="B9" s="1473">
        <f ca="1">IF(C9&lt;B2,"已过期",1120060040)</f>
        <v>1120060040</v>
      </c>
      <c r="C9" s="2574">
        <v>44554</v>
      </c>
      <c r="D9" s="2570" t="str">
        <f t="shared" ca="1" si="0"/>
        <v>陈颖（注册号：1120060040）</v>
      </c>
      <c r="E9" s="2571" t="s">
        <v>2885</v>
      </c>
      <c r="F9" s="1473">
        <f ca="1">IF(G9&lt;B2,"已过期",2004110096)</f>
        <v>2004110096</v>
      </c>
      <c r="G9" s="2572">
        <v>47118</v>
      </c>
      <c r="H9" s="2573" t="str">
        <f t="shared" ca="1" si="1"/>
        <v>陈颖（注册号：2004110096）</v>
      </c>
    </row>
    <row r="10" spans="1:8" ht="24" customHeight="1">
      <c r="A10" s="1473" t="s">
        <v>2886</v>
      </c>
      <c r="B10" s="1473">
        <f ca="1">IF(C10&lt;B2,"已过期",1120100036)</f>
        <v>1120100036</v>
      </c>
      <c r="C10" s="2574">
        <v>44675</v>
      </c>
      <c r="D10" s="2570" t="str">
        <f t="shared" ca="1" si="0"/>
        <v>崔锴（注册号：1120100036）</v>
      </c>
      <c r="E10" s="2571" t="s">
        <v>2886</v>
      </c>
      <c r="F10" s="1473">
        <f ca="1">IF(G10&lt;B2,"已过期",2010110070)</f>
        <v>2010110070</v>
      </c>
      <c r="G10" s="2572">
        <v>47907</v>
      </c>
      <c r="H10" s="2573" t="str">
        <f t="shared" ca="1" si="1"/>
        <v>崔锴（注册号：2010110070）</v>
      </c>
    </row>
    <row r="11" spans="1:8" ht="24" customHeight="1">
      <c r="A11" s="1473" t="s">
        <v>2887</v>
      </c>
      <c r="B11" s="1473">
        <f ca="1">IF(C11&lt;B2,"已过期",1120070131)</f>
        <v>1120070131</v>
      </c>
      <c r="C11" s="2569">
        <v>44849</v>
      </c>
      <c r="D11" s="2570" t="str">
        <f t="shared" ca="1" si="0"/>
        <v>郑燚（注册号：1120070131）</v>
      </c>
      <c r="E11" s="2571" t="s">
        <v>2887</v>
      </c>
      <c r="F11" s="1473">
        <f ca="1">IF(G11&lt;B2,"已过期",2014110011)</f>
        <v>2014110011</v>
      </c>
      <c r="G11" s="2572">
        <v>49302</v>
      </c>
      <c r="H11" s="2573" t="str">
        <f t="shared" ca="1" si="1"/>
        <v>郑燚（注册号：2014110011）</v>
      </c>
    </row>
    <row r="12" spans="1:8" ht="24" customHeight="1">
      <c r="A12" s="1473" t="s">
        <v>2888</v>
      </c>
      <c r="B12" s="1473">
        <f ca="1">IF(C12&lt;B2,"已过期",1120040230)</f>
        <v>1120040230</v>
      </c>
      <c r="C12" s="2574">
        <v>44864</v>
      </c>
      <c r="D12" s="2570" t="str">
        <f t="shared" ca="1" si="0"/>
        <v>苏海（注册号：1120040230）</v>
      </c>
      <c r="E12" s="2571" t="s">
        <v>2888</v>
      </c>
      <c r="F12" s="1473">
        <f ca="1">IF(G12&lt;B2,"已过期",98030020)</f>
        <v>98030020</v>
      </c>
      <c r="G12" s="2572">
        <v>47118</v>
      </c>
      <c r="H12" s="2573" t="str">
        <f t="shared" ca="1" si="1"/>
        <v>苏海（注册号：98030020）</v>
      </c>
    </row>
    <row r="13" spans="1:8" ht="24" customHeight="1">
      <c r="A13" s="1473" t="s">
        <v>2889</v>
      </c>
      <c r="B13" s="1473">
        <f ca="1">IF(C13&lt;B2,"已过期",1120020033)</f>
        <v>1120020033</v>
      </c>
      <c r="C13" s="2569">
        <v>44339</v>
      </c>
      <c r="D13" s="2570" t="str">
        <f t="shared" ca="1" si="0"/>
        <v>刘敬东（注册号：1120020033）</v>
      </c>
      <c r="E13" s="2571" t="s">
        <v>2889</v>
      </c>
      <c r="F13" s="1473">
        <f ca="1">IF(G13&lt;B2,"已过期",2000110137)</f>
        <v>2000110137</v>
      </c>
      <c r="G13" s="2572">
        <v>46387</v>
      </c>
      <c r="H13" s="2573" t="str">
        <f t="shared" ca="1" si="1"/>
        <v>刘敬东（注册号：2000110137）</v>
      </c>
    </row>
    <row r="14" spans="1:8" ht="24" customHeight="1">
      <c r="A14" s="1473" t="s">
        <v>2890</v>
      </c>
      <c r="B14" s="1473">
        <f ca="1">IF(C14&lt;B2,"已过期",1119980106)</f>
        <v>1119980106</v>
      </c>
      <c r="C14" s="2574">
        <v>44969</v>
      </c>
      <c r="D14" s="2570" t="str">
        <f t="shared" ca="1" si="0"/>
        <v>刘俊财（注册号：1119980106）</v>
      </c>
      <c r="E14" s="2571" t="s">
        <v>2890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534" t="s">
        <v>2892</v>
      </c>
      <c r="B17" s="3534"/>
      <c r="C17" s="3534"/>
      <c r="D17" s="3534"/>
      <c r="E17" s="3534"/>
      <c r="F17" s="3534"/>
      <c r="G17" s="3534"/>
      <c r="H17" s="3534"/>
    </row>
    <row r="18" spans="1:8" ht="24" customHeight="1">
      <c r="A18" s="3535" t="s">
        <v>2893</v>
      </c>
      <c r="B18" s="3535"/>
      <c r="C18" s="3535"/>
      <c r="D18" s="2567"/>
      <c r="E18" s="3536" t="s">
        <v>2894</v>
      </c>
      <c r="F18" s="3535"/>
      <c r="G18" s="3535"/>
    </row>
    <row r="19" spans="1:8" s="2578" customFormat="1" ht="24" customHeight="1">
      <c r="A19" s="2577" t="s">
        <v>2895</v>
      </c>
      <c r="B19" s="2566" t="s">
        <v>2896</v>
      </c>
      <c r="C19" s="2566" t="s">
        <v>2875</v>
      </c>
      <c r="D19" s="2567"/>
      <c r="E19" s="2571" t="s">
        <v>2895</v>
      </c>
      <c r="F19" s="2566" t="s">
        <v>2896</v>
      </c>
      <c r="G19" s="2566" t="s">
        <v>2875</v>
      </c>
    </row>
    <row r="20" spans="1:8" s="2578" customFormat="1" ht="24" customHeight="1">
      <c r="A20" s="2579" t="s">
        <v>2897</v>
      </c>
      <c r="B20" s="2579" t="s">
        <v>2898</v>
      </c>
      <c r="C20" s="2572">
        <v>44820</v>
      </c>
      <c r="D20" s="2580"/>
      <c r="E20" s="2581" t="s">
        <v>2899</v>
      </c>
      <c r="F20" s="2579" t="s">
        <v>2900</v>
      </c>
      <c r="G20" s="2582">
        <v>44377</v>
      </c>
    </row>
    <row r="21" spans="1:8" s="2578" customFormat="1" ht="24" customHeight="1">
      <c r="A21" s="2579"/>
      <c r="B21" s="2579"/>
      <c r="C21" s="2583"/>
      <c r="D21" s="2584"/>
      <c r="E21" s="2581" t="s">
        <v>2901</v>
      </c>
      <c r="F21" s="2585" t="s">
        <v>2902</v>
      </c>
      <c r="G21" s="2586">
        <v>44012</v>
      </c>
    </row>
    <row r="22" spans="1:8" ht="24" customHeight="1">
      <c r="C22" s="2587"/>
      <c r="D22" s="2587"/>
      <c r="E22" s="2588"/>
      <c r="F22" s="2589"/>
      <c r="G22" s="2590" t="s">
        <v>2903</v>
      </c>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启动会指标</vt:lpstr>
      <vt:lpstr>已建区指标</vt:lpstr>
      <vt:lpstr>新规</vt:lpstr>
      <vt:lpstr>整体综合指标（报规含已建区和小学）</vt:lpstr>
      <vt:lpstr>规划区综合指标</vt:lpstr>
      <vt:lpstr>3.7（七期）指标</vt:lpstr>
      <vt:lpstr>3.6（六期）指标</vt:lpstr>
      <vt:lpstr>3.5（五期）指标</vt:lpstr>
      <vt:lpstr>3.4（四期）指标</vt:lpstr>
      <vt:lpstr>3.3（三期）指标</vt:lpstr>
      <vt:lpstr>3.2.2期指标</vt:lpstr>
      <vt:lpstr>3.2.1期指标</vt:lpstr>
      <vt:lpstr>3.1.2期指标</vt:lpstr>
      <vt:lpstr>3.1.1期指标</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资料</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2020-12-21T09:02:57Z</dcterms:modified>
</cp:coreProperties>
</file>