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商业面积" sheetId="77" r:id="rId40"/>
    <sheet name="租金"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176_微型">#REF!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[1]修正!$C$59:$C$119</definedName>
    <definedName name="商业街名称">修正!$C$59:$C$119</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K48" i="77" l="1"/>
  <c r="K49" i="77"/>
  <c r="K50" i="77"/>
  <c r="K51" i="77"/>
  <c r="K52" i="77"/>
  <c r="K53" i="77"/>
  <c r="K47" i="77"/>
  <c r="J53" i="77"/>
  <c r="I53" i="77"/>
  <c r="J48" i="77"/>
  <c r="J49" i="77"/>
  <c r="J50" i="77"/>
  <c r="J51" i="77"/>
  <c r="J47" i="77"/>
  <c r="J52" i="77"/>
  <c r="I52" i="77"/>
  <c r="I51" i="77"/>
  <c r="I50" i="77"/>
  <c r="I49" i="77"/>
  <c r="I48" i="77"/>
  <c r="I47" i="77"/>
  <c r="AN13" i="3"/>
  <c r="U10" i="77"/>
  <c r="F6" i="15"/>
  <c r="F8" i="15"/>
  <c r="K6" i="1"/>
  <c r="F7" i="15"/>
  <c r="F9" i="15"/>
  <c r="C6" i="15"/>
  <c r="C1" i="73"/>
  <c r="L1" i="73"/>
  <c r="F4" i="73"/>
  <c r="I1" i="73"/>
  <c r="B39" i="1"/>
  <c r="F11" i="15"/>
  <c r="C10" i="15"/>
  <c r="C5" i="15"/>
  <c r="B2" i="1"/>
  <c r="C42" i="1"/>
  <c r="C32" i="15"/>
  <c r="C33" i="15"/>
  <c r="BR13" i="3"/>
  <c r="BL13" i="3"/>
  <c r="AZ13" i="3"/>
  <c r="AZ5" i="3"/>
  <c r="AC13" i="3"/>
  <c r="G13" i="3"/>
  <c r="G5" i="3"/>
  <c r="B3" i="3"/>
  <c r="AY6" i="3"/>
  <c r="D3" i="6"/>
  <c r="E3" i="6"/>
  <c r="D19" i="6"/>
  <c r="BR5" i="3"/>
  <c r="G28" i="6"/>
  <c r="E28" i="6"/>
  <c r="K19" i="6"/>
  <c r="M19" i="6"/>
  <c r="I19" i="6"/>
  <c r="H19" i="6"/>
  <c r="R19" i="6"/>
  <c r="R6" i="1"/>
  <c r="F35" i="15"/>
  <c r="C34" i="15"/>
  <c r="C31" i="15"/>
  <c r="M6" i="1"/>
  <c r="S6" i="1"/>
  <c r="T6" i="1"/>
  <c r="C14" i="15"/>
  <c r="C15" i="15"/>
  <c r="F16" i="15"/>
  <c r="C16" i="15"/>
  <c r="F43" i="15"/>
  <c r="C17" i="15"/>
  <c r="C18" i="15"/>
  <c r="C19" i="15"/>
  <c r="C20" i="15"/>
  <c r="J1" i="73"/>
  <c r="D5" i="73"/>
  <c r="B22" i="1"/>
  <c r="E1" i="73"/>
  <c r="K1" i="73"/>
  <c r="G1" i="73"/>
  <c r="B40" i="1"/>
  <c r="F24" i="15"/>
  <c r="F23" i="15"/>
  <c r="C23" i="15"/>
  <c r="F26" i="15"/>
  <c r="C26" i="15"/>
  <c r="C24" i="15"/>
  <c r="C27" i="15"/>
  <c r="C28" i="15"/>
  <c r="C29" i="15"/>
  <c r="F36" i="15"/>
  <c r="C36" i="15"/>
  <c r="F13" i="15"/>
  <c r="C13" i="15"/>
  <c r="F37" i="15"/>
  <c r="C37" i="15"/>
  <c r="F38" i="15"/>
  <c r="C38" i="15"/>
  <c r="C30" i="15"/>
  <c r="C39" i="15"/>
  <c r="F42" i="15"/>
  <c r="F40" i="15"/>
  <c r="E15" i="4"/>
  <c r="F6" i="1"/>
  <c r="L48" i="15"/>
  <c r="J51" i="15"/>
  <c r="J53" i="15"/>
  <c r="F1" i="15"/>
  <c r="AE6" i="1"/>
  <c r="F41" i="15"/>
  <c r="C40" i="15"/>
  <c r="M6" i="15"/>
  <c r="M8" i="15"/>
  <c r="M7" i="15"/>
  <c r="M9" i="15"/>
  <c r="J6" i="15"/>
  <c r="M11" i="15"/>
  <c r="J10" i="15"/>
  <c r="J5" i="15"/>
  <c r="J26" i="15"/>
  <c r="J29" i="15"/>
  <c r="J60" i="15"/>
  <c r="L46" i="15"/>
  <c r="B2" i="15"/>
  <c r="C19" i="9"/>
  <c r="R47" i="33"/>
  <c r="C7" i="33"/>
  <c r="E7" i="33"/>
  <c r="C58" i="33"/>
  <c r="D58" i="33"/>
  <c r="E58" i="33"/>
  <c r="F58" i="33"/>
  <c r="G58" i="33"/>
  <c r="H58" i="33"/>
  <c r="I58" i="33"/>
  <c r="J58" i="33"/>
  <c r="K58" i="33"/>
  <c r="L58" i="33"/>
  <c r="M58" i="33"/>
  <c r="N58" i="33"/>
  <c r="O58" i="33"/>
  <c r="F7" i="33"/>
  <c r="AA7" i="33"/>
  <c r="R48" i="33"/>
  <c r="T47" i="33"/>
  <c r="G7" i="33"/>
  <c r="H7" i="33"/>
  <c r="AB7" i="33"/>
  <c r="T48" i="33"/>
  <c r="V47" i="33"/>
  <c r="I7" i="33"/>
  <c r="J7" i="33"/>
  <c r="AC7" i="33"/>
  <c r="V48" i="33"/>
  <c r="R49" i="33"/>
  <c r="C49" i="33"/>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9" i="9"/>
  <c r="G19" i="9"/>
  <c r="L18" i="9"/>
  <c r="F49" i="78"/>
  <c r="F48" i="78"/>
  <c r="F47" i="78"/>
  <c r="F46" i="78"/>
  <c r="F45" i="78"/>
  <c r="F44" i="78"/>
  <c r="D4" i="31"/>
  <c r="E4" i="31"/>
  <c r="F4" i="31"/>
  <c r="G4" i="31"/>
  <c r="C4" i="31"/>
  <c r="D3" i="31"/>
  <c r="E3" i="31"/>
  <c r="F3" i="31"/>
  <c r="G3" i="31"/>
  <c r="C3" i="31"/>
  <c r="C17" i="31"/>
  <c r="F33" i="33"/>
  <c r="AA33" i="33"/>
  <c r="H33" i="33"/>
  <c r="AB33" i="33"/>
  <c r="J33" i="33"/>
  <c r="AC33" i="33"/>
  <c r="B29" i="31"/>
  <c r="B28" i="31"/>
  <c r="B27" i="31"/>
  <c r="B25" i="31"/>
  <c r="B26" i="31"/>
  <c r="B24" i="31"/>
  <c r="C36" i="33"/>
  <c r="C33" i="33"/>
  <c r="AL13" i="3"/>
  <c r="G19" i="6"/>
  <c r="I13" i="3"/>
  <c r="K13" i="3"/>
  <c r="G49" i="78"/>
  <c r="G45" i="78"/>
  <c r="G44" i="78"/>
  <c r="G46" i="78"/>
  <c r="G47" i="78"/>
  <c r="G48" i="78"/>
  <c r="G50" i="78"/>
  <c r="F50" i="78"/>
  <c r="H50" i="78"/>
  <c r="D49" i="78"/>
  <c r="D48" i="78"/>
  <c r="D47" i="78"/>
  <c r="D46" i="78"/>
  <c r="D45" i="78"/>
  <c r="Y6" i="1"/>
  <c r="N19" i="1"/>
  <c r="F19" i="6"/>
  <c r="C19" i="6"/>
  <c r="U9" i="77"/>
  <c r="U12" i="77"/>
  <c r="U13" i="77"/>
  <c r="U14" i="77"/>
  <c r="U15" i="77"/>
  <c r="U11" i="77"/>
  <c r="G3" i="78"/>
  <c r="G4" i="78"/>
  <c r="G5" i="78"/>
  <c r="G6" i="78"/>
  <c r="G7" i="78"/>
  <c r="G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39" i="78"/>
  <c r="E39" i="78"/>
  <c r="H39" i="78"/>
  <c r="E39" i="77"/>
  <c r="G28" i="77"/>
  <c r="G29" i="77"/>
  <c r="G30" i="77"/>
  <c r="G31" i="77"/>
  <c r="G32" i="77"/>
  <c r="G33" i="77"/>
  <c r="G34" i="77"/>
  <c r="G35" i="77"/>
  <c r="G36" i="77"/>
  <c r="F31" i="77"/>
  <c r="F35" i="77"/>
  <c r="F36" i="77"/>
  <c r="E31" i="77"/>
  <c r="E35" i="77"/>
  <c r="E36" i="77"/>
  <c r="D35" i="77"/>
  <c r="S8" i="77"/>
  <c r="S9" i="77"/>
  <c r="S10" i="77"/>
  <c r="S14" i="77"/>
  <c r="S23" i="77"/>
  <c r="S25" i="77"/>
  <c r="R8" i="77"/>
  <c r="M9" i="77"/>
  <c r="R9" i="77"/>
  <c r="R10" i="77"/>
  <c r="R11" i="77"/>
  <c r="R12" i="77"/>
  <c r="R13" i="77"/>
  <c r="R14" i="77"/>
  <c r="R15" i="77"/>
  <c r="R16" i="77"/>
  <c r="R17" i="77"/>
  <c r="R18" i="77"/>
  <c r="R19" i="77"/>
  <c r="R20" i="77"/>
  <c r="R21" i="77"/>
  <c r="R22" i="77"/>
  <c r="D23" i="77"/>
  <c r="R23" i="77"/>
  <c r="R24" i="77"/>
  <c r="R25" i="77"/>
  <c r="Q25" i="77"/>
  <c r="P25" i="77"/>
  <c r="O25" i="77"/>
  <c r="N25" i="77"/>
  <c r="M25" i="77"/>
  <c r="L25" i="77"/>
  <c r="K25" i="77"/>
  <c r="J25" i="77"/>
  <c r="I25" i="77"/>
  <c r="H25" i="77"/>
  <c r="G25" i="77"/>
  <c r="F25" i="77"/>
  <c r="E25" i="77"/>
  <c r="D25" i="77"/>
  <c r="C25" i="77"/>
  <c r="D4" i="73"/>
  <c r="E20" i="43"/>
  <c r="P28" i="43"/>
  <c r="G20" i="43"/>
  <c r="I15" i="4"/>
  <c r="I20" i="43"/>
  <c r="J20" i="43"/>
  <c r="C20" i="43"/>
  <c r="G19" i="43"/>
  <c r="M20" i="43"/>
  <c r="M19" i="43"/>
  <c r="C19" i="43"/>
  <c r="G2" i="43"/>
  <c r="C6" i="43"/>
  <c r="H17" i="43"/>
  <c r="I17" i="43"/>
  <c r="J17" i="43"/>
  <c r="K17" i="43"/>
  <c r="L17" i="43"/>
  <c r="M17" i="43"/>
  <c r="N17" i="43"/>
  <c r="O17" i="43"/>
  <c r="G17" i="43"/>
  <c r="C16" i="43"/>
  <c r="C5" i="43"/>
  <c r="I5" i="3"/>
  <c r="AL5" i="3"/>
  <c r="I4" i="6"/>
  <c r="G3" i="43"/>
  <c r="F22" i="43"/>
  <c r="E22" i="43"/>
  <c r="G22" i="43"/>
  <c r="D22" i="43"/>
  <c r="C21" i="43"/>
  <c r="C18" i="43"/>
  <c r="C24" i="43"/>
  <c r="C29" i="43"/>
  <c r="BB10" i="3"/>
  <c r="BC10" i="3"/>
  <c r="BB13" i="3"/>
  <c r="BB14" i="3"/>
  <c r="BB15" i="3"/>
  <c r="BB16" i="3"/>
  <c r="BB17" i="3"/>
  <c r="BB18" i="3"/>
  <c r="BB5" i="3"/>
  <c r="E8" i="6"/>
  <c r="F27" i="6"/>
  <c r="D29" i="43"/>
  <c r="E29" i="43"/>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A6" i="1"/>
  <c r="A7" i="1"/>
  <c r="A8" i="1"/>
  <c r="A9" i="1"/>
  <c r="A10" i="1"/>
  <c r="A11" i="1"/>
  <c r="G1" i="67"/>
  <c r="F7" i="1"/>
  <c r="L48" i="67"/>
  <c r="J51" i="67"/>
  <c r="B24" i="1"/>
  <c r="J53" i="67"/>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AB6" i="71"/>
  <c r="P7" i="71"/>
  <c r="AA6" i="71"/>
  <c r="O7" i="71"/>
  <c r="Y6" i="71"/>
  <c r="N7"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D13" i="71"/>
  <c r="AH11" i="71"/>
  <c r="AG11" i="71"/>
  <c r="AE11" i="71"/>
  <c r="AF11" i="71"/>
  <c r="AD11" i="71"/>
  <c r="BC13" i="3"/>
  <c r="BD13" i="3"/>
  <c r="BE13" i="3"/>
  <c r="BF13" i="3"/>
  <c r="BG13" i="3"/>
  <c r="BH13" i="3"/>
  <c r="BI13" i="3"/>
  <c r="BJ13" i="3"/>
  <c r="BK13" i="3"/>
  <c r="BA13" i="3"/>
  <c r="BM13" i="3"/>
  <c r="BN13" i="3"/>
  <c r="BO13" i="3"/>
  <c r="BP13" i="3"/>
  <c r="BQ13" i="3"/>
  <c r="BS13" i="3"/>
  <c r="BT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H13" i="3"/>
  <c r="H14" i="3"/>
  <c r="AC14" i="3"/>
  <c r="G14" i="3"/>
  <c r="H15" i="3"/>
  <c r="AC15" i="3"/>
  <c r="G15" i="3"/>
  <c r="H16" i="3"/>
  <c r="AC16" i="3"/>
  <c r="G16" i="3"/>
  <c r="H17" i="3"/>
  <c r="AC17" i="3"/>
  <c r="G17" i="3"/>
  <c r="H18" i="3"/>
  <c r="AC18" i="3"/>
  <c r="G18"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D84" i="43"/>
  <c r="D85" i="43"/>
  <c r="D86" i="43"/>
  <c r="K87" i="43"/>
  <c r="D87" i="43"/>
  <c r="K88" i="43"/>
  <c r="D88" i="43"/>
  <c r="K81" i="43"/>
  <c r="D81" i="43"/>
  <c r="D67" i="43"/>
  <c r="D60" i="43"/>
  <c r="D61" i="43"/>
  <c r="D62" i="43"/>
  <c r="D63" i="43"/>
  <c r="D64" i="43"/>
  <c r="D65" i="43"/>
  <c r="D66" i="43"/>
  <c r="D59" i="43"/>
  <c r="E59" i="43"/>
  <c r="B57" i="43"/>
  <c r="E81" i="43"/>
  <c r="B79" i="43"/>
  <c r="M88" i="43"/>
  <c r="N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12" i="1"/>
  <c r="A13" i="1"/>
  <c r="F3" i="35"/>
  <c r="B11" i="1"/>
  <c r="E11" i="1"/>
  <c r="B7" i="1"/>
  <c r="E7" i="1"/>
  <c r="E23" i="6"/>
  <c r="E20" i="6"/>
  <c r="E21" i="6"/>
  <c r="E22" i="6"/>
  <c r="E24" i="6"/>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25" i="31"/>
  <c r="Q25"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F15" i="43"/>
  <c r="E15" i="43"/>
  <c r="D15" i="43"/>
  <c r="C15" i="43"/>
  <c r="C10" i="43"/>
  <c r="C11" i="43"/>
  <c r="C9" i="43"/>
  <c r="A7" i="43"/>
  <c r="F33" i="15"/>
  <c r="F61" i="15"/>
  <c r="M19" i="15"/>
  <c r="M10" i="1"/>
  <c r="O10" i="1"/>
  <c r="B23" i="1"/>
  <c r="B43" i="1"/>
  <c r="D78" i="9"/>
  <c r="E19" i="6"/>
  <c r="K8" i="1"/>
  <c r="M8" i="1"/>
  <c r="D24" i="15"/>
  <c r="O8" i="1"/>
  <c r="P8" i="1"/>
  <c r="M13" i="1"/>
  <c r="O13" i="1"/>
  <c r="P13" i="1"/>
  <c r="E25" i="6"/>
  <c r="E26" i="6"/>
  <c r="BD10"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9"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A5" i="3"/>
  <c r="E27" i="6"/>
  <c r="K24" i="6"/>
  <c r="K20" i="6"/>
  <c r="K21" i="6"/>
  <c r="K22" i="6"/>
  <c r="K23" i="6"/>
  <c r="S12" i="1"/>
  <c r="M24" i="6"/>
  <c r="I24" i="6"/>
  <c r="H24" i="6"/>
  <c r="D24" i="6"/>
  <c r="R24" i="6"/>
  <c r="L20" i="6"/>
  <c r="M20" i="6"/>
  <c r="I20" i="6"/>
  <c r="H20" i="6"/>
  <c r="D20" i="6"/>
  <c r="R20" i="6"/>
  <c r="M21" i="6"/>
  <c r="I21" i="6"/>
  <c r="H21" i="6"/>
  <c r="D21" i="6"/>
  <c r="R21" i="6"/>
  <c r="M22" i="6"/>
  <c r="I22" i="6"/>
  <c r="H22" i="6"/>
  <c r="D22" i="6"/>
  <c r="R22" i="6"/>
  <c r="M23" i="6"/>
  <c r="I23" i="6"/>
  <c r="H23" i="6"/>
  <c r="D23" i="6"/>
  <c r="R23" i="6"/>
  <c r="R12" i="1"/>
  <c r="B12" i="1"/>
  <c r="E12" i="1"/>
  <c r="S10" i="1"/>
  <c r="AQ10" i="1"/>
  <c r="L19" i="6"/>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9" i="43"/>
  <c r="N3" i="43"/>
  <c r="F38" i="43"/>
  <c r="F37" i="43"/>
  <c r="N5" i="43"/>
  <c r="M12" i="43"/>
  <c r="B19" i="53"/>
  <c r="B37" i="72"/>
  <c r="C7" i="39"/>
  <c r="C68" i="39"/>
  <c r="C7" i="35"/>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B2" i="74"/>
  <c r="E6" i="3"/>
  <c r="D10" i="68"/>
  <c r="C10" i="68"/>
  <c r="D10" i="11"/>
  <c r="C10" i="11"/>
  <c r="D20" i="12"/>
  <c r="C20" i="12"/>
  <c r="D25" i="6"/>
  <c r="D26" i="6"/>
  <c r="D15" i="6"/>
  <c r="C18" i="4"/>
  <c r="D8" i="6"/>
  <c r="D14" i="6"/>
  <c r="R7" i="1"/>
  <c r="D5" i="6"/>
  <c r="D6" i="6"/>
  <c r="D12" i="6"/>
  <c r="D9" i="6"/>
  <c r="D11" i="6"/>
  <c r="D10" i="6"/>
  <c r="D13" i="6"/>
  <c r="L19" i="9"/>
  <c r="D28" i="6"/>
  <c r="D29" i="6"/>
  <c r="E61" i="40"/>
  <c r="H25" i="6"/>
  <c r="R25" i="6"/>
  <c r="H26" i="6"/>
  <c r="P16" i="1"/>
  <c r="C11" i="12"/>
  <c r="C15" i="12"/>
  <c r="F34" i="11"/>
  <c r="C37" i="11"/>
  <c r="F11" i="12"/>
  <c r="F34" i="68"/>
  <c r="S19" i="6"/>
  <c r="S27" i="6"/>
  <c r="I27" i="6"/>
  <c r="F50" i="11"/>
  <c r="F50" i="69"/>
  <c r="F50" i="68"/>
  <c r="C47" i="11"/>
  <c r="D45" i="11"/>
  <c r="C29" i="11"/>
  <c r="D27" i="11"/>
  <c r="L16" i="1"/>
  <c r="C34" i="11"/>
  <c r="C38" i="11"/>
  <c r="R26" i="6"/>
  <c r="R8" i="1"/>
  <c r="D30" i="6"/>
  <c r="D16" i="6"/>
  <c r="A7" i="51"/>
  <c r="B7" i="72"/>
  <c r="C4" i="52"/>
  <c r="B45" i="72"/>
  <c r="A10" i="51"/>
  <c r="B9" i="72"/>
  <c r="D27" i="6"/>
  <c r="H27" i="6"/>
  <c r="C35" i="11"/>
  <c r="D31" i="6"/>
  <c r="I6" i="6"/>
  <c r="R27" i="6"/>
  <c r="I5" i="6"/>
  <c r="E2" i="70"/>
  <c r="C34" i="69"/>
  <c r="C38" i="69"/>
  <c r="D10" i="69"/>
  <c r="C10" i="69"/>
  <c r="S16" i="1"/>
  <c r="AE7" i="1"/>
  <c r="T16" i="1"/>
  <c r="AE8" i="1"/>
  <c r="AG6" i="1"/>
  <c r="H109" i="9"/>
  <c r="D19" i="68"/>
  <c r="C19" i="68"/>
  <c r="C20" i="68"/>
  <c r="D3" i="73"/>
  <c r="F22" i="68"/>
  <c r="C23" i="68"/>
  <c r="C24" i="68"/>
  <c r="C25" i="68"/>
  <c r="C22" i="68"/>
  <c r="C28" i="68"/>
  <c r="C27" i="68"/>
  <c r="C26" i="68"/>
  <c r="D22" i="68"/>
  <c r="C30" i="68"/>
  <c r="C31" i="68"/>
  <c r="C34" i="68"/>
  <c r="C35" i="68"/>
  <c r="C36" i="68"/>
  <c r="D37" i="68"/>
  <c r="C37" i="68"/>
  <c r="C38" i="68"/>
  <c r="C33" i="68"/>
  <c r="C39" i="68"/>
  <c r="C42" i="68"/>
  <c r="C43" i="68"/>
  <c r="C41" i="68"/>
  <c r="C46" i="68"/>
  <c r="C45" i="68"/>
  <c r="C44" i="68"/>
  <c r="D41" i="68"/>
  <c r="C47" i="68"/>
  <c r="D45" i="68"/>
  <c r="C48" i="68"/>
  <c r="C49" i="68"/>
  <c r="C51" i="68"/>
  <c r="C52" i="68"/>
  <c r="B2" i="68"/>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D45" i="9"/>
  <c r="D55" i="9"/>
  <c r="M53" i="9"/>
  <c r="C85" i="9"/>
  <c r="C93" i="9"/>
  <c r="C92" i="9"/>
  <c r="C94"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D34" i="9"/>
  <c r="M8" i="67"/>
  <c r="B3" i="15"/>
  <c r="D20" i="9"/>
  <c r="M23" i="67"/>
  <c r="D2" i="37"/>
  <c r="E9" i="76"/>
  <c r="F40" i="67"/>
  <c r="B3" i="68"/>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M8" i="43"/>
  <c r="N10" i="43"/>
  <c r="H48" i="43"/>
  <c r="H74" i="43"/>
  <c r="M6" i="43"/>
  <c r="N7" i="43"/>
  <c r="N4" i="43"/>
  <c r="N2" i="43"/>
  <c r="H49"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B7" i="71"/>
  <c r="S8" i="71"/>
  <c r="C29" i="12"/>
  <c r="D28" i="12"/>
  <c r="C20" i="11"/>
  <c r="C28" i="11"/>
  <c r="C27" i="11"/>
  <c r="F9" i="71"/>
  <c r="F8" i="71"/>
  <c r="F7"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7" i="71"/>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7" i="7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C64" i="9"/>
  <c r="C63" i="9"/>
  <c r="C67" i="9"/>
  <c r="C68" i="9"/>
  <c r="D54" i="9"/>
  <c r="D52" i="9"/>
  <c r="C78" i="9"/>
  <c r="C73"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D2" i="67"/>
  <c r="C83" i="67"/>
  <c r="C82" i="67"/>
  <c r="E96" i="9"/>
  <c r="E97" i="9"/>
  <c r="Q65" i="15"/>
  <c r="Q56" i="15"/>
  <c r="C46" i="15"/>
  <c r="C83" i="15"/>
  <c r="C82" i="15"/>
  <c r="C43" i="15"/>
  <c r="Q47" i="15"/>
  <c r="Q53" i="15"/>
  <c r="L63" i="40"/>
  <c r="K65" i="40"/>
  <c r="L68" i="39"/>
  <c r="K70" i="39"/>
  <c r="N58"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<sst xmlns="http://schemas.openxmlformats.org/spreadsheetml/2006/main" count="7618" uniqueCount="3198">
  <si>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</si>
  <si>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</si>
  <si>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</si>
  <si>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</si>
  <si>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</si>
  <si>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</si>
  <si>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</si>
  <si>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</si>
  <si>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</si>
  <si>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</si>
  <si>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</si>
  <si>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</si>
  <si>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</si>
  <si>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</si>
  <si>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</si>
  <si>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</si>
  <si>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</si>
  <si>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</si>
  <si>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</si>
  <si>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</si>
  <si>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</si>
  <si>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</si>
  <si>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</si>
  <si>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</si>
  <si>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</si>
  <si>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</si>
  <si>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</si>
  <si>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</si>
  <si>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</si>
  <si>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</si>
  <si>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</si>
  <si>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</si>
  <si>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</si>
  <si>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</si>
  <si>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</si>
  <si>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</si>
  <si>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</si>
  <si>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</si>
  <si>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</si>
  <si>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</si>
  <si>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</si>
  <si>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</si>
  <si>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</si>
  <si>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</si>
  <si>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</si>
  <si>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</si>
  <si>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</si>
  <si>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</si>
  <si>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</si>
  <si>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</si>
  <si>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</si>
  <si>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</si>
  <si>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</si>
  <si>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</si>
  <si>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</si>
  <si>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</si>
  <si>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</si>
  <si>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</si>
  <si>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</si>
  <si>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</si>
  <si>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</si>
  <si>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</si>
  <si>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</si>
  <si>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</si>
  <si>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</si>
  <si>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</si>
  <si>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</si>
  <si>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</si>
  <si>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</si>
  <si>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</si>
  <si>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</si>
  <si>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</si>
  <si>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</si>
  <si>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</si>
  <si>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</si>
  <si>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</si>
  <si>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</si>
  <si>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</si>
  <si>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</si>
  <si>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</si>
  <si>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</si>
  <si>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</si>
  <si>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</si>
  <si>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</si>
  <si>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</si>
  <si>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</si>
  <si>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</si>
  <si>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</si>
  <si>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</si>
  <si>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</si>
  <si>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</si>
  <si>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</si>
  <si>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</si>
  <si>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</si>
  <si>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</si>
  <si>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</si>
  <si>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</si>
  <si>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</si>
  <si>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</si>
  <si>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</si>
  <si>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</si>
  <si>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</si>
  <si>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</si>
  <si>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</si>
  <si>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</si>
  <si>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</si>
  <si>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</si>
  <si>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</si>
  <si>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</si>
  <si>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</si>
  <si>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</si>
  <si>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</si>
  <si>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</si>
  <si>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</si>
  <si>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</si>
  <si>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</si>
  <si>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</si>
  <si>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</si>
  <si>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</si>
  <si>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</si>
  <si>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</si>
  <si>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</si>
  <si>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</si>
  <si>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</si>
  <si>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</si>
  <si>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</si>
  <si>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</si>
  <si>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</si>
  <si>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</si>
  <si>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</si>
  <si>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</si>
  <si>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</si>
  <si>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</si>
  <si>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</si>
  <si>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</si>
  <si>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</si>
  <si>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</si>
  <si>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</si>
  <si>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</si>
  <si>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</si>
  <si>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</si>
  <si>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</si>
  <si>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</si>
  <si>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</si>
  <si>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</si>
  <si>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</si>
  <si>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</si>
  <si>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</si>
  <si>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</si>
  <si>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</si>
  <si>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</si>
  <si>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</si>
  <si>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</si>
  <si>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</si>
  <si>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</si>
  <si>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</si>
  <si>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</si>
  <si>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</si>
  <si>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</si>
  <si>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</si>
  <si>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</si>
  <si>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</si>
  <si>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</si>
  <si>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</si>
  <si>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</si>
  <si>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</si>
  <si>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</si>
  <si>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</si>
  <si>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</si>
  <si>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</si>
  <si>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</si>
  <si>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</si>
  <si>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</si>
  <si>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</si>
  <si>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</si>
  <si>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</si>
  <si>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</si>
  <si>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</si>
  <si>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</si>
  <si>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</si>
  <si>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</si>
  <si>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</si>
  <si>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</si>
  <si>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</si>
  <si>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</si>
  <si>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</si>
  <si>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</si>
  <si>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</si>
  <si>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</si>
  <si>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</si>
  <si>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</si>
  <si>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</si>
  <si>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</si>
  <si>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</si>
  <si>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</si>
  <si>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</si>
  <si>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</si>
  <si>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</si>
  <si>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</si>
  <si>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</si>
  <si>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</si>
  <si>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</si>
  <si>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</si>
  <si>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</si>
  <si>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</si>
  <si>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</si>
  <si>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</si>
  <si>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</si>
  <si>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</si>
  <si>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</si>
  <si>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</si>
  <si>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</si>
  <si>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</si>
  <si>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</si>
  <si>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</si>
  <si>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</si>
  <si>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</si>
  <si>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</si>
  <si>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</si>
  <si>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</si>
  <si>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</si>
  <si>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</si>
  <si>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</si>
  <si>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</si>
  <si>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</si>
  <si>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</si>
  <si>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</si>
  <si>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</si>
  <si>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</si>
  <si>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</si>
  <si>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</si>
  <si>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</si>
  <si>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</si>
  <si>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</si>
  <si>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</si>
  <si>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</si>
  <si>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</si>
  <si>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</si>
  <si>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</si>
  <si>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</si>
  <si>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</si>
  <si>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</si>
  <si>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</si>
  <si>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</si>
  <si>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</si>
  <si>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</si>
  <si>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</si>
  <si>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</si>
  <si>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</si>
  <si>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</si>
  <si>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</si>
  <si>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</si>
  <si>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</si>
  <si>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</si>
  <si>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</si>
  <si>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</si>
  <si>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</si>
  <si>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</si>
  <si>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</si>
  <si>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</si>
  <si>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</si>
  <si>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</si>
  <si>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</si>
  <si>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</si>
  <si>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</si>
  <si>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</si>
  <si>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</si>
  <si>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</si>
  <si>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</si>
  <si>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</si>
  <si>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</si>
  <si>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</si>
  <si>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</si>
  <si>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</si>
  <si>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</si>
  <si>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</si>
  <si>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</si>
  <si>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</si>
  <si>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</si>
  <si>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</si>
  <si>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</si>
  <si>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</si>
  <si>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</si>
  <si>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</si>
  <si>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</si>
  <si>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</si>
  <si>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</si>
  <si>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</si>
  <si>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</si>
  <si>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</si>
  <si>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</si>
  <si>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</si>
  <si>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</si>
  <si>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</si>
  <si>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</si>
  <si>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</si>
  <si>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</si>
  <si>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</si>
  <si>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</si>
  <si>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</si>
  <si>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</si>
  <si>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</si>
  <si>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</si>
  <si>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</si>
  <si>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</si>
  <si>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</si>
  <si>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</si>
  <si>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</si>
  <si>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</si>
  <si>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</si>
  <si>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</si>
  <si>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</si>
  <si>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</si>
  <si>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</si>
  <si>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</si>
  <si>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</si>
  <si>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</si>
  <si>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</si>
  <si>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</si>
  <si>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</si>
  <si>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</si>
  <si>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</si>
  <si>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</si>
  <si>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</si>
  <si>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</si>
  <si>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</si>
  <si>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</si>
  <si>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</si>
  <si>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</si>
  <si>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</si>
  <si>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</si>
  <si>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</si>
  <si>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</si>
  <si>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</si>
  <si>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</si>
  <si>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</si>
  <si>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</si>
  <si>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</si>
  <si>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</si>
  <si>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</si>
  <si>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</si>
  <si>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</si>
  <si>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</si>
  <si>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</si>
  <si>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</si>
  <si>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</si>
  <si>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</si>
  <si>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</si>
  <si>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</si>
  <si>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</si>
  <si>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</si>
  <si>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</si>
  <si>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</si>
  <si>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</si>
  <si>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</si>
  <si>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</si>
  <si>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</si>
  <si>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</si>
  <si>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</si>
  <si>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</si>
  <si>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</si>
  <si>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</si>
  <si>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</si>
  <si>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</si>
  <si>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</si>
  <si>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</si>
  <si>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</si>
  <si>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</si>
  <si>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</si>
  <si>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</si>
  <si>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</si>
  <si>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</si>
  <si>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</si>
  <si>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</si>
  <si>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</si>
  <si>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</si>
  <si>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</si>
  <si>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</si>
  <si>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</si>
  <si>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</si>
  <si>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</si>
  <si>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</si>
  <si>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</si>
  <si>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</si>
  <si>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</si>
  <si>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</si>
  <si>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</si>
  <si>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</si>
  <si>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</si>
  <si>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</si>
  <si>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</si>
  <si>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</si>
  <si>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</si>
  <si>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</si>
  <si>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</si>
  <si>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</si>
  <si>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</si>
  <si>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</si>
  <si>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</si>
  <si>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</si>
  <si>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</si>
  <si>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</si>
  <si>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</si>
  <si>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</si>
  <si>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</si>
  <si>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</si>
  <si>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</si>
  <si>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</si>
  <si>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</si>
  <si>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</si>
  <si>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</si>
  <si>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</si>
  <si>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</si>
  <si>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</si>
  <si>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</si>
  <si>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</si>
  <si>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</si>
  <si>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</si>
  <si>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</si>
  <si>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</si>
  <si>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</si>
  <si>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</si>
  <si>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</si>
  <si>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</si>
  <si>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</si>
  <si>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</si>
  <si>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</si>
  <si>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</si>
  <si>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</si>
  <si>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</si>
  <si>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</si>
  <si>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</si>
  <si>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</si>
  <si>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</si>
  <si>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</si>
  <si>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</si>
  <si>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</si>
  <si>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</si>
  <si>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</si>
  <si>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</si>
  <si>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</si>
  <si>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</si>
  <si>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</si>
  <si>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</si>
  <si>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</si>
  <si>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</si>
  <si>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</si>
  <si>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</si>
  <si>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</si>
  <si>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</si>
  <si>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</si>
  <si>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</si>
  <si>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</si>
  <si>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</si>
  <si>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</si>
  <si>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</si>
  <si>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</si>
  <si>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</si>
  <si>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</si>
  <si>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</si>
  <si>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</si>
  <si>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</si>
  <si>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</si>
  <si>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</si>
  <si>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</si>
  <si>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</si>
  <si>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</si>
  <si>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</si>
  <si>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</si>
  <si>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</si>
  <si>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</si>
  <si>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</si>
  <si>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</si>
  <si>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</si>
  <si>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</si>
  <si>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</si>
  <si>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</si>
  <si>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</si>
  <si>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</si>
  <si>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</si>
  <si>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</si>
  <si>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</si>
  <si>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</si>
  <si>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</si>
  <si>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</si>
  <si>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</si>
  <si>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</si>
  <si>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</si>
  <si>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</si>
  <si>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</si>
  <si>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</si>
  <si>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</si>
  <si>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</si>
  <si>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</si>
  <si>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</si>
  <si>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</si>
  <si>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</si>
  <si>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</si>
  <si>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</si>
  <si>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</si>
  <si>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</si>
  <si>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</si>
  <si>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</si>
  <si>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</si>
  <si>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</si>
  <si>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</si>
  <si>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</si>
  <si>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</si>
  <si>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</si>
  <si>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</si>
  <si>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</si>
  <si>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</si>
  <si>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</si>
  <si>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</si>
  <si>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</si>
  <si>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</si>
  <si>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</si>
  <si>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</si>
  <si>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</si>
  <si>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</si>
  <si>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</si>
  <si>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</si>
  <si>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</si>
  <si>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</si>
  <si>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</si>
  <si>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</si>
  <si>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</si>
  <si>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</si>
  <si>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</si>
  <si>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</si>
  <si>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</si>
  <si>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</si>
  <si>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</si>
  <si>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</si>
  <si>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</si>
  <si>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</si>
  <si>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</si>
  <si>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</si>
  <si>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</si>
  <si>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</si>
  <si>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</si>
  <si>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</si>
  <si>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</si>
  <si>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</si>
  <si>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</si>
  <si>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</si>
  <si>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</si>
  <si>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</si>
  <si>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</si>
  <si>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</si>
  <si>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</si>
  <si>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</si>
  <si>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</si>
  <si>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</si>
  <si>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</si>
  <si>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</si>
  <si>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</si>
  <si>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</si>
  <si>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</si>
  <si>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</si>
  <si>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</si>
  <si>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</si>
  <si>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</si>
  <si>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</si>
  <si>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</si>
  <si>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</si>
  <si>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</si>
  <si>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</si>
  <si>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</si>
  <si>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</si>
  <si>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</si>
  <si>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</si>
  <si>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</si>
  <si>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</si>
  <si>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</si>
  <si>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</si>
  <si>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</si>
  <si>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</si>
  <si>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</si>
  <si>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</si>
  <si>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</si>
  <si>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</si>
  <si>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</si>
  <si>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</si>
  <si>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</si>
  <si>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</si>
  <si>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</si>
  <si>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</si>
  <si>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</si>
  <si>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</si>
  <si>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</si>
  <si>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</si>
  <si>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</si>
  <si>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</si>
  <si>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</si>
  <si>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</si>
  <si>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</si>
  <si>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</si>
  <si>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</si>
  <si>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</si>
  <si>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</si>
  <si>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</si>
  <si>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</si>
  <si>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</si>
  <si>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</si>
  <si>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</si>
  <si>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</si>
  <si>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</si>
  <si>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</si>
  <si>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</si>
  <si>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</si>
  <si>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</si>
  <si>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</si>
  <si>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</si>
  <si>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</si>
  <si>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</si>
  <si>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</si>
  <si>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</si>
  <si>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</si>
  <si>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</si>
  <si>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</si>
  <si>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</si>
  <si>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</si>
  <si>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</si>
  <si>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</si>
  <si>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</si>
  <si>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</si>
  <si>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</si>
  <si>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</si>
  <si>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</si>
  <si>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</si>
  <si>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</si>
  <si>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</si>
  <si>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</si>
  <si>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</si>
  <si>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</si>
  <si>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</si>
  <si>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</si>
  <si>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</si>
  <si>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</si>
  <si>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</si>
  <si>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</si>
  <si>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</si>
  <si>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</si>
  <si>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</si>
  <si>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</si>
  <si>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</si>
  <si>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</si>
  <si>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</si>
  <si>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</si>
  <si>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</si>
  <si>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</si>
  <si>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</si>
  <si>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</si>
  <si>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</si>
  <si>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</si>
  <si>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</si>
  <si>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</si>
  <si>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</si>
  <si>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</si>
  <si>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</si>
  <si>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</si>
  <si>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</si>
  <si>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</si>
  <si>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</si>
  <si>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</si>
  <si>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</si>
  <si>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</si>
  <si>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</si>
  <si>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</si>
  <si>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</si>
  <si>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</si>
  <si>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</si>
  <si>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</si>
  <si>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</si>
  <si>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</si>
  <si>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</si>
  <si>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</si>
  <si>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</si>
  <si>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</si>
  <si>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</si>
  <si>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</si>
  <si>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</si>
  <si>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</si>
  <si>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</si>
  <si>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</si>
  <si>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</si>
  <si>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</si>
  <si>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</si>
  <si>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</si>
  <si>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</si>
  <si>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</si>
  <si>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</si>
  <si>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</si>
  <si>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</si>
  <si>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</si>
  <si>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</si>
  <si>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</si>
  <si>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</si>
  <si>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</si>
  <si>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</si>
  <si>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</si>
  <si>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</si>
  <si>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</si>
  <si>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</si>
  <si>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</si>
  <si>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</si>
  <si>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</si>
  <si>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</si>
  <si>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</si>
  <si>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</si>
  <si>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</si>
  <si>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</si>
  <si>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</si>
  <si>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</si>
  <si>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</si>
  <si>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</si>
  <si>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</si>
  <si>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</si>
  <si>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</si>
  <si>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</si>
  <si>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</si>
  <si>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</si>
  <si>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</si>
  <si>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</si>
  <si>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</si>
  <si>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</si>
  <si>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</si>
  <si>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</si>
  <si>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</si>
  <si>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</si>
  <si>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</si>
  <si>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</si>
  <si>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</si>
  <si>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</si>
  <si>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</si>
  <si>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</si>
  <si>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</si>
  <si>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</si>
  <si>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</si>
  <si>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</si>
  <si>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</si>
  <si>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</si>
  <si>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</si>
  <si>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</si>
  <si>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</si>
  <si>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</si>
  <si>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</si>
  <si>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</si>
  <si>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</si>
  <si>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</si>
  <si>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</si>
  <si>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</si>
  <si>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</si>
  <si>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</si>
  <si>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</si>
  <si>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</si>
  <si>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</si>
  <si>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</si>
  <si>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</si>
  <si>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</si>
  <si>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</si>
  <si>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</si>
  <si>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</si>
  <si>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</si>
  <si>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</si>
  <si>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</si>
  <si>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</si>
  <si>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</si>
  <si>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</si>
  <si>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</si>
  <si>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</si>
  <si>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</si>
  <si>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</si>
  <si>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</si>
  <si>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</si>
  <si>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</si>
  <si>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</si>
  <si>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</si>
  <si>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</si>
  <si>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</si>
  <si>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</si>
  <si>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</si>
  <si>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</si>
  <si>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</si>
  <si>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</si>
  <si>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</si>
  <si>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</si>
  <si>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</si>
  <si>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</si>
  <si>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</si>
  <si>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</si>
  <si>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</si>
  <si>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</si>
  <si>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</si>
  <si>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</si>
  <si>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</si>
  <si>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</si>
  <si>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</si>
  <si>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</si>
  <si>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</si>
  <si>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</si>
  <si>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</si>
  <si>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</si>
  <si>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</si>
  <si>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</si>
  <si>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</si>
  <si>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</si>
  <si>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</si>
  <si>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</si>
  <si>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</si>
  <si>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</si>
  <si>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</si>
  <si>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</si>
  <si>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</si>
  <si>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</si>
  <si>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</si>
  <si>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</si>
  <si>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</si>
  <si>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</si>
  <si>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</si>
  <si>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</si>
  <si>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</si>
  <si>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</si>
  <si>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</si>
  <si>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</si>
  <si>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</si>
  <si>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</si>
  <si>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</si>
  <si>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</si>
  <si>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</si>
  <si>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</si>
  <si>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</si>
  <si>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</si>
  <si>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</si>
  <si>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</si>
  <si>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</si>
  <si>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</si>
  <si>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</si>
  <si>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</si>
  <si>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</si>
  <si>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</si>
  <si>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</si>
  <si>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</si>
  <si>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</si>
  <si>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</si>
  <si>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</si>
  <si>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</si>
  <si>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</si>
  <si>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</si>
  <si>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</si>
  <si>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</si>
  <si>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</si>
  <si>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</si>
  <si>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</si>
  <si>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</si>
  <si>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</si>
  <si>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</si>
  <si>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</si>
  <si>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</si>
  <si>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</si>
  <si>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</si>
  <si>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</si>
  <si>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</si>
  <si>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</si>
  <si>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</si>
  <si>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</si>
  <si>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</si>
  <si>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</si>
  <si>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</si>
  <si>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</si>
  <si>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</si>
  <si>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</si>
  <si>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</si>
  <si>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</si>
  <si>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</si>
  <si>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</si>
  <si>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</si>
  <si>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</si>
  <si>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</si>
  <si>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</si>
  <si>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</si>
  <si>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</si>
  <si>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</si>
  <si>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</si>
  <si>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</si>
  <si>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</si>
  <si>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</si>
  <si>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</si>
  <si>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</si>
  <si>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</si>
  <si>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</si>
  <si>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</si>
  <si>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</si>
  <si>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</si>
  <si>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</si>
  <si>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</si>
  <si>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</si>
  <si>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</si>
  <si>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</si>
  <si>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</si>
  <si>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</si>
  <si>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</si>
  <si>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</si>
  <si>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</si>
  <si>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</si>
  <si>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</si>
  <si>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</si>
  <si>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</si>
  <si>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</si>
  <si>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</si>
  <si>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</si>
  <si>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</si>
  <si>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</si>
  <si>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</si>
  <si>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</si>
  <si>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</si>
  <si>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</si>
  <si>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</si>
  <si>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</si>
  <si>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</si>
  <si>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</si>
  <si>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</si>
  <si>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</si>
  <si>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</si>
  <si>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</si>
  <si>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</si>
  <si>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</si>
  <si>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</si>
  <si>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</si>
  <si>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</si>
  <si>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</si>
  <si>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</si>
  <si>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</si>
  <si>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</si>
  <si>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</si>
  <si>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</si>
  <si>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</si>
  <si>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</si>
  <si>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</si>
  <si>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</si>
  <si>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</si>
  <si>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</si>
  <si>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</si>
  <si>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</si>
  <si>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</si>
  <si>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</si>
  <si>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</si>
  <si>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</si>
  <si>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</si>
  <si>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</si>
  <si>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</si>
  <si>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</si>
  <si>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</si>
  <si>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</si>
  <si>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</si>
  <si>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</si>
  <si>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</si>
  <si>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</si>
  <si>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</si>
  <si>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</si>
  <si>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</si>
  <si>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</si>
  <si>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</si>
  <si>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</si>
  <si>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</si>
  <si>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</si>
  <si>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</si>
  <si>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</si>
  <si>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</si>
  <si>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</si>
  <si>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</si>
  <si>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</si>
  <si>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</si>
  <si>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</si>
  <si>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</si>
  <si>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</si>
  <si>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</si>
  <si>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</si>
  <si>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</si>
  <si>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</si>
  <si>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</si>
  <si>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</si>
  <si>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</si>
  <si>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</si>
  <si>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</si>
  <si>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</si>
  <si>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</si>
  <si>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</si>
  <si>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</si>
  <si>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</si>
  <si>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</si>
  <si>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</si>
  <si>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</si>
  <si>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</si>
  <si>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</si>
  <si>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</si>
  <si>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</si>
  <si>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</si>
  <si>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</si>
  <si>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</si>
  <si>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</si>
  <si>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</si>
  <si>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</si>
  <si>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</si>
  <si>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</si>
  <si>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</si>
  <si>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</si>
  <si>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</si>
  <si>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</si>
  <si>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</si>
  <si>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</si>
  <si>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</si>
  <si>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</si>
  <si>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</si>
  <si>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</si>
  <si>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</si>
  <si>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</si>
  <si>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</si>
  <si>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</si>
  <si>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</si>
  <si>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</si>
  <si>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</si>
  <si>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</si>
  <si>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</si>
  <si>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</si>
  <si>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</si>
  <si>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</si>
  <si>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</si>
  <si>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</si>
  <si>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</si>
  <si>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</si>
  <si>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</si>
  <si>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</si>
  <si>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</si>
  <si>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</si>
  <si>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</si>
  <si>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</si>
  <si>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</si>
  <si>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</si>
  <si>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</si>
  <si>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</si>
  <si>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</si>
  <si>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</si>
  <si>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</si>
  <si>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</si>
  <si>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</si>
  <si>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</si>
  <si>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</si>
  <si>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</si>
  <si>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</si>
  <si>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</si>
  <si>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</si>
  <si>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</si>
  <si>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</si>
  <si>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</si>
  <si>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</si>
  <si>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</si>
  <si>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</si>
  <si>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</si>
  <si>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</si>
  <si>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</si>
  <si>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</si>
  <si>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</si>
  <si>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</si>
  <si>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</si>
  <si>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</si>
  <si>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</si>
  <si>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</si>
  <si>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</si>
  <si>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</si>
  <si>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</si>
  <si>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</si>
  <si>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</si>
  <si>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</si>
  <si>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</si>
  <si>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</si>
  <si>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</si>
  <si>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</si>
  <si>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</si>
  <si>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</si>
  <si>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</si>
  <si>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</si>
  <si>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</si>
  <si>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</si>
  <si>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</si>
  <si>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</si>
  <si>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</si>
  <si>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</si>
  <si>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</si>
  <si>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</si>
  <si>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</si>
  <si>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</si>
  <si>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</si>
  <si>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</si>
  <si>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</si>
  <si>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</si>
  <si>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</si>
  <si>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</si>
  <si>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</si>
  <si>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</si>
  <si>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</si>
  <si>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</si>
  <si>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</si>
  <si>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</si>
  <si>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</si>
  <si>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</si>
  <si>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</si>
  <si>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</si>
  <si>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</si>
  <si>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</si>
  <si>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</si>
  <si>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</si>
  <si>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</si>
  <si>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</si>
  <si>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</si>
  <si>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</si>
  <si>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</si>
  <si>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</si>
  <si>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</si>
  <si>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</si>
  <si>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</si>
  <si>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</si>
  <si>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</si>
  <si>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</si>
  <si>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</si>
  <si>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</si>
  <si>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</si>
  <si>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</si>
  <si>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</si>
  <si>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</si>
  <si>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</si>
  <si>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</si>
  <si>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</si>
  <si>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</si>
  <si>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</si>
  <si>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</si>
  <si>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</si>
  <si>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</si>
  <si>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</si>
  <si>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</si>
  <si>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</si>
  <si>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</si>
  <si>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</si>
  <si>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</si>
  <si>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</si>
  <si>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</si>
  <si>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</si>
  <si>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</si>
  <si>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</si>
  <si>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</si>
  <si>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</si>
  <si>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</si>
  <si>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</si>
  <si>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</si>
  <si>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</si>
  <si>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</si>
  <si>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</si>
  <si>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</si>
  <si>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</si>
  <si>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</si>
  <si>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</si>
  <si>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</si>
  <si>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</si>
  <si>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</si>
  <si>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</si>
  <si>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</si>
  <si>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</si>
  <si>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</si>
  <si>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</si>
  <si>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</si>
  <si>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</si>
  <si>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</si>
  <si>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</si>
  <si>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</si>
  <si>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</si>
  <si>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</si>
  <si>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</si>
  <si>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</si>
  <si>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</si>
  <si>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</si>
  <si>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</si>
  <si>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</si>
  <si>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</si>
  <si>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</si>
  <si>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</si>
  <si>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</si>
  <si>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</si>
  <si>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</si>
  <si>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</si>
  <si>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</si>
  <si>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</si>
  <si>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</si>
  <si>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</si>
  <si>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</si>
  <si>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</si>
  <si>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</si>
  <si>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</si>
  <si>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</si>
  <si>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</si>
  <si>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</si>
  <si>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</si>
  <si>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</si>
  <si>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</si>
  <si>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</si>
  <si>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</si>
  <si>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</si>
  <si>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</si>
  <si>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</si>
  <si>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</si>
  <si>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</si>
  <si>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</si>
  <si>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</si>
  <si>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</si>
  <si>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</si>
  <si>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</si>
  <si>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</si>
  <si>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</si>
  <si>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</si>
  <si>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</si>
  <si>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</si>
  <si>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</si>
  <si>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</si>
  <si>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</si>
  <si>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</si>
  <si>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</si>
  <si>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</si>
  <si>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</si>
  <si>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</si>
  <si>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</si>
  <si>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</si>
  <si>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</si>
  <si>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</si>
  <si>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</si>
  <si>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</si>
  <si>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</si>
  <si>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</si>
  <si>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</si>
  <si>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</si>
  <si>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</si>
  <si>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</si>
  <si>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</si>
  <si>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</si>
  <si>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</si>
  <si>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</si>
  <si>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</si>
  <si>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</si>
  <si>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</si>
  <si>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</si>
  <si>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</si>
  <si>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</si>
  <si>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</si>
  <si>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</si>
  <si>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</si>
  <si>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</si>
  <si>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</si>
  <si>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</si>
  <si>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</si>
  <si>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</si>
  <si>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</si>
  <si>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</si>
  <si>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</si>
  <si>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</si>
  <si>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</si>
  <si>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</si>
  <si>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</si>
  <si>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</si>
  <si>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</si>
  <si>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</si>
  <si>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</si>
  <si>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</si>
  <si>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</si>
  <si>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</si>
  <si>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</si>
  <si>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</si>
  <si>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</si>
  <si>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</si>
  <si>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</si>
  <si>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</si>
  <si>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</si>
  <si>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</si>
  <si>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</si>
  <si>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</si>
  <si>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</si>
  <si>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</si>
  <si>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</si>
  <si>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</si>
  <si>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</si>
  <si>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</si>
  <si>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</si>
  <si>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</si>
  <si>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</si>
  <si>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</si>
  <si>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</si>
  <si>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</si>
  <si>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</si>
  <si>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</si>
  <si>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</si>
  <si>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</si>
  <si>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</si>
  <si>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</si>
  <si>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</si>
  <si>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</si>
  <si>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</si>
  <si>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</si>
  <si>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</si>
  <si>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</si>
  <si>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</si>
  <si>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</si>
  <si>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</si>
  <si>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</si>
  <si>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</si>
  <si>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</si>
  <si>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</si>
  <si>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</si>
  <si>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</si>
  <si>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</si>
  <si>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</si>
  <si>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</si>
  <si>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</si>
  <si>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</si>
  <si>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</si>
  <si>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</si>
  <si>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</si>
  <si>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</si>
  <si>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</si>
  <si>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</si>
  <si>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</si>
  <si>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</si>
  <si>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</si>
  <si>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</si>
  <si>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</si>
  <si>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</si>
  <si>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</si>
  <si>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</si>
  <si>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</si>
  <si>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</si>
  <si>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</si>
  <si>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</si>
  <si>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</si>
  <si>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</si>
  <si>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</si>
  <si>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</si>
  <si>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</si>
  <si>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</si>
  <si>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</si>
  <si>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</si>
  <si>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</si>
  <si>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</si>
  <si>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</si>
  <si>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</si>
  <si>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</si>
  <si>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</si>
  <si>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</si>
  <si>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</si>
  <si>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</si>
  <si>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</si>
  <si>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</si>
  <si>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</si>
  <si>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</si>
  <si>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</si>
  <si>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</si>
  <si>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</si>
  <si>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</si>
  <si>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</si>
  <si>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</si>
  <si>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</si>
  <si>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</si>
  <si>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</si>
  <si>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</si>
  <si>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</si>
  <si>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</si>
  <si>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</si>
  <si>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</si>
  <si>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</si>
  <si>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</si>
  <si>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</si>
  <si>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</si>
  <si>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</si>
  <si>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</si>
  <si>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</si>
  <si>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</si>
  <si>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</si>
  <si>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</si>
  <si>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</si>
  <si>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</si>
  <si>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</si>
  <si>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</si>
  <si>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</si>
  <si>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</si>
  <si>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</si>
  <si>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</si>
  <si>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</si>
  <si>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</si>
  <si>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</si>
  <si>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</si>
  <si>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</si>
  <si>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</si>
  <si>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</si>
  <si>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</si>
  <si>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</si>
  <si>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</si>
  <si>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</si>
  <si>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</si>
  <si>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</si>
  <si>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</si>
  <si>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</si>
  <si>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</si>
  <si>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</si>
  <si>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</si>
  <si>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</si>
  <si>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</si>
  <si>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</si>
  <si>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</si>
  <si>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</si>
  <si>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</si>
  <si>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</si>
  <si>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</si>
  <si>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</si>
  <si>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</si>
  <si>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</si>
  <si>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</si>
  <si>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</si>
  <si>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</si>
  <si>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</si>
  <si>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</si>
  <si>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</si>
  <si>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</si>
  <si>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</si>
  <si>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</si>
  <si>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</si>
  <si>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</si>
  <si>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</si>
  <si>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</si>
  <si>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</si>
  <si>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</si>
  <si>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</si>
  <si>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</si>
  <si>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</si>
  <si>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</si>
  <si>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</si>
  <si>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</si>
  <si>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</si>
  <si>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</si>
  <si>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</si>
  <si>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</si>
  <si>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</si>
  <si>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</si>
  <si>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</si>
  <si>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</si>
  <si>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</si>
  <si>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</si>
  <si>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</si>
  <si>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</si>
  <si>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</si>
  <si>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</si>
  <si>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</si>
  <si>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</si>
  <si>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</si>
  <si>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</si>
  <si>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</si>
  <si>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</si>
  <si>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</si>
  <si>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</si>
  <si>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</si>
  <si>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</si>
  <si>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</si>
  <si>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</si>
  <si>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</si>
  <si>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</si>
  <si>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</si>
  <si>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</si>
  <si>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</si>
  <si>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</si>
  <si>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</si>
  <si>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</si>
  <si>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</si>
  <si>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</si>
  <si>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</si>
  <si>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</si>
  <si>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</si>
  <si>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</si>
  <si>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</si>
  <si>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</si>
  <si>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</si>
  <si>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</si>
  <si>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</si>
  <si>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</si>
  <si>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</si>
  <si>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</si>
  <si>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</si>
  <si>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</si>
  <si>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</si>
  <si>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</si>
  <si>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</si>
  <si>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</si>
  <si>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</si>
  <si>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</si>
  <si>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</si>
  <si>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</si>
  <si>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</si>
  <si>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</si>
  <si>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</si>
  <si>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</si>
  <si>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</si>
  <si>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</si>
  <si>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</si>
  <si>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</si>
  <si>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</si>
  <si>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</si>
  <si>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</si>
  <si>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</si>
  <si>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</si>
  <si>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</si>
  <si>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</si>
  <si>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</si>
  <si>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</si>
  <si>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</si>
  <si>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</si>
  <si>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</si>
  <si>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</si>
  <si>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</si>
  <si>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</si>
  <si>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</si>
  <si>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</si>
  <si>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</si>
  <si>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</si>
  <si>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</si>
  <si>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</si>
  <si>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</si>
  <si>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</si>
  <si>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</si>
  <si>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</si>
  <si>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</si>
  <si>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</si>
  <si>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</si>
  <si>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</si>
  <si>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</si>
  <si>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</si>
  <si>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</si>
  <si>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</si>
  <si>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</si>
  <si>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</si>
  <si>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</si>
  <si>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</si>
  <si>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</si>
  <si>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</si>
  <si>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</si>
  <si>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</si>
  <si>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</si>
  <si>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</si>
  <si>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</si>
  <si>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</si>
  <si>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</si>
  <si>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</si>
  <si>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</si>
  <si>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</si>
  <si>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</si>
  <si>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</si>
  <si>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</si>
  <si>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</si>
  <si>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</si>
  <si>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</si>
  <si>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</si>
  <si>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</si>
  <si>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</si>
  <si>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</si>
  <si>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</si>
  <si>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</si>
  <si>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</si>
  <si>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</si>
  <si>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</si>
  <si>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</si>
  <si>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</si>
  <si>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</si>
  <si>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</si>
  <si>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</si>
  <si>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</si>
  <si>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</si>
  <si>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</si>
  <si>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</si>
  <si>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</si>
  <si>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</si>
  <si>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</si>
  <si>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</si>
  <si>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</si>
  <si>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</si>
  <si>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</si>
  <si>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</si>
  <si>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</si>
  <si>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</si>
  <si>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</si>
  <si>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</si>
  <si>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</si>
  <si>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</si>
  <si>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</si>
  <si>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</si>
  <si>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</si>
  <si>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</si>
  <si>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</si>
  <si>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</si>
  <si>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</si>
  <si>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</si>
  <si>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</si>
  <si>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</si>
  <si>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</si>
  <si>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</si>
  <si>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</si>
  <si>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</si>
  <si>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</si>
  <si>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</si>
  <si>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</si>
  <si>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</si>
  <si>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</si>
  <si>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</si>
  <si>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</si>
  <si>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</si>
  <si>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</si>
  <si>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</si>
  <si>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</si>
  <si>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</si>
  <si>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</si>
  <si>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</si>
  <si>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</si>
  <si>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</si>
  <si>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</si>
  <si>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</si>
  <si>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</si>
  <si>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</si>
  <si>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</si>
  <si>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</si>
  <si>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</si>
  <si>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</si>
  <si>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</si>
  <si>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</si>
  <si>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</si>
  <si>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</si>
  <si>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</si>
  <si>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</si>
  <si>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</si>
  <si>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</si>
  <si>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</si>
  <si>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</si>
  <si>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</si>
  <si>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</si>
  <si>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</si>
  <si>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</si>
  <si>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</si>
  <si>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</si>
  <si>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</si>
  <si>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</si>
  <si>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</si>
  <si>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</si>
  <si>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</si>
  <si>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</si>
  <si>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</si>
  <si>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</si>
  <si>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</si>
  <si>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</si>
  <si>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</si>
  <si>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</si>
  <si>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</si>
  <si>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</si>
  <si>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</si>
  <si>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</si>
  <si>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</si>
  <si>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</si>
  <si>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</si>
  <si>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</si>
  <si>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</si>
  <si>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</si>
  <si>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</si>
  <si>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</si>
  <si>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</si>
  <si>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</si>
  <si>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</si>
  <si>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</si>
  <si>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</si>
  <si>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</si>
  <si>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</si>
  <si>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</si>
  <si>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</si>
  <si>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</si>
  <si>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</si>
  <si>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</si>
  <si>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</si>
  <si>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</si>
  <si>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</si>
  <si>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</si>
  <si>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</si>
  <si>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</si>
  <si>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</si>
  <si>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</si>
  <si>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</si>
  <si>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</si>
  <si>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</si>
  <si>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</si>
  <si>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</si>
  <si>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</si>
  <si>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</si>
  <si>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</si>
  <si>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</si>
  <si>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</si>
  <si>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</si>
  <si>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</si>
  <si>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</si>
  <si>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</si>
  <si>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</si>
  <si>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</si>
  <si>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</si>
  <si>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</si>
  <si>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</si>
  <si>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</si>
  <si>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</si>
  <si>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</si>
  <si>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</si>
  <si>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</si>
  <si>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</si>
  <si>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</si>
  <si>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</si>
  <si>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</si>
  <si>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</si>
  <si>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</si>
  <si>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</si>
  <si>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</si>
  <si>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</si>
  <si>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</si>
  <si>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</si>
  <si>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</si>
  <si>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</si>
  <si>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</si>
  <si>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</si>
  <si>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</si>
  <si>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</si>
  <si>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</si>
  <si>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</si>
  <si>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</si>
  <si>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</si>
  <si>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</si>
  <si>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</si>
  <si>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</si>
  <si>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</si>
  <si>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</si>
  <si>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</si>
  <si>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</si>
  <si>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</si>
  <si>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</si>
  <si>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</si>
  <si>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</si>
  <si>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</si>
  <si>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</si>
  <si>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</si>
  <si>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</si>
  <si>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</si>
  <si>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</si>
  <si>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</si>
  <si>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</si>
  <si>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</si>
  <si>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</si>
  <si>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</si>
  <si>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</si>
  <si>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</si>
  <si>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</si>
  <si>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</si>
  <si>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</si>
  <si>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</si>
  <si>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</si>
  <si>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</si>
  <si>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</si>
  <si>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</si>
  <si>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</si>
  <si>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</si>
  <si>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</si>
  <si>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</si>
  <si>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</si>
  <si>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</si>
  <si>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</si>
  <si>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</si>
  <si>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</si>
  <si>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</si>
  <si>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</si>
  <si>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</si>
  <si>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</si>
  <si>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</si>
  <si>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</si>
  <si>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</si>
  <si>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</si>
  <si>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</si>
  <si>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</si>
  <si>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</si>
  <si>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</si>
  <si>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</si>
  <si>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</si>
  <si>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</si>
  <si>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</si>
  <si>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</si>
  <si>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</si>
  <si>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</si>
  <si>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</si>
  <si>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</si>
  <si>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</si>
  <si>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</si>
  <si>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</si>
  <si>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</si>
  <si>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</si>
  <si>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</si>
  <si>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</si>
  <si>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</si>
  <si>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</si>
  <si>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</si>
  <si>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</si>
  <si>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</si>
  <si>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</si>
  <si>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</si>
  <si>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</si>
  <si>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</si>
  <si>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</si>
  <si>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</si>
  <si>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</si>
  <si>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</si>
  <si>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</si>
  <si>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</si>
  <si>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</si>
  <si>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</si>
  <si>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</si>
  <si>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</si>
  <si>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</si>
  <si>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</si>
  <si>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</si>
  <si>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</si>
  <si>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</si>
  <si>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</si>
  <si>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</si>
  <si>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</si>
  <si>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</si>
  <si>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</si>
  <si>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</si>
  <si>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</si>
  <si>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</si>
  <si>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</si>
  <si>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</si>
  <si>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</si>
  <si>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</si>
  <si>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</si>
  <si>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</si>
  <si>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</si>
  <si>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</si>
  <si>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</si>
  <si>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</si>
  <si>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</si>
  <si>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</si>
  <si>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</si>
  <si>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</si>
  <si>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</si>
  <si>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</si>
  <si>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</si>
  <si>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</si>
  <si>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</si>
  <si>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</si>
  <si>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</si>
  <si>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</si>
  <si>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</si>
  <si>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</si>
  <si>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</si>
  <si>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</si>
  <si>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</si>
  <si>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</si>
  <si>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</si>
  <si>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</si>
  <si>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</si>
  <si>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</si>
  <si>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</si>
  <si>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</si>
  <si>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</si>
  <si>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</si>
  <si>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</si>
  <si>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</si>
  <si>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</si>
  <si>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</si>
  <si>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</si>
  <si>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</si>
  <si>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</si>
  <si>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</si>
  <si>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</si>
  <si>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</si>
  <si>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</si>
  <si>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</si>
  <si>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</si>
  <si>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</si>
  <si>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</si>
  <si>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</si>
  <si>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</si>
  <si>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</si>
  <si>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</si>
  <si>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</si>
  <si>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</si>
  <si>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</si>
  <si>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</si>
  <si>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</si>
  <si>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</si>
  <si>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</si>
  <si>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</si>
  <si>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</si>
  <si>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</si>
  <si>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</si>
  <si>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</si>
  <si>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</si>
  <si>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</si>
  <si>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</si>
  <si>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</si>
  <si>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</si>
  <si>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</si>
  <si>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</si>
  <si>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</si>
  <si>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</si>
  <si>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</si>
  <si>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</si>
  <si>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</si>
  <si>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</si>
  <si>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</si>
  <si>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</si>
  <si>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</si>
  <si>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</si>
  <si>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</si>
  <si>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</si>
  <si>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</si>
  <si>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</si>
  <si>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</si>
  <si>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</si>
  <si>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</si>
  <si>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</si>
  <si>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</si>
  <si>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</si>
  <si>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</si>
  <si>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</si>
  <si>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</si>
  <si>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</si>
  <si>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</si>
  <si>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</si>
  <si>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</si>
  <si>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</si>
  <si>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</si>
  <si>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</si>
  <si>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</si>
  <si>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</si>
  <si>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</si>
  <si>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</si>
  <si>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</si>
  <si>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</si>
  <si>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</si>
  <si>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</si>
  <si>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</si>
  <si>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</si>
  <si>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</si>
  <si>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</si>
  <si>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</si>
  <si>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</si>
  <si>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</si>
  <si>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</si>
  <si>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</si>
  <si>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</si>
  <si>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</si>
  <si>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</si>
  <si>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</si>
  <si>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</si>
  <si>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</si>
  <si>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</si>
  <si>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</si>
  <si>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</si>
  <si>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</si>
  <si>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</si>
  <si>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</si>
  <si>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</si>
  <si>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</si>
  <si>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</si>
  <si>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</si>
  <si>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</si>
  <si>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</si>
  <si>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</si>
  <si>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</si>
  <si>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</si>
  <si>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</si>
  <si>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</si>
  <si>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</si>
  <si>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</si>
  <si>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</si>
  <si>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</si>
  <si>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</si>
  <si>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</si>
  <si>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</si>
  <si>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</si>
  <si>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</si>
  <si>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</si>
  <si>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</si>
  <si>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</si>
  <si>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</si>
  <si>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</si>
  <si>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</si>
  <si>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</si>
  <si>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</si>
  <si>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</si>
  <si>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</si>
  <si>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</si>
  <si>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</si>
  <si>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</si>
  <si>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</si>
  <si>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</si>
  <si>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</si>
  <si>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</si>
  <si>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</si>
  <si>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</si>
  <si>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</si>
  <si>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</si>
  <si>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</si>
  <si>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</si>
  <si>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</si>
  <si>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</si>
  <si>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</si>
  <si>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</si>
  <si>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</si>
  <si>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</si>
  <si>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</si>
  <si>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</si>
  <si>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</si>
  <si>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</si>
  <si>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</si>
  <si>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</si>
  <si>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</si>
  <si>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</si>
  <si>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</si>
  <si>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</si>
  <si>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</si>
  <si>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</si>
  <si>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</si>
  <si>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</si>
  <si>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</si>
  <si>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</si>
  <si>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</si>
  <si>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</si>
  <si>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</si>
  <si>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</si>
  <si>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</si>
  <si>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</si>
  <si>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</si>
  <si>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</si>
  <si>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</si>
  <si>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</si>
  <si>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</si>
  <si>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</si>
  <si>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</si>
  <si>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</si>
  <si>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</si>
  <si>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</si>
  <si>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</si>
  <si>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</si>
  <si>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</si>
  <si>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</si>
  <si>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</si>
  <si>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</si>
  <si>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</si>
  <si>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</si>
  <si>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</si>
  <si>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</si>
  <si>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</si>
  <si>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</si>
  <si>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</si>
  <si>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</si>
  <si>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</si>
  <si>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</si>
  <si>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</si>
  <si>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</si>
  <si>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</si>
  <si>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</si>
  <si>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</si>
  <si>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</si>
  <si>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</si>
  <si>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</si>
  <si>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</si>
  <si>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</si>
  <si>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</si>
  <si>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</si>
  <si>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</si>
  <si>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</si>
  <si>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</si>
  <si>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</si>
  <si>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</si>
  <si>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</si>
  <si>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</si>
  <si>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</si>
  <si>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</si>
  <si>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</si>
  <si>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</si>
  <si>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</si>
  <si>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</si>
  <si>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</si>
  <si>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</si>
  <si>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</si>
  <si>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</si>
  <si>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</si>
  <si>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</si>
  <si>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</si>
  <si>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</si>
  <si>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</si>
  <si>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</si>
  <si>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</si>
  <si>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</si>
  <si>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</si>
  <si>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</si>
  <si>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</si>
  <si>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</si>
  <si>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</si>
  <si>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</si>
  <si>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</si>
  <si>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</si>
  <si>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</si>
  <si>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</si>
  <si>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</si>
  <si>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</si>
  <si>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</si>
  <si>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</si>
  <si>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</si>
  <si>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</si>
  <si>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</si>
  <si>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</si>
  <si>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</si>
  <si>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</si>
  <si>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</si>
  <si>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</si>
  <si>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</si>
  <si>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</si>
  <si>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</si>
  <si>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</si>
  <si>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</si>
  <si>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</si>
  <si>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</si>
  <si>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</si>
  <si>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</si>
  <si>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</si>
  <si>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</si>
  <si>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</si>
  <si>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</si>
  <si>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</si>
  <si>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</si>
  <si>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</si>
  <si>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</si>
  <si>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</si>
  <si>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</si>
  <si>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</si>
  <si>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</si>
  <si>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</si>
  <si>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</si>
  <si>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</si>
  <si>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</si>
  <si>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</si>
  <si>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</si>
  <si>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</si>
  <si>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</si>
  <si>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</si>
  <si>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</si>
  <si>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</si>
  <si>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</si>
  <si>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</si>
  <si>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</si>
  <si>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</si>
  <si>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</si>
  <si>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</si>
  <si>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</si>
  <si>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</si>
  <si>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</si>
  <si>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</si>
  <si>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</si>
  <si>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</si>
  <si>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</si>
  <si>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</si>
  <si>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</si>
  <si>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</si>
  <si>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</si>
  <si>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</si>
  <si>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</si>
  <si>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</si>
  <si>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</si>
  <si>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</si>
  <si>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</si>
  <si>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</si>
  <si>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</si>
  <si>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</si>
  <si>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</si>
  <si>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</si>
  <si>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</si>
  <si>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</si>
  <si>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</si>
  <si>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</si>
  <si>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</si>
  <si>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</si>
  <si>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</si>
  <si>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</si>
  <si>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</si>
  <si>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</si>
  <si>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</si>
  <si>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</si>
  <si>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</si>
  <si>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</si>
  <si>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</si>
  <si>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</si>
  <si>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</si>
  <si>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</si>
  <si>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</si>
  <si>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</si>
  <si>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</si>
  <si>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</si>
  <si>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</si>
  <si>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</si>
  <si>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</si>
  <si>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</si>
  <si>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</si>
  <si>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</si>
  <si>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</si>
  <si>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</si>
  <si>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</si>
  <si>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</si>
  <si>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</si>
  <si>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</si>
  <si>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</si>
  <si>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</si>
  <si>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</si>
  <si>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</si>
  <si>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</si>
  <si>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</si>
  <si>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</si>
  <si>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</si>
  <si>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</si>
  <si>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</si>
  <si>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</si>
  <si>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</si>
  <si>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</si>
  <si>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</si>
  <si>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</si>
  <si>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</si>
  <si>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</si>
  <si>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</si>
  <si>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</si>
  <si>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</si>
  <si>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</si>
  <si>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</si>
  <si>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</si>
  <si>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</si>
  <si>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</si>
  <si>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</si>
  <si>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</si>
  <si>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</si>
  <si>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</si>
  <si>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</si>
  <si>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</si>
  <si>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</si>
  <si>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</si>
  <si>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</si>
  <si>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</si>
  <si>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</si>
  <si>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</si>
  <si>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</si>
  <si>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</si>
  <si>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</si>
  <si>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</si>
  <si>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</si>
  <si>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</si>
  <si>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</si>
  <si>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</si>
  <si>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</si>
  <si>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</si>
  <si>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</si>
  <si>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</si>
  <si>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</si>
  <si>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</si>
  <si>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</si>
  <si>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</si>
  <si>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</si>
  <si>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</si>
  <si>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</si>
  <si>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</si>
  <si>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</si>
  <si>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</si>
  <si>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</si>
  <si>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</si>
  <si>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</si>
  <si>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</si>
  <si>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</si>
  <si>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</si>
  <si>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</si>
  <si>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</si>
  <si>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</si>
  <si>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</si>
  <si>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</si>
  <si>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</si>
  <si>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</si>
  <si>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</si>
  <si>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</si>
  <si>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</si>
  <si>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</si>
  <si>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</si>
  <si>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</si>
  <si>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</si>
  <si>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</si>
  <si>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</si>
  <si>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</si>
  <si>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</si>
  <si>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</si>
  <si>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</si>
  <si>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</si>
  <si>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</si>
  <si>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</si>
  <si>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</si>
  <si>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</si>
  <si>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</si>
  <si>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</si>
  <si>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</si>
  <si>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</si>
  <si>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</si>
  <si>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</si>
  <si>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</si>
  <si>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</si>
  <si>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</si>
  <si>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</si>
  <si>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</si>
  <si>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</si>
  <si>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</si>
  <si>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</si>
  <si>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</si>
  <si>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</si>
  <si>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</si>
  <si>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</si>
  <si>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</si>
  <si>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</si>
  <si>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</si>
  <si>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</si>
  <si>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</si>
  <si>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</si>
  <si>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</si>
  <si>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</si>
  <si>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</si>
  <si>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</si>
  <si>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</si>
  <si>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</si>
  <si>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</si>
  <si>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</si>
  <si>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</si>
  <si>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</si>
  <si>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</si>
  <si>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</si>
  <si>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</si>
  <si>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</si>
  <si>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</si>
  <si>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</si>
  <si>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</si>
  <si>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</si>
  <si>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</si>
  <si>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</si>
  <si>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</si>
  <si>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</si>
  <si>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</si>
  <si>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</si>
  <si>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</si>
  <si>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</si>
  <si>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</si>
  <si>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</si>
  <si>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</si>
  <si>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</si>
  <si>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</si>
  <si>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</si>
  <si>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</si>
  <si>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</si>
  <si>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</si>
  <si>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</si>
  <si>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</si>
  <si>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</si>
  <si>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</si>
  <si>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</si>
  <si>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</si>
  <si>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</si>
  <si>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</si>
  <si>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</si>
  <si>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</si>
  <si>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</si>
  <si>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</si>
  <si>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</si>
  <si>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</si>
  <si>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</si>
  <si>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</si>
  <si>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</si>
  <si>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</si>
  <si>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</si>
  <si>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</si>
  <si>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</si>
  <si>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</si>
  <si>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</si>
  <si>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</si>
  <si>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</si>
  <si>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</si>
  <si>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</si>
  <si>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</si>
  <si>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</si>
  <si>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</si>
  <si>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</si>
  <si>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</si>
  <si>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</si>
  <si>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</si>
  <si>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</si>
  <si>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</si>
  <si>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</si>
  <si>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</si>
  <si>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</si>
  <si>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</si>
  <si>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</si>
  <si>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</si>
  <si>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</si>
  <si>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</si>
  <si>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</si>
  <si>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</si>
  <si>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</si>
  <si>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</si>
  <si>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</si>
  <si>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</si>
  <si>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</si>
  <si>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</si>
  <si>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</si>
  <si>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</si>
  <si>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</si>
  <si>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</si>
  <si>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</si>
  <si>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</si>
  <si>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</si>
  <si>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</si>
  <si>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</si>
  <si>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</si>
  <si>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</si>
  <si>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</si>
  <si>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</si>
  <si>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</si>
  <si>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</si>
  <si>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</si>
  <si>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</si>
  <si>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</si>
  <si>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</si>
  <si>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</si>
  <si>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</si>
  <si>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</si>
  <si>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</si>
  <si>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</si>
  <si>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</si>
  <si>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</si>
  <si>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</si>
  <si>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</si>
  <si>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</si>
  <si>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</si>
  <si>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</si>
  <si>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</si>
  <si>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</si>
  <si>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</si>
  <si>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</si>
  <si>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</si>
  <si>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</si>
  <si>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</si>
  <si>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</si>
  <si>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</si>
  <si>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</si>
  <si>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</si>
  <si>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</si>
  <si>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</si>
  <si>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</si>
  <si>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</si>
  <si>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</si>
  <si>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</si>
  <si>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</si>
  <si>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</si>
  <si>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</si>
  <si>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</si>
  <si>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</si>
  <si>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</si>
  <si>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</si>
  <si>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</si>
  <si>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</si>
  <si>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</si>
  <si>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</si>
  <si>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</si>
  <si>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</si>
  <si>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</si>
  <si>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</si>
  <si>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</si>
  <si>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</si>
  <si>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</si>
  <si>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</si>
  <si>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</si>
  <si>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</si>
  <si>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</si>
  <si>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</si>
  <si>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</si>
  <si>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</si>
  <si>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</si>
  <si>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</si>
  <si>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</si>
  <si>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</si>
  <si>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</si>
  <si>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</si>
  <si>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</si>
  <si>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</si>
  <si>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</si>
  <si>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</si>
  <si>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</si>
  <si>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</si>
  <si>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</si>
  <si>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</si>
  <si>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</si>
  <si>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</si>
  <si>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</si>
  <si>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</si>
  <si>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</si>
  <si>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</si>
  <si>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</si>
  <si>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</si>
  <si>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</si>
  <si>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</si>
  <si>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</si>
  <si>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</si>
  <si>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</si>
  <si>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</si>
  <si>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</si>
  <si>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</si>
  <si>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</si>
  <si>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</si>
  <si>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</si>
  <si>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</si>
  <si>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</si>
  <si>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</si>
  <si>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</si>
  <si>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</si>
  <si>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</si>
  <si>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</si>
  <si>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</si>
  <si>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</si>
  <si>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</si>
  <si>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</si>
  <si>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</si>
  <si>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</si>
  <si>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</si>
  <si>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</si>
  <si>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</si>
  <si>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</si>
  <si>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</si>
  <si>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</si>
  <si>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</si>
  <si>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</si>
  <si>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</si>
  <si>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</si>
  <si>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</si>
  <si>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</si>
  <si>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</si>
  <si>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</si>
  <si>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</si>
  <si>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</si>
  <si>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</si>
  <si>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</si>
  <si>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</si>
  <si>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</si>
  <si>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</si>
  <si>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</si>
  <si>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</si>
  <si>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</si>
  <si>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</si>
  <si>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</si>
  <si>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</si>
  <si>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</si>
  <si>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</si>
  <si>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</si>
  <si>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</si>
  <si>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</si>
  <si>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</si>
  <si>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</si>
  <si>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</si>
  <si>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</si>
  <si>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</si>
  <si>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</si>
  <si>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</si>
  <si>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</si>
  <si>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</si>
  <si>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</si>
  <si>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</si>
  <si>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</si>
  <si>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</si>
  <si>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</si>
  <si>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</si>
  <si>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</si>
  <si>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</si>
  <si>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</si>
  <si>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</si>
  <si>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</si>
  <si>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</si>
  <si>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</si>
  <si>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</si>
  <si>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</si>
  <si>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</si>
  <si>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</si>
  <si>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</si>
  <si>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</si>
  <si>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</si>
  <si>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</si>
  <si>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</si>
  <si>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</si>
  <si>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</si>
  <si>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</si>
  <si>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</si>
  <si>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</si>
  <si>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</si>
  <si>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</si>
  <si>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</si>
  <si>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</si>
  <si>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</si>
  <si>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</si>
  <si>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</si>
  <si>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</si>
  <si>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</si>
  <si>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</si>
  <si>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</si>
  <si>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</si>
  <si>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</si>
  <si>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</si>
  <si>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</si>
  <si>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</si>
  <si>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</si>
  <si>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</si>
  <si>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</si>
  <si>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</si>
  <si>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</si>
  <si>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</si>
  <si>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</si>
  <si>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</si>
  <si>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</si>
  <si>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</si>
  <si>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</si>
  <si>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</si>
  <si>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</si>
  <si>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</si>
  <si>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</si>
  <si>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</si>
  <si>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</si>
  <si>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</si>
  <si>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</si>
  <si>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</si>
  <si>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</si>
  <si>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</si>
  <si>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</si>
  <si>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</si>
  <si>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</si>
  <si>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</si>
  <si>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</si>
  <si>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</si>
  <si>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</si>
  <si>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</si>
  <si>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</si>
  <si>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</si>
  <si>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</si>
  <si>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</si>
  <si>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</si>
  <si>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</si>
  <si>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</si>
  <si>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</si>
  <si>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</si>
  <si>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</si>
  <si>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</si>
  <si>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</si>
  <si>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</si>
  <si>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</si>
  <si>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</si>
  <si>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</si>
  <si>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</si>
  <si>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</si>
  <si>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</si>
  <si>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</si>
  <si>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</si>
  <si>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</si>
  <si>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</si>
  <si>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</si>
  <si>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</si>
  <si>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</si>
  <si>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</si>
  <si>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</si>
  <si>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</si>
  <si>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</si>
  <si>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</si>
  <si>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</si>
  <si>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</si>
  <si>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</si>
  <si>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</si>
  <si>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</si>
  <si>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</si>
  <si>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</si>
  <si>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</si>
  <si>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</si>
  <si>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</si>
  <si>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</si>
  <si>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</si>
  <si>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</si>
  <si>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</si>
  <si>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</si>
  <si>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</si>
  <si>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</si>
  <si>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</si>
  <si>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</si>
  <si>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</si>
  <si>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</si>
  <si>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</si>
  <si>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</si>
  <si>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</si>
  <si>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</si>
  <si>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</si>
  <si>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</si>
  <si>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</si>
  <si>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</si>
  <si>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</si>
  <si>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</si>
  <si>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</si>
  <si>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</si>
  <si>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</si>
  <si>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</si>
  <si>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</si>
  <si>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</si>
  <si>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</si>
  <si>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</si>
  <si>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</si>
  <si>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</si>
  <si>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</si>
  <si>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</si>
  <si>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</si>
  <si>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</si>
  <si>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</si>
  <si>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</si>
  <si>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</si>
  <si>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</si>
  <si>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</si>
  <si>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</si>
  <si>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</si>
  <si>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</si>
  <si>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</si>
  <si>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</si>
  <si>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</si>
  <si>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</si>
  <si>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</si>
  <si>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</si>
  <si>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</si>
  <si>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</si>
  <si>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</si>
  <si>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</si>
  <si>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</si>
  <si>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</si>
  <si>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</si>
  <si>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</si>
  <si>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</si>
  <si>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</si>
  <si>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</si>
  <si>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</si>
  <si>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</si>
  <si>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</si>
  <si>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</si>
  <si>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</si>
  <si>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</si>
  <si>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</si>
  <si>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</si>
  <si>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</si>
  <si>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</si>
  <si>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</si>
  <si>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</si>
  <si>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</si>
  <si>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</si>
  <si>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</si>
  <si>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</si>
  <si>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</si>
  <si>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</si>
  <si>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</si>
  <si>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</si>
  <si>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</si>
  <si>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</si>
  <si>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</si>
  <si>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</si>
  <si>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</si>
  <si>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</si>
  <si>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</si>
  <si>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</si>
  <si>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</si>
  <si>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</si>
  <si>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</si>
  <si>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</si>
  <si>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</si>
  <si>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</si>
  <si>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</si>
  <si>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</si>
  <si>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</si>
  <si>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</si>
  <si>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</si>
  <si>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</si>
  <si>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</si>
  <si>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</si>
  <si>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</si>
  <si>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</si>
  <si>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</si>
  <si>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</si>
  <si>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</si>
  <si>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</si>
  <si>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</si>
  <si>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</si>
  <si>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</si>
  <si>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</si>
  <si>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</si>
  <si>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</si>
  <si>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</si>
  <si>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</si>
  <si>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</si>
  <si>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</si>
  <si>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</si>
  <si>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</si>
  <si>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</si>
  <si>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</si>
  <si>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</si>
  <si>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</si>
  <si>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</si>
  <si>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</si>
  <si>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</si>
  <si>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</si>
  <si>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</si>
  <si>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</si>
  <si>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</si>
  <si>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</si>
  <si>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</si>
  <si>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</si>
  <si>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</si>
  <si>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</si>
  <si>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</si>
  <si>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</si>
  <si>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</si>
  <si>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</si>
  <si>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</si>
  <si>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</si>
  <si>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</si>
  <si>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</si>
  <si>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</si>
  <si>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</si>
  <si>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</si>
  <si>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</si>
  <si>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</si>
  <si>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</si>
  <si>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</si>
  <si>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</si>
  <si>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</si>
  <si>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</si>
  <si>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</si>
  <si>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</si>
  <si>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</si>
  <si>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</si>
  <si>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</si>
  <si>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</si>
  <si>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</si>
  <si>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</si>
  <si>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</si>
  <si>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</si>
  <si>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</si>
  <si>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</si>
  <si>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</si>
  <si>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</si>
  <si>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</si>
  <si>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</si>
  <si>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</si>
  <si>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</si>
  <si>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</si>
  <si>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</si>
  <si>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</si>
  <si>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</si>
  <si>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</si>
  <si>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</si>
  <si>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</si>
  <si>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</si>
  <si>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</si>
  <si>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</si>
  <si>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</si>
  <si>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</si>
  <si>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</si>
  <si>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</si>
  <si>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</si>
  <si>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</si>
  <si>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</si>
  <si>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</si>
  <si>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</si>
  <si>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</si>
  <si>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</si>
  <si>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</si>
  <si>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</si>
  <si>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</si>
  <si>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</si>
  <si>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</si>
  <si>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</si>
  <si>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</si>
  <si>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</si>
  <si>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</si>
  <si>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</si>
  <si>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</si>
  <si>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</si>
  <si>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</si>
  <si>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</si>
  <si>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</si>
  <si>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</si>
  <si>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</si>
  <si>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</si>
  <si>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</si>
  <si>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</si>
  <si>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</si>
  <si>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</si>
  <si>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</si>
  <si>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</si>
  <si>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</si>
  <si>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</si>
  <si>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</si>
  <si>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</si>
  <si>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</si>
  <si>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</si>
  <si>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</si>
  <si>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</si>
  <si>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</si>
  <si>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</si>
  <si>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</si>
  <si>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</si>
  <si>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</si>
  <si>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</si>
  <si>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</si>
  <si>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</si>
  <si>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</si>
  <si>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</si>
  <si>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</si>
  <si>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</si>
  <si>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</si>
  <si>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</si>
  <si>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</si>
  <si>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</si>
  <si>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</si>
  <si>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</si>
  <si>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</si>
  <si>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</si>
  <si>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</si>
  <si>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</si>
  <si>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</si>
  <si>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</si>
  <si>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</si>
  <si>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</si>
  <si>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</si>
  <si>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</si>
  <si>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</si>
  <si>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</si>
  <si>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</si>
  <si>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</si>
  <si>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</si>
  <si>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</si>
  <si>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</si>
  <si>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</si>
  <si>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</si>
  <si>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</si>
  <si>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</si>
  <si>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</si>
  <si>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</si>
  <si>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</si>
  <si>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</si>
  <si>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</si>
  <si>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</si>
  <si>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</si>
  <si>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</si>
  <si>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</si>
  <si>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</si>
  <si>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</si>
  <si>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</si>
  <si>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</si>
  <si>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</si>
  <si>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</si>
  <si>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</si>
  <si>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</si>
  <si>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</si>
  <si>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</si>
  <si>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</si>
  <si>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</si>
  <si>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</si>
  <si>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</si>
  <si>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</si>
  <si>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</si>
  <si>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</si>
  <si>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</si>
  <si>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</si>
  <si>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</si>
  <si>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</si>
  <si>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</si>
  <si>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</si>
  <si>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</si>
  <si>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</si>
  <si>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</si>
  <si>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</si>
  <si>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</si>
  <si>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</si>
  <si>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</si>
  <si>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</si>
  <si>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</si>
  <si>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</si>
  <si>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</si>
  <si>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</si>
  <si>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</si>
  <si>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</si>
  <si>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</si>
  <si>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</si>
  <si>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</si>
  <si>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</si>
  <si>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</si>
  <si>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</si>
  <si>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</si>
  <si>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</si>
  <si>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</si>
  <si>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</si>
  <si>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</si>
  <si>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</si>
  <si>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</si>
  <si>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</si>
  <si>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</si>
  <si>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</si>
  <si>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</si>
  <si>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</si>
  <si>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</si>
  <si>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</si>
  <si>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</si>
  <si>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</si>
  <si>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</si>
  <si>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</si>
  <si>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</si>
  <si>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</si>
  <si>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</si>
  <si>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</si>
  <si>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</si>
  <si>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</si>
  <si>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</si>
  <si>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</si>
  <si>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</si>
  <si>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</si>
  <si>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</si>
  <si>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</si>
  <si>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</si>
  <si>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</si>
  <si>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</si>
  <si>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</si>
  <si>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</si>
  <si>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</si>
  <si>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</si>
  <si>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</si>
  <si>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</si>
  <si>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</si>
  <si>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</si>
  <si>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</si>
  <si>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通路</t>
  </si>
  <si>
    <t>通电</t>
  </si>
  <si>
    <t>通讯</t>
  </si>
  <si>
    <t>通上水</t>
  </si>
  <si>
    <t>通下水</t>
  </si>
  <si>
    <t>是</t>
  </si>
  <si>
    <t>容积率修正</t>
  </si>
  <si>
    <t>地价指数</t>
  </si>
  <si>
    <t>非生产用房</t>
  </si>
  <si>
    <t>抵押</t>
  </si>
  <si>
    <t>房地产抵押价值</t>
  </si>
  <si>
    <t>其他：</t>
  </si>
  <si>
    <t>企业</t>
  </si>
  <si>
    <t>出让</t>
  </si>
  <si>
    <t>预测报告数据</t>
  </si>
  <si>
    <t>层名</t>
  </si>
  <si>
    <t>所在层次</t>
  </si>
  <si>
    <t>建筑面积</t>
  </si>
  <si>
    <t>其中：</t>
  </si>
  <si>
    <t>社区商业金融</t>
  </si>
  <si>
    <t>社区金融中心</t>
  </si>
  <si>
    <t>文化娱乐</t>
  </si>
  <si>
    <t>游泳馆</t>
  </si>
  <si>
    <t>健身房</t>
  </si>
  <si>
    <t>养老</t>
  </si>
  <si>
    <t>人防</t>
  </si>
  <si>
    <t>可售车位</t>
  </si>
  <si>
    <t>机械车位</t>
  </si>
  <si>
    <t>自行车库</t>
  </si>
  <si>
    <t>汽车坡道、无障碍通道、车道</t>
  </si>
  <si>
    <t>菜场</t>
  </si>
  <si>
    <t>街政管理、邮局、社区服务中心、派出所</t>
  </si>
  <si>
    <t>储藏间</t>
  </si>
  <si>
    <t>风井、其他</t>
  </si>
  <si>
    <t>可售面积</t>
  </si>
  <si>
    <t>不可售面积</t>
  </si>
  <si>
    <t>地下室</t>
  </si>
  <si>
    <t>/</t>
  </si>
  <si>
    <t>夹层</t>
  </si>
  <si>
    <t>一层</t>
  </si>
  <si>
    <t>二层</t>
  </si>
  <si>
    <t>三层</t>
  </si>
  <si>
    <t>四层</t>
  </si>
  <si>
    <t>五层</t>
  </si>
  <si>
    <t>六层</t>
  </si>
  <si>
    <t>七层</t>
  </si>
  <si>
    <t>八层</t>
  </si>
  <si>
    <t>九层</t>
  </si>
  <si>
    <t>十层</t>
  </si>
  <si>
    <t>十一层</t>
  </si>
  <si>
    <t>十二层</t>
  </si>
  <si>
    <t>十三层</t>
  </si>
  <si>
    <t>设备层</t>
  </si>
  <si>
    <t>屋面</t>
  </si>
  <si>
    <t>注：</t>
  </si>
  <si>
    <t>项目</t>
  </si>
  <si>
    <t>类型</t>
  </si>
  <si>
    <t>单位</t>
  </si>
  <si>
    <t>数量</t>
  </si>
  <si>
    <t>面积</t>
  </si>
  <si>
    <t>负一层</t>
  </si>
  <si>
    <t>标准车位</t>
  </si>
  <si>
    <t>微型车位</t>
  </si>
  <si>
    <t>无障碍车位</t>
  </si>
  <si>
    <t>负二层</t>
  </si>
  <si>
    <t>人防车位</t>
  </si>
  <si>
    <t>45个</t>
  </si>
  <si>
    <t>南京富力尚悦居项目A地块商业意向租户情况统计表</t>
  </si>
  <si>
    <t>楼层</t>
  </si>
  <si>
    <t>入驻品牌</t>
  </si>
  <si>
    <t>面积（平方米）</t>
  </si>
  <si>
    <t>平均租金（元/平方米/天）</t>
  </si>
  <si>
    <t>年租金</t>
  </si>
  <si>
    <t>B1F</t>
  </si>
  <si>
    <t>生鲜超市</t>
  </si>
  <si>
    <t>白下元宵铺/桥头排骨</t>
  </si>
  <si>
    <t>老百姓大药房</t>
  </si>
  <si>
    <t>名创优品</t>
  </si>
  <si>
    <t>鸭德堡</t>
  </si>
  <si>
    <t>来一份</t>
  </si>
  <si>
    <t>陈华勇麻辣烫</t>
  </si>
  <si>
    <t>鹿角巷/甜荟</t>
  </si>
  <si>
    <t>一鸣鲜奶/牛哥凉皮铺</t>
  </si>
  <si>
    <t>绝味鸭脖</t>
  </si>
  <si>
    <t>1F</t>
  </si>
  <si>
    <t>罗森/苏果便利</t>
  </si>
  <si>
    <t>李宁/安踏</t>
  </si>
  <si>
    <t>海澜之家</t>
  </si>
  <si>
    <t>古今/都市丽人</t>
  </si>
  <si>
    <t>本涩/森林鸟</t>
  </si>
  <si>
    <t>爱居兔</t>
  </si>
  <si>
    <t>老乡鸡</t>
  </si>
  <si>
    <t>苏宁易购</t>
  </si>
  <si>
    <t>2F</t>
  </si>
  <si>
    <t>巴拉巴拉</t>
  </si>
  <si>
    <t>爱婴岛</t>
  </si>
  <si>
    <t>儿童游乐园</t>
  </si>
  <si>
    <t>厨娘</t>
  </si>
  <si>
    <t>3F</t>
  </si>
  <si>
    <t>华仔美发</t>
  </si>
  <si>
    <t>凯撒旅游</t>
  </si>
  <si>
    <t>江南公社</t>
  </si>
  <si>
    <t>东方爱婴</t>
  </si>
  <si>
    <t>番茄田艺术</t>
  </si>
  <si>
    <t>小北儿童摄影</t>
  </si>
  <si>
    <t>辛香汇</t>
  </si>
  <si>
    <t>4F</t>
  </si>
  <si>
    <t>北京烤鸭</t>
  </si>
  <si>
    <t>江南小镇</t>
  </si>
  <si>
    <t>新石器烤肉</t>
  </si>
  <si>
    <t>小胖子龙虾</t>
  </si>
  <si>
    <t>鱼酷/蓝湾咖啡</t>
  </si>
  <si>
    <t>5F</t>
  </si>
  <si>
    <t>金吉鸟</t>
  </si>
  <si>
    <t>地上</t>
  </si>
  <si>
    <t>独立商业</t>
  </si>
  <si>
    <t>地下</t>
  </si>
  <si>
    <t>-1</t>
  </si>
  <si>
    <t>成新度</t>
  </si>
  <si>
    <t>钢混</t>
  </si>
  <si>
    <t>按租金收入计税</t>
  </si>
  <si>
    <t>-1</t>
    <phoneticPr fontId="143" type="noConversion"/>
  </si>
  <si>
    <t>商业</t>
    <phoneticPr fontId="3" type="noConversion"/>
  </si>
  <si>
    <t>收益法</t>
  </si>
  <si>
    <t>商业</t>
    <phoneticPr fontId="31" type="noConversion"/>
  </si>
  <si>
    <t>30-40（含）</t>
  </si>
  <si>
    <t>-1</t>
    <phoneticPr fontId="25" type="noConversion"/>
  </si>
  <si>
    <t>现房</t>
  </si>
  <si>
    <t>典型户型修正</t>
  </si>
  <si>
    <t>典型户型修正</t>
    <phoneticPr fontId="16" type="noConversion"/>
  </si>
  <si>
    <r>
      <t>实际3</t>
    </r>
    <r>
      <rPr>
        <sz val="11"/>
        <color theme="1"/>
        <rFont val="宋体"/>
        <family val="3"/>
        <charset val="134"/>
        <scheme val="minor"/>
      </rPr>
      <t>30万出售</t>
    </r>
    <phoneticPr fontId="143" type="noConversion"/>
  </si>
  <si>
    <t>押一</t>
  </si>
  <si>
    <t>1层</t>
    <phoneticPr fontId="143" type="noConversion"/>
  </si>
  <si>
    <t>2层</t>
    <phoneticPr fontId="143" type="noConversion"/>
  </si>
  <si>
    <t>3层</t>
  </si>
  <si>
    <t>4层</t>
  </si>
  <si>
    <t>5层</t>
  </si>
  <si>
    <t>-1层</t>
    <phoneticPr fontId="143" type="noConversion"/>
  </si>
  <si>
    <t>经营性面积</t>
    <phoneticPr fontId="143" type="noConversion"/>
  </si>
  <si>
    <t>非经营性面积</t>
    <phoneticPr fontId="143" type="noConversion"/>
  </si>
  <si>
    <t>合计</t>
    <phoneticPr fontId="143" type="noConversion"/>
  </si>
  <si>
    <t>总面积</t>
    <phoneticPr fontId="143" type="noConversion"/>
  </si>
  <si>
    <t>楼层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</si>
</sst>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仿宋"/>
      <family val="3"/>
      <charset val="134"/>
    </font>
    <font>
      <sz val="10"/>
      <name val="仿宋"/>
      <family val="3"/>
      <charset val="134"/>
    </font>
    <font>
      <sz val="12"/>
      <name val="仿宋"/>
      <family val="3"/>
      <charset val="134"/>
    </font>
    <font>
      <sz val="11"/>
      <name val="Times New Roman"/>
      <family val="1"/>
    </font>
    <font>
      <b/>
      <sz val="12"/>
      <name val="仿宋"/>
      <family val="3"/>
      <charset val="134"/>
    </font>
    <font>
      <b/>
      <sz val="11"/>
      <name val="Times New Roman"/>
      <family val="1"/>
    </font>
    <font>
      <b/>
      <sz val="10"/>
      <name val="MS Sans Serif"/>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260" fillId="0" borderId="0" applyNumberFormat="0" applyFill="0" applyBorder="0" applyAlignment="0" applyProtection="0"/>
    <xf numFmtId="0" fontId="260" fillId="0" borderId="0" applyNumberFormat="0" applyFill="0" applyBorder="0" applyAlignment="0" applyProtection="0"/>
    <xf numFmtId="43" fontId="37" fillId="0" borderId="0" applyFont="0" applyFill="0" applyBorder="0" applyAlignment="0" applyProtection="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55" fillId="0" borderId="0" xfId="17" applyFont="1" applyFill="1" applyAlignment="1">
      <alignment horizontal="center"/>
    </xf>
    <xf numFmtId="0" fontId="255" fillId="0" borderId="0" xfId="17" applyFont="1" applyFill="1" applyAlignment="1"/>
    <xf numFmtId="0" fontId="256" fillId="0" borderId="0" xfId="17" applyFont="1" applyFill="1" applyAlignment="1">
      <alignment wrapText="1"/>
    </xf>
    <xf numFmtId="0" fontId="255" fillId="0" borderId="0" xfId="17" applyFont="1" applyFill="1" applyAlignment="1">
      <alignment wrapText="1"/>
    </xf>
    <xf numFmtId="0" fontId="256" fillId="0" borderId="1" xfId="17" applyFont="1" applyFill="1" applyBorder="1" applyAlignment="1">
      <alignment horizontal="center" vertical="center" wrapText="1"/>
    </xf>
    <xf numFmtId="0" fontId="256" fillId="18" borderId="1" xfId="17" applyFont="1" applyFill="1" applyBorder="1" applyAlignment="1">
      <alignment horizontal="center" vertical="center" wrapText="1"/>
    </xf>
    <xf numFmtId="0" fontId="256" fillId="0" borderId="1" xfId="17" applyFont="1" applyFill="1" applyBorder="1" applyAlignment="1">
      <alignment vertical="center"/>
    </xf>
    <xf numFmtId="0" fontId="256" fillId="0" borderId="1" xfId="17" applyFont="1" applyFill="1" applyBorder="1" applyAlignment="1">
      <alignment horizontal="center" vertical="center"/>
    </xf>
    <xf numFmtId="197" fontId="257" fillId="0" borderId="1" xfId="17" applyNumberFormat="1" applyFont="1" applyFill="1" applyBorder="1" applyAlignment="1">
      <alignment horizontal="center" vertical="center"/>
    </xf>
    <xf numFmtId="197" fontId="257" fillId="0" borderId="1" xfId="17" applyNumberFormat="1" applyFont="1" applyFill="1" applyBorder="1" applyAlignment="1">
      <alignment vertical="center"/>
    </xf>
    <xf numFmtId="197" fontId="257" fillId="0" borderId="1" xfId="17" applyNumberFormat="1" applyFont="1" applyFill="1" applyBorder="1" applyAlignment="1">
      <alignment horizontal="right" vertical="center"/>
    </xf>
    <xf numFmtId="197" fontId="257" fillId="18" borderId="1" xfId="17" applyNumberFormat="1" applyFont="1" applyFill="1" applyBorder="1" applyAlignment="1">
      <alignment vertical="center"/>
    </xf>
    <xf numFmtId="0" fontId="256" fillId="0" borderId="0" xfId="17" applyFont="1" applyFill="1" applyAlignment="1"/>
    <xf numFmtId="0" fontId="257" fillId="18" borderId="1" xfId="17" applyFont="1" applyFill="1" applyBorder="1" applyAlignment="1">
      <alignment vertical="center"/>
    </xf>
    <xf numFmtId="197" fontId="259" fillId="0" borderId="1" xfId="17" applyNumberFormat="1" applyFont="1" applyFill="1" applyBorder="1" applyAlignment="1">
      <alignment vertical="center"/>
    </xf>
    <xf numFmtId="197" fontId="259" fillId="18" borderId="1" xfId="17" applyNumberFormat="1" applyFont="1" applyFill="1" applyBorder="1" applyAlignment="1">
      <alignment vertical="center"/>
    </xf>
    <xf numFmtId="0" fontId="258" fillId="0" borderId="1" xfId="17" applyFont="1" applyFill="1" applyBorder="1" applyAlignment="1">
      <alignment vertical="center"/>
    </xf>
    <xf numFmtId="0" fontId="256" fillId="0" borderId="0" xfId="17" applyFont="1" applyFill="1" applyAlignment="1">
      <alignment vertical="center"/>
    </xf>
    <xf numFmtId="0" fontId="256" fillId="0" borderId="1" xfId="17" applyFont="1" applyFill="1" applyBorder="1" applyAlignment="1"/>
    <xf numFmtId="0" fontId="56" fillId="0" borderId="0" xfId="17" applyFont="1" applyFill="1" applyAlignment="1"/>
    <xf numFmtId="0" fontId="37" fillId="0" borderId="0" xfId="17">
      <alignment vertical="center"/>
    </xf>
    <xf numFmtId="0" fontId="37" fillId="0" borderId="1" xfId="17" applyBorder="1" applyAlignment="1">
      <alignment horizontal="center" vertical="center"/>
    </xf>
    <xf numFmtId="197" fontId="37" fillId="0" borderId="1" xfId="17" applyNumberFormat="1" applyBorder="1" applyAlignment="1">
      <alignment horizontal="center" vertical="center"/>
    </xf>
    <xf numFmtId="43" fontId="0" fillId="0" borderId="1" xfId="20" applyFont="1" applyBorder="1" applyAlignment="1">
      <alignment horizontal="center" vertical="center"/>
    </xf>
    <xf numFmtId="0" fontId="37" fillId="0" borderId="0" xfId="17" applyAlignment="1">
      <alignment horizontal="center" vertical="center"/>
    </xf>
    <xf numFmtId="197" fontId="37" fillId="0" borderId="0" xfId="17" applyNumberFormat="1" applyAlignment="1">
      <alignment horizontal="center" vertical="center"/>
    </xf>
    <xf numFmtId="43" fontId="37" fillId="0" borderId="0" xfId="17" applyNumberFormat="1">
      <alignment vertical="center"/>
    </xf>
    <xf numFmtId="49" fontId="47" fillId="0" borderId="2" xfId="0" applyNumberFormat="1" applyFont="1" applyBorder="1" applyAlignment="1" applyProtection="1">
      <alignment horizontal="center" vertical="center" wrapText="1"/>
      <protection locked="0"/>
    </xf>
    <xf numFmtId="0" fontId="256" fillId="5" borderId="1" xfId="17" applyFont="1" applyFill="1" applyBorder="1" applyAlignment="1">
      <alignment vertical="center"/>
    </xf>
    <xf numFmtId="0" fontId="256" fillId="5" borderId="1" xfId="17" applyFont="1" applyFill="1" applyBorder="1" applyAlignment="1">
      <alignment horizontal="center" vertical="center"/>
    </xf>
    <xf numFmtId="197" fontId="257" fillId="5" borderId="1" xfId="17" applyNumberFormat="1" applyFont="1" applyFill="1" applyBorder="1" applyAlignment="1">
      <alignment horizontal="right" vertical="center"/>
    </xf>
    <xf numFmtId="197" fontId="257" fillId="5" borderId="1" xfId="17" applyNumberFormat="1" applyFont="1" applyFill="1" applyBorder="1" applyAlignment="1">
      <alignment horizontal="center" vertical="center"/>
    </xf>
    <xf numFmtId="197" fontId="257" fillId="5" borderId="1" xfId="17" applyNumberFormat="1" applyFont="1" applyFill="1" applyBorder="1" applyAlignment="1">
      <alignment vertical="center"/>
    </xf>
    <xf numFmtId="0" fontId="255" fillId="5" borderId="0" xfId="17" applyFont="1" applyFill="1" applyAlignment="1"/>
    <xf numFmtId="197" fontId="256" fillId="5" borderId="0" xfId="17" applyNumberFormat="1" applyFont="1" applyFill="1" applyAlignment="1"/>
    <xf numFmtId="49" fontId="37" fillId="0" borderId="0" xfId="17" applyNumberFormat="1" applyAlignment="1">
      <alignment horizontal="center" vertical="center"/>
    </xf>
    <xf numFmtId="2" fontId="37" fillId="0" borderId="0" xfId="17" applyNumberFormat="1" applyAlignment="1">
      <alignment horizontal="center" vertical="center"/>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37" fillId="5" borderId="0" xfId="17" applyFill="1">
      <alignment vertical="center"/>
    </xf>
    <xf numFmtId="43" fontId="37" fillId="5" borderId="0" xfId="17"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8" fillId="0" borderId="5" xfId="17" applyFont="1" applyFill="1" applyBorder="1" applyAlignment="1">
      <alignment horizontal="center" vertical="center"/>
    </xf>
    <xf numFmtId="0" fontId="258" fillId="0" borderId="3" xfId="17" applyFont="1" applyFill="1" applyBorder="1" applyAlignment="1">
      <alignment horizontal="center" vertical="center"/>
    </xf>
    <xf numFmtId="0" fontId="254" fillId="0" borderId="0" xfId="17" applyFont="1" applyFill="1" applyAlignment="1">
      <alignment horizontal="center"/>
    </xf>
    <xf numFmtId="0" fontId="256" fillId="0" borderId="13" xfId="17" applyFont="1" applyFill="1" applyBorder="1" applyAlignment="1">
      <alignment horizontal="center" vertical="center" wrapText="1"/>
    </xf>
    <xf numFmtId="0" fontId="256" fillId="0" borderId="2" xfId="17" applyFont="1" applyFill="1" applyBorder="1" applyAlignment="1">
      <alignment horizontal="center" vertical="center" wrapText="1"/>
    </xf>
    <xf numFmtId="0" fontId="256" fillId="0" borderId="5" xfId="17" applyFont="1" applyFill="1" applyBorder="1" applyAlignment="1">
      <alignment horizontal="center" vertical="center" wrapText="1"/>
    </xf>
    <xf numFmtId="0" fontId="256" fillId="0" borderId="54" xfId="17" applyFont="1" applyFill="1" applyBorder="1" applyAlignment="1">
      <alignment horizontal="center" vertical="center" wrapText="1"/>
    </xf>
    <xf numFmtId="0" fontId="256" fillId="0" borderId="3" xfId="17" applyFont="1" applyFill="1" applyBorder="1" applyAlignment="1">
      <alignment horizontal="center" vertical="center" wrapText="1"/>
    </xf>
    <xf numFmtId="0" fontId="256" fillId="7" borderId="5" xfId="17" applyFont="1" applyFill="1" applyBorder="1" applyAlignment="1">
      <alignment horizontal="center" vertical="center" wrapText="1"/>
    </xf>
    <xf numFmtId="0" fontId="256" fillId="7" borderId="3" xfId="17" applyFont="1" applyFill="1" applyBorder="1" applyAlignment="1">
      <alignment horizontal="center" vertical="center" wrapText="1"/>
    </xf>
    <xf numFmtId="0" fontId="163" fillId="0" borderId="0" xfId="17" applyFont="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55" fillId="0" borderId="0" xfId="17" applyNumberFormat="1" applyFont="1" applyFill="1" applyAlignment="1"/>
    <xf numFmtId="197" fontId="255" fillId="0" borderId="0" xfId="17" applyNumberFormat="1" applyFont="1" applyFill="1" applyAlignment="1"/>
  </cellXfs>
  <cellStyles count="21">
    <cellStyle name="ColLevel_0" xfId="18"/>
    <cellStyle name="RowLevel_0"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38100</xdr:rowOff>
    </xdr:from>
    <xdr:to>
      <xdr:col>14</xdr:col>
      <xdr:colOff>228600</xdr:colOff>
      <xdr:row>10</xdr:row>
      <xdr:rowOff>104574</xdr:rowOff>
    </xdr:to>
    <xdr:pic>
      <xdr:nvPicPr>
        <xdr:cNvPr id="8" name="图片 7"/>
        <xdr:cNvPicPr>
          <a:picLocks noChangeAspect="1"/>
        </xdr:cNvPicPr>
      </xdr:nvPicPr>
      <xdr:blipFill>
        <a:blip xmlns:r="http://schemas.openxmlformats.org/officeDocument/2006/relationships" r:embed="rId1"/>
        <a:stretch>
          <a:fillRect/>
        </a:stretch>
      </xdr:blipFill>
      <xdr:spPr>
        <a:xfrm>
          <a:off x="361950" y="209550"/>
          <a:ext cx="9467850" cy="1609524"/>
        </a:xfrm>
        <a:prstGeom prst="rect">
          <a:avLst/>
        </a:prstGeom>
      </xdr:spPr>
    </xdr:pic>
    <xdr:clientData/>
  </xdr:twoCellAnchor>
  <xdr:twoCellAnchor editAs="oneCell">
    <xdr:from>
      <xdr:col>0</xdr:col>
      <xdr:colOff>428625</xdr:colOff>
      <xdr:row>12</xdr:row>
      <xdr:rowOff>104775</xdr:rowOff>
    </xdr:from>
    <xdr:to>
      <xdr:col>14</xdr:col>
      <xdr:colOff>284569</xdr:colOff>
      <xdr:row>22</xdr:row>
      <xdr:rowOff>123608</xdr:rowOff>
    </xdr:to>
    <xdr:pic>
      <xdr:nvPicPr>
        <xdr:cNvPr id="9" name="图片 8"/>
        <xdr:cNvPicPr>
          <a:picLocks noChangeAspect="1"/>
        </xdr:cNvPicPr>
      </xdr:nvPicPr>
      <xdr:blipFill>
        <a:blip xmlns:r="http://schemas.openxmlformats.org/officeDocument/2006/relationships" r:embed="rId2"/>
        <a:stretch>
          <a:fillRect/>
        </a:stretch>
      </xdr:blipFill>
      <xdr:spPr>
        <a:xfrm>
          <a:off x="428625" y="2162175"/>
          <a:ext cx="9457144" cy="1733333"/>
        </a:xfrm>
        <a:prstGeom prst="rect">
          <a:avLst/>
        </a:prstGeom>
      </xdr:spPr>
    </xdr:pic>
    <xdr:clientData/>
  </xdr:twoCellAnchor>
  <xdr:twoCellAnchor editAs="oneCell">
    <xdr:from>
      <xdr:col>0</xdr:col>
      <xdr:colOff>390525</xdr:colOff>
      <xdr:row>25</xdr:row>
      <xdr:rowOff>0</xdr:rowOff>
    </xdr:from>
    <xdr:to>
      <xdr:col>14</xdr:col>
      <xdr:colOff>332183</xdr:colOff>
      <xdr:row>34</xdr:row>
      <xdr:rowOff>133141</xdr:rowOff>
    </xdr:to>
    <xdr:pic>
      <xdr:nvPicPr>
        <xdr:cNvPr id="10" name="图片 9"/>
        <xdr:cNvPicPr>
          <a:picLocks noChangeAspect="1"/>
        </xdr:cNvPicPr>
      </xdr:nvPicPr>
      <xdr:blipFill>
        <a:blip xmlns:r="http://schemas.openxmlformats.org/officeDocument/2006/relationships" r:embed="rId3"/>
        <a:stretch>
          <a:fillRect/>
        </a:stretch>
      </xdr:blipFill>
      <xdr:spPr>
        <a:xfrm>
          <a:off x="390525" y="4286250"/>
          <a:ext cx="9542858"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014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成本法"/>
      <sheetName val="结果表 (2)"/>
      <sheetName val="收益法 (元)"/>
      <sheetName val="收益法（汇总）"/>
      <sheetName val="酒店收入计算"/>
      <sheetName val="比较法-商业"/>
      <sheetName val="比较法-住宅"/>
      <sheetName val="比较法-工业"/>
      <sheetName val="收益法商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楼"/>
      <sheetName val="商业面积"/>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1-101</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row>
        <row r="115">
          <cell r="B115" t="str">
            <v>物业管理</v>
          </cell>
        </row>
        <row r="117">
          <cell r="B117" t="str">
            <v>市政基础设施</v>
          </cell>
          <cell r="C117" t="str">
            <v>七通</v>
          </cell>
          <cell r="D117" t="str">
            <v>六通</v>
          </cell>
          <cell r="E117" t="str">
            <v>五通</v>
          </cell>
          <cell r="F117" t="str">
            <v>四通</v>
          </cell>
        </row>
        <row r="119">
          <cell r="B119" t="str">
            <v>层高</v>
          </cell>
        </row>
        <row r="123">
          <cell r="B123" t="str">
            <v>内部装修</v>
          </cell>
        </row>
      </sheetData>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地下面积</v>
          </cell>
          <cell r="C5" t="str">
            <v>无</v>
          </cell>
          <cell r="D5" t="str">
            <v>有</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受贵公司委托，我公司对房地产抵押价值进行了预评估。</v>
      </c>
    </row>
    <row r="7" spans="1:2" s="1592" customFormat="1">
      <c r="A7" s="1590" t="s">
        <v>1260</v>
      </c>
      <c r="B7" s="1591" t="str">
        <f>'预评函-1'!A7</f>
        <v>估价对象为房地产，为所有。根据《国有土地使用证》[]，估价对象（分摊）出让国有建设用地使用权面积为0平方米，建筑面积为39697.29平方米。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估价对象为房地产,属开发建设的，该项目尚在开发建设中。根据《国有土地使用证》[]，估价对象（分摊）出让国有建设用地使用权面积为0平方米，规划建筑面积为39697.29平方米。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2019年10月23日</v>
      </c>
    </row>
    <row r="13" spans="1:2" s="1592" customFormat="1">
      <c r="A13" s="1590" t="s">
        <v>1223</v>
      </c>
      <c r="B13" s="159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本次评估采用的主估价方法为收益法和基准地价系数修正法。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28352</v>
      </c>
    </row>
    <row r="21" spans="1:2" s="1592" customFormat="1">
      <c r="A21" s="1590" t="s">
        <v>1231</v>
      </c>
      <c r="B21" s="1591">
        <f ca="1">'预评函-2'!D7</f>
        <v>7142</v>
      </c>
    </row>
    <row r="22" spans="1:2" s="1592" customFormat="1">
      <c r="A22" s="1590" t="s">
        <v>1232</v>
      </c>
      <c r="B22" s="1591" t="str">
        <f ca="1">'预评函-2'!D6</f>
        <v>贰亿捌仟叁佰伍拾贰万元整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28352</v>
      </c>
    </row>
    <row r="31" spans="1:2" s="1592" customFormat="1">
      <c r="A31" s="1590" t="s">
        <v>1270</v>
      </c>
      <c r="B31" s="1591">
        <f ca="1">'预评函-2'!D15</f>
        <v>7142</v>
      </c>
    </row>
    <row r="32" spans="1:2" s="1592" customFormat="1">
      <c r="A32" s="1590" t="s">
        <v>1237</v>
      </c>
      <c r="B32" s="1591" t="str">
        <f ca="1">'预评函-2'!D14</f>
        <v>贰亿捌仟叁佰伍拾贰万元整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c r="A42" s="1590" t="s">
        <v>1284</v>
      </c>
      <c r="B42" s="1591" t="str">
        <f>'预评函-3'!B2</f>
        <v>建筑面积</v>
      </c>
    </row>
    <row r="43" spans="1:2" s="1592" customFormat="1">
      <c r="A43" s="1590" t="s">
        <v>1285</v>
      </c>
      <c r="B43" s="1591">
        <f>'预评函-3'!B4</f>
        <v>39697.29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3184</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0" t="s">
        <v>861</v>
      </c>
      <c r="C54" s="2017" t="s">
        <v>1277</v>
      </c>
    </row>
    <row r="55" spans="1:4">
      <c r="A55" s="3042"/>
      <c r="B55" s="2020" t="s">
        <v>862</v>
      </c>
      <c r="C55" s="2017" t="s">
        <v>1278</v>
      </c>
    </row>
    <row r="56" spans="1:4">
      <c r="A56" s="3042"/>
      <c r="B56" s="2020" t="s">
        <v>863</v>
      </c>
      <c r="C56" s="2017" t="s">
        <v>1282</v>
      </c>
    </row>
    <row r="57" spans="1:4">
      <c r="A57" s="304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0" customWidth="1"/>
    <col min="2" max="2" width="14.25" style="2030" customWidth="1"/>
    <col min="3" max="3" width="11.5" style="2030" customWidth="1"/>
    <col min="4" max="4" width="18.75" style="2030" customWidth="1"/>
    <col min="5"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043" t="str">
        <f>IF(B10="北京市","北京市",C10)&amp;F10&amp;IF(结果表!G1="在建","出让国有建设用地使用权及在建建筑物",IF(结果表!G1="土地","出让国有建设用地使用权",))&amp;B9&amp;"预评估"</f>
        <v>房地产抵押价值预评估</v>
      </c>
      <c r="C1" s="3044"/>
      <c r="D1" s="3044"/>
      <c r="E1" s="3044"/>
      <c r="F1" s="3044"/>
      <c r="G1" s="3044"/>
      <c r="H1" s="3044"/>
      <c r="I1" s="304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1773</v>
      </c>
      <c r="B3" s="2034"/>
      <c r="C3" s="2035" t="s">
        <v>1774</v>
      </c>
      <c r="D3" s="2034">
        <v>43761</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954"/>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050"/>
      <c r="C7" s="2047"/>
      <c r="D7" s="2048"/>
      <c r="E7" s="2032"/>
      <c r="F7" s="2040"/>
      <c r="G7" s="2040"/>
      <c r="H7" s="2040"/>
      <c r="I7" s="2040"/>
      <c r="J7" s="2040"/>
      <c r="K7" s="2051"/>
      <c r="L7" s="2026"/>
      <c r="M7" s="2026"/>
      <c r="N7" s="2027"/>
      <c r="O7" s="2028"/>
      <c r="P7" s="2027"/>
      <c r="Q7" s="2027"/>
      <c r="R7" s="2027"/>
    </row>
    <row r="8" spans="1:19" ht="18" customHeight="1">
      <c r="A8" s="2045" t="s">
        <v>1779</v>
      </c>
      <c r="B8" s="2052" t="s">
        <v>3064</v>
      </c>
      <c r="C8" s="2053"/>
      <c r="D8" s="3046" t="s">
        <v>1780</v>
      </c>
      <c r="E8" s="2054" t="s">
        <v>3065</v>
      </c>
      <c r="F8" s="2055"/>
      <c r="G8" s="2024"/>
      <c r="H8" s="2024"/>
      <c r="I8" s="2024"/>
      <c r="J8" s="2040"/>
      <c r="K8" s="2041"/>
      <c r="L8" s="2026"/>
      <c r="M8" s="2026"/>
      <c r="N8" s="2027"/>
      <c r="O8" s="2028"/>
      <c r="P8" s="2027"/>
      <c r="Q8" s="2027"/>
      <c r="R8" s="2027"/>
    </row>
    <row r="9" spans="1:19" ht="18" customHeight="1" thickBot="1">
      <c r="A9" s="2038" t="s">
        <v>1781</v>
      </c>
      <c r="B9" s="2056" t="s">
        <v>3065</v>
      </c>
      <c r="C9" s="2057"/>
      <c r="D9" s="3047"/>
      <c r="E9" s="2056"/>
      <c r="F9" s="2058"/>
      <c r="G9" s="2059"/>
      <c r="H9" s="2059"/>
      <c r="I9" s="2059"/>
      <c r="J9" s="2040"/>
      <c r="K9" s="2051"/>
      <c r="L9" s="2026"/>
      <c r="M9" s="2026"/>
      <c r="N9" s="2027"/>
      <c r="O9" s="2028"/>
      <c r="P9" s="2027"/>
      <c r="Q9" s="2027"/>
      <c r="R9" s="2027"/>
    </row>
    <row r="10" spans="1:19" ht="18" customHeight="1" thickTop="1">
      <c r="A10" s="2060" t="s">
        <v>1782</v>
      </c>
      <c r="B10" s="2061" t="s">
        <v>3066</v>
      </c>
      <c r="C10" s="2062"/>
      <c r="D10" s="2044"/>
      <c r="E10" s="2063" t="s">
        <v>1783</v>
      </c>
      <c r="F10" s="2064"/>
      <c r="G10" s="2065"/>
      <c r="H10" s="2066"/>
      <c r="I10" s="2044"/>
      <c r="J10" s="2040"/>
      <c r="K10" s="2051"/>
      <c r="L10" s="2026"/>
      <c r="M10" s="2026"/>
      <c r="N10" s="2027"/>
      <c r="O10" s="2028"/>
      <c r="P10" s="2027"/>
      <c r="Q10" s="2027"/>
      <c r="R10" s="2027"/>
    </row>
    <row r="11" spans="1:19" ht="18" customHeight="1">
      <c r="A11" s="2067" t="s">
        <v>1784</v>
      </c>
      <c r="B11" s="2068" t="s">
        <v>3067</v>
      </c>
      <c r="C11" s="2069"/>
      <c r="D11" s="2070"/>
      <c r="E11" s="2040"/>
      <c r="F11" s="2040"/>
      <c r="G11" s="2040"/>
      <c r="H11" s="2040"/>
      <c r="I11" s="2040"/>
      <c r="J11" s="2040"/>
      <c r="K11" s="2051"/>
      <c r="L11" s="2026"/>
      <c r="M11" s="2026"/>
      <c r="N11" s="2027"/>
      <c r="O11" s="2028"/>
      <c r="P11" s="2027"/>
      <c r="Q11" s="2027"/>
      <c r="R11" s="2027"/>
    </row>
    <row r="12" spans="1:19" ht="18" customHeight="1">
      <c r="A12" s="2071" t="s">
        <v>1785</v>
      </c>
      <c r="B12" s="2068" t="s">
        <v>3068</v>
      </c>
      <c r="C12" s="2072" t="s">
        <v>1786</v>
      </c>
      <c r="D12" s="2073" t="s">
        <v>1787</v>
      </c>
      <c r="E12" s="2073" t="s">
        <v>1788</v>
      </c>
      <c r="F12" s="2073" t="s">
        <v>1789</v>
      </c>
      <c r="G12" s="2073" t="s">
        <v>1790</v>
      </c>
      <c r="H12" s="2073" t="s">
        <v>1791</v>
      </c>
      <c r="I12" s="2073" t="s">
        <v>1792</v>
      </c>
      <c r="J12" s="2040"/>
      <c r="K12" s="2051"/>
      <c r="L12" s="2026"/>
      <c r="M12" s="2026"/>
      <c r="N12" s="2027"/>
      <c r="O12" s="2028"/>
      <c r="P12" s="2027"/>
      <c r="Q12" s="2027"/>
      <c r="R12" s="2027"/>
    </row>
    <row r="13" spans="1:19" ht="18" customHeight="1">
      <c r="A13" s="2074"/>
      <c r="B13" s="2075"/>
      <c r="C13" s="2076" t="s">
        <v>1793</v>
      </c>
      <c r="D13" s="2077"/>
      <c r="E13" s="2077">
        <v>56306</v>
      </c>
      <c r="F13" s="2077"/>
      <c r="G13" s="2077"/>
      <c r="H13" s="2077"/>
      <c r="I13" s="1046"/>
      <c r="J13" s="2040"/>
      <c r="K13" s="2051"/>
      <c r="L13" s="2026"/>
      <c r="M13" s="2026"/>
      <c r="N13" s="2027"/>
      <c r="O13" s="2028"/>
      <c r="P13" s="2027"/>
      <c r="Q13" s="2027"/>
      <c r="R13" s="2027"/>
    </row>
    <row r="14" spans="1:19" ht="18" customHeight="1">
      <c r="A14" s="2074"/>
      <c r="B14" s="2075"/>
      <c r="C14" s="2076" t="s">
        <v>1794</v>
      </c>
      <c r="D14" s="1049"/>
      <c r="E14" s="1049">
        <v>40</v>
      </c>
      <c r="F14" s="1049"/>
      <c r="G14" s="1049"/>
      <c r="H14" s="1049"/>
      <c r="I14" s="1049"/>
      <c r="J14" s="2040"/>
      <c r="K14" s="2078"/>
      <c r="L14" s="2026"/>
      <c r="M14" s="2026"/>
      <c r="N14" s="2027"/>
      <c r="O14" s="2028"/>
      <c r="P14" s="2027"/>
      <c r="Q14" s="2027"/>
      <c r="R14" s="2027"/>
    </row>
    <row r="15" spans="1:19" ht="18" customHeight="1">
      <c r="A15" s="2060"/>
      <c r="B15" s="2079"/>
      <c r="C15" s="2076" t="s">
        <v>1795</v>
      </c>
      <c r="D15" s="1048" t="str">
        <f>IF(B12="出让",IF(D13="","",ROUNDDOWN(MIN((D13-$D$3)/365,D14),2)),D14)</f>
        <v/>
      </c>
      <c r="E15" s="1048">
        <f>IF(B12="出让",IF(E13="","",ROUNDDOWN(MIN((E13-$D$3)/365,E14),2)),E14)</f>
        <v>34.36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3" t="s">
        <v>1796</v>
      </c>
      <c r="B16" s="3053"/>
      <c r="C16" s="3054"/>
      <c r="D16" s="3055"/>
      <c r="E16" s="2083" t="s">
        <v>1797</v>
      </c>
      <c r="F16" s="3056"/>
      <c r="G16" s="3057"/>
      <c r="H16" s="3057"/>
      <c r="I16" s="3058"/>
      <c r="J16" s="2027"/>
      <c r="K16" s="2080"/>
      <c r="L16" s="2081"/>
      <c r="M16" s="2081"/>
      <c r="N16" s="2082"/>
      <c r="O16" s="2081"/>
      <c r="P16" s="2082"/>
      <c r="Q16" s="2027"/>
      <c r="R16" s="2027"/>
    </row>
    <row r="17" spans="1:22" ht="18" customHeight="1">
      <c r="A17" s="2084" t="s">
        <v>1798</v>
      </c>
      <c r="B17" s="2033" t="s">
        <v>1799</v>
      </c>
      <c r="C17" s="1053">
        <f>'数据-汇总表'!E3</f>
        <v>39697.29</v>
      </c>
      <c r="D17" s="2085" t="s">
        <v>1800</v>
      </c>
      <c r="E17" s="3059" t="s">
        <v>1801</v>
      </c>
      <c r="F17" s="3060"/>
      <c r="G17" s="3060"/>
      <c r="H17" s="3060"/>
      <c r="I17" s="3061"/>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0</v>
      </c>
      <c r="D18" s="2088" t="s">
        <v>1800</v>
      </c>
      <c r="E18" s="3062" t="s">
        <v>1804</v>
      </c>
      <c r="F18" s="3063"/>
      <c r="G18" s="3063"/>
      <c r="H18" s="3063"/>
      <c r="I18" s="3064"/>
      <c r="J18" s="2027"/>
      <c r="K18" s="2086"/>
      <c r="L18" s="2081"/>
      <c r="M18" s="2081"/>
      <c r="N18" s="2082"/>
      <c r="O18" s="2081"/>
      <c r="P18" s="2082"/>
      <c r="Q18" s="2027"/>
      <c r="R18" s="2027"/>
      <c r="S18" s="2027"/>
      <c r="T18" s="2027"/>
      <c r="U18" s="2027"/>
      <c r="V18" s="2027"/>
    </row>
    <row r="19" spans="1:22" ht="37.5" customHeight="1" thickTop="1" thickBot="1">
      <c r="A19" s="373" t="s">
        <v>1805</v>
      </c>
      <c r="B19" s="352" t="s">
        <v>1806</v>
      </c>
      <c r="C19" s="2089"/>
      <c r="D19" s="2090" t="s">
        <v>1807</v>
      </c>
      <c r="E19" s="2091"/>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1808</v>
      </c>
      <c r="B20" s="3049" t="s">
        <v>1809</v>
      </c>
      <c r="C20" s="3050"/>
      <c r="D20" s="3051" t="s">
        <v>1810</v>
      </c>
      <c r="E20" s="3052"/>
      <c r="F20" s="2095" t="s">
        <v>1811</v>
      </c>
      <c r="G20" s="2040"/>
      <c r="H20" s="2040"/>
      <c r="I20" s="2040"/>
      <c r="J20" s="2040"/>
      <c r="K20" s="3048"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04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04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3"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3"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3" t="s">
        <v>1821</v>
      </c>
      <c r="C25" s="2109"/>
      <c r="D25" s="2103" t="s">
        <v>1821</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66" t="s">
        <v>1824</v>
      </c>
      <c r="B27" s="2060"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66"/>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66"/>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67"/>
      <c r="B30" s="2033" t="s">
        <v>1828</v>
      </c>
      <c r="C30" s="3068"/>
      <c r="D30" s="3069"/>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70" t="s">
        <v>1829</v>
      </c>
      <c r="B31" s="2124"/>
      <c r="C31" s="2125" t="str">
        <f>IF(B31="现房","成新及维护状况正常否",IF(B31="在建","工程状态是否正常",IF(B31="土地","是否闲置","-")))</f>
        <v>-</v>
      </c>
      <c r="D31" s="2126"/>
      <c r="E31" s="2127"/>
      <c r="F31" s="2040"/>
      <c r="G31" s="2040"/>
      <c r="H31" s="2040"/>
      <c r="I31" s="2040"/>
      <c r="J31" s="2040"/>
      <c r="K31" s="2049"/>
      <c r="L31" s="2026"/>
      <c r="M31" s="2026"/>
      <c r="N31" s="2027"/>
      <c r="O31" s="2028"/>
      <c r="P31" s="2027"/>
      <c r="Q31" s="2027"/>
      <c r="R31" s="2027"/>
      <c r="S31" s="2027"/>
      <c r="T31" s="2027"/>
      <c r="U31" s="2027"/>
      <c r="V31" s="2027"/>
    </row>
    <row r="32" spans="1:22" ht="18" customHeight="1">
      <c r="A32" s="3071"/>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71"/>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1" t="s">
        <v>3055</v>
      </c>
      <c r="C34" s="2131" t="s">
        <v>3056</v>
      </c>
      <c r="D34" s="2131" t="s">
        <v>3057</v>
      </c>
      <c r="E34" s="2131" t="s">
        <v>3058</v>
      </c>
      <c r="F34" s="2131" t="s">
        <v>3059</v>
      </c>
      <c r="G34" s="2131"/>
      <c r="H34" s="2131"/>
      <c r="I34" s="2040"/>
      <c r="J34" s="2040"/>
      <c r="K34" s="1794">
        <f>COUNTIF(B34:H34,"——")</f>
        <v>0</v>
      </c>
      <c r="L34" s="2072" t="s">
        <v>1831</v>
      </c>
      <c r="M34" s="2072" t="s">
        <v>1832</v>
      </c>
      <c r="N34" s="2072" t="s">
        <v>1833</v>
      </c>
      <c r="O34" s="2072" t="s">
        <v>1834</v>
      </c>
      <c r="P34" s="2072" t="s">
        <v>1835</v>
      </c>
      <c r="Q34" s="2072" t="s">
        <v>1836</v>
      </c>
      <c r="R34" s="2072" t="s">
        <v>1837</v>
      </c>
      <c r="S34" s="3065" t="s">
        <v>1838</v>
      </c>
      <c r="T34" s="2132" t="str">
        <f>NUMBERSTRING(7-K34,1)&amp;"通"</f>
        <v>七通</v>
      </c>
      <c r="U34" s="2027"/>
      <c r="V34" s="2027"/>
    </row>
    <row r="35" spans="1:22" ht="18" customHeight="1">
      <c r="A35" s="2133"/>
      <c r="B35" s="3072" t="s">
        <v>1839</v>
      </c>
      <c r="C35" s="3072"/>
      <c r="D35" s="3072"/>
      <c r="E35" s="3072"/>
      <c r="F35" s="2134">
        <f>C10</f>
        <v>0</v>
      </c>
      <c r="G35" s="2040"/>
      <c r="H35" s="2040"/>
      <c r="I35" s="2040"/>
      <c r="J35" s="2040"/>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5"/>
      <c r="T35" s="48" t="str">
        <f>IF(T34="一通",L35,IF(T34="二通",M35,IF(T34="三通",N35,IF(T34="四通",O35,IF(T34="五通",P35,IF(T34="六通",Q35,R35))))))</f>
        <v>通路、通电、通讯、通上水、通下水、、</v>
      </c>
      <c r="U35" s="2027"/>
      <c r="V35" s="2027"/>
    </row>
    <row r="36" spans="1:22" ht="18" customHeight="1">
      <c r="A36" s="2135"/>
      <c r="B36" s="2134" t="s">
        <v>1840</v>
      </c>
      <c r="C36" s="2134" t="s">
        <v>1841</v>
      </c>
      <c r="D36" s="2134" t="s">
        <v>1842</v>
      </c>
      <c r="E36" s="2134" t="s">
        <v>1843</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6"/>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2" sqref="AN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39697.29</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2"/>
      <c r="C5" s="1802"/>
      <c r="D5" s="1805"/>
      <c r="E5" s="16" t="s">
        <v>1</v>
      </c>
      <c r="F5" s="16">
        <f>SUM(F13:F587)</f>
        <v>0</v>
      </c>
      <c r="G5" s="16">
        <f>SUM(G13:G587)</f>
        <v>39697.29</v>
      </c>
      <c r="H5" s="16">
        <f t="shared" ref="H5:AT5" si="0">SUM(H13:H656)</f>
        <v>19318.75</v>
      </c>
      <c r="I5" s="16">
        <f t="shared" si="0"/>
        <v>16248.41</v>
      </c>
      <c r="J5" s="16">
        <f t="shared" si="0"/>
        <v>0</v>
      </c>
      <c r="K5" s="16">
        <f t="shared" si="0"/>
        <v>3070.34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20378.54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10549.199999999999</v>
      </c>
      <c r="AM5" s="16">
        <f t="shared" si="0"/>
        <v>0</v>
      </c>
      <c r="AN5" s="16">
        <f t="shared" si="0"/>
        <v>9829.34</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39697.29</v>
      </c>
      <c r="BA5" s="18">
        <f t="shared" si="1"/>
        <v>19318.75</v>
      </c>
      <c r="BB5" s="18">
        <f t="shared" si="1"/>
        <v>16248.41</v>
      </c>
      <c r="BC5" s="18">
        <f t="shared" si="1"/>
        <v>3070.34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20378.54</v>
      </c>
      <c r="BM5" s="18">
        <f t="shared" si="1"/>
        <v>0</v>
      </c>
      <c r="BN5" s="18">
        <f t="shared" si="1"/>
        <v>0</v>
      </c>
      <c r="BO5" s="18">
        <f t="shared" si="1"/>
        <v>0</v>
      </c>
      <c r="BP5" s="18">
        <f t="shared" si="1"/>
        <v>0</v>
      </c>
      <c r="BQ5" s="18">
        <f t="shared" si="1"/>
        <v>10549.199999999999</v>
      </c>
      <c r="BR5" s="18">
        <f t="shared" si="1"/>
        <v>9829.34</v>
      </c>
      <c r="BS5" s="18">
        <f t="shared" si="1"/>
        <v>0</v>
      </c>
      <c r="BT5" s="19">
        <f t="shared" si="1"/>
        <v>0</v>
      </c>
    </row>
    <row r="6" spans="1:72" s="2175" customFormat="1" ht="12.75">
      <c r="A6" s="15" t="s">
        <v>1876</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1895</v>
      </c>
      <c r="I9" s="2189" t="s">
        <v>3169</v>
      </c>
      <c r="J9" s="980"/>
      <c r="K9" s="2189" t="s">
        <v>3171</v>
      </c>
      <c r="L9" s="980"/>
      <c r="M9" s="2189"/>
      <c r="N9" s="980"/>
      <c r="O9" s="2189"/>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2.75">
      <c r="A10" s="2180"/>
      <c r="B10" s="2180"/>
      <c r="C10" s="2180"/>
      <c r="D10" s="2180"/>
      <c r="E10" s="2180"/>
      <c r="F10" s="2180"/>
      <c r="G10" s="1291"/>
      <c r="H10" s="28"/>
      <c r="I10" s="2189" t="s">
        <v>1373</v>
      </c>
      <c r="J10" s="980"/>
      <c r="K10" s="2195" t="s">
        <v>1373</v>
      </c>
      <c r="L10" s="980"/>
      <c r="M10" s="2195"/>
      <c r="N10" s="980"/>
      <c r="O10" s="2195"/>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地下</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t="s">
        <v>3170</v>
      </c>
      <c r="J11" s="2201"/>
      <c r="K11" s="2200" t="s">
        <v>3170</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独立商业</v>
      </c>
      <c r="BC12" s="2210" t="str">
        <f>K11</f>
        <v>独立商业</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93" t="s">
        <v>3177</v>
      </c>
      <c r="D13" s="2211" t="s">
        <v>3060</v>
      </c>
      <c r="E13" s="16">
        <f>IF($C$3="是",ROUND($A$3*G13/$B$3,2),ROUND($A$3*(G13-AT13)/$B$3,2))</f>
        <v>0</v>
      </c>
      <c r="F13" s="32"/>
      <c r="G13" s="33">
        <f>H13+AC13+AT13</f>
        <v>39697.29</v>
      </c>
      <c r="H13" s="20">
        <f>SUMIF(I$12:AB$12,"总值",I13:AB13)</f>
        <v>19318.75</v>
      </c>
      <c r="I13" s="2212">
        <f>商业面积!C11+商业面积!C12+商业面积!C13+(商业面积!C14+商业面积!E14)+(商业面积!E15+商业面积!F15+商业面积!G15)</f>
        <v>16248.41</v>
      </c>
      <c r="J13" s="2212"/>
      <c r="K13" s="2212">
        <f>商业面积!C9+商业面积!N9</f>
        <v>3070.34</v>
      </c>
      <c r="L13" s="2212"/>
      <c r="M13" s="2212"/>
      <c r="N13" s="2212"/>
      <c r="O13" s="2212"/>
      <c r="P13" s="2212"/>
      <c r="Q13" s="2212"/>
      <c r="R13" s="2212"/>
      <c r="S13" s="2212"/>
      <c r="T13" s="2212"/>
      <c r="U13" s="2212"/>
      <c r="V13" s="2212"/>
      <c r="W13" s="2212"/>
      <c r="X13" s="2212"/>
      <c r="Y13" s="2212"/>
      <c r="Z13" s="2212"/>
      <c r="AA13" s="2212"/>
      <c r="AB13" s="2212"/>
      <c r="AC13" s="16">
        <f>SUMIF(AD$12:AS$12,"总值",AD13:AS13)</f>
        <v>20378.54</v>
      </c>
      <c r="AD13" s="2213"/>
      <c r="AE13" s="2213"/>
      <c r="AF13" s="2213"/>
      <c r="AG13" s="2213"/>
      <c r="AH13" s="2213"/>
      <c r="AI13" s="2213"/>
      <c r="AJ13" s="2213"/>
      <c r="AK13" s="2213"/>
      <c r="AL13" s="2213">
        <f>商业面积!U11+商业面积!U12+商业面积!U13+商业面积!U14+商业面积!U15</f>
        <v>10549.199999999999</v>
      </c>
      <c r="AM13" s="2213"/>
      <c r="AN13" s="2213">
        <f>商业面积!U9+商业面积!U10</f>
        <v>9829.34</v>
      </c>
      <c r="AO13" s="2213"/>
      <c r="AP13" s="2213"/>
      <c r="AQ13" s="2213"/>
      <c r="AR13" s="2213"/>
      <c r="AS13" s="2213"/>
      <c r="AT13" s="2214"/>
      <c r="AU13" s="2215"/>
      <c r="AV13" s="11">
        <f t="shared" ref="AV13:AX17" si="6">A13</f>
        <v>0</v>
      </c>
      <c r="AW13" s="11">
        <f t="shared" si="6"/>
        <v>0</v>
      </c>
      <c r="AX13" s="11" t="str">
        <f t="shared" si="6"/>
        <v>商业</v>
      </c>
      <c r="AY13" s="1805">
        <f>ROUND($AY$6*AZ13/$AZ$5,2)</f>
        <v>0</v>
      </c>
      <c r="AZ13" s="16">
        <f>BA13+BL13</f>
        <v>39697.29</v>
      </c>
      <c r="BA13" s="16">
        <f>SUM(BB13:BK13)</f>
        <v>19318.75</v>
      </c>
      <c r="BB13" s="16">
        <f>IF($D13="是",I13-J13,0)</f>
        <v>16248.41</v>
      </c>
      <c r="BC13" s="16">
        <f>IF($D13="是",K13-L13,0)</f>
        <v>3070.34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20378.54</v>
      </c>
      <c r="BM13" s="16">
        <f>IF($D13="是",AD13-AE13,0)</f>
        <v>0</v>
      </c>
      <c r="BN13" s="16">
        <f>IF($D13="是",AF13-AG13,0)</f>
        <v>0</v>
      </c>
      <c r="BO13" s="16">
        <f>IF($D13="是",AH13-AI13,0)</f>
        <v>0</v>
      </c>
      <c r="BP13" s="16">
        <f>IF($D13="是",AJ13-AK13,0)</f>
        <v>0</v>
      </c>
      <c r="BQ13" s="16">
        <f>IF($D13="是",AL13-AM13,0)</f>
        <v>10549.199999999999</v>
      </c>
      <c r="BR13" s="16">
        <f>IF($D13="是",AN13-AO13,0)</f>
        <v>9829.34</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1"/>
      <c r="C1" s="1391"/>
      <c r="D1" s="1391"/>
      <c r="E1" s="1391"/>
      <c r="F1" s="1391"/>
      <c r="G1" s="1391"/>
      <c r="H1" s="1391"/>
      <c r="I1" s="1391"/>
      <c r="J1" s="1391"/>
      <c r="K1" s="1391"/>
      <c r="L1" s="1391"/>
      <c r="M1" s="1391"/>
      <c r="N1" s="1391"/>
      <c r="O1" s="1391"/>
      <c r="P1" s="1391"/>
    </row>
    <row r="2" spans="1:16" ht="15">
      <c r="A2" s="3084" t="s">
        <v>1935</v>
      </c>
      <c r="B2" s="3084"/>
      <c r="C2" s="3084"/>
      <c r="D2" s="966" t="s">
        <v>1911</v>
      </c>
      <c r="E2" s="2225" t="s">
        <v>1912</v>
      </c>
      <c r="F2" s="1391"/>
      <c r="G2" s="2226"/>
      <c r="H2" s="2227"/>
      <c r="I2" s="2228" t="s">
        <v>1936</v>
      </c>
      <c r="J2" s="1391"/>
      <c r="K2" s="1391"/>
      <c r="L2" s="1391"/>
      <c r="M2" s="1391"/>
      <c r="N2" s="1426"/>
      <c r="O2" s="1391"/>
      <c r="P2" s="1391"/>
    </row>
    <row r="3" spans="1:16" ht="15.75" thickBot="1">
      <c r="A3" s="3085" t="s">
        <v>1909</v>
      </c>
      <c r="B3" s="3085"/>
      <c r="C3" s="3085"/>
      <c r="D3" s="46">
        <f>'数据-基础表'!AY6</f>
        <v>0</v>
      </c>
      <c r="E3" s="46">
        <f>'数据-基础表'!AZ5</f>
        <v>39697.29</v>
      </c>
      <c r="F3" s="1391"/>
      <c r="G3" s="1398"/>
      <c r="H3" s="1246" t="s">
        <v>1910</v>
      </c>
      <c r="I3" s="55" t="e">
        <f>ROUND('数据-基础表'!B3/'数据-基础表'!A3,2)</f>
        <v>#DIV/0!</v>
      </c>
      <c r="J3" s="1391"/>
      <c r="K3" s="1391"/>
      <c r="L3" s="1391"/>
      <c r="M3" s="1391"/>
      <c r="N3" s="1426"/>
      <c r="O3" s="1391"/>
      <c r="P3" s="1391"/>
    </row>
    <row r="4" spans="1:16" ht="15">
      <c r="A4" s="3086"/>
      <c r="B4" s="3087"/>
      <c r="C4" s="3088"/>
      <c r="D4" s="2229" t="s">
        <v>1911</v>
      </c>
      <c r="E4" s="2230" t="s">
        <v>1912</v>
      </c>
      <c r="F4" s="1391"/>
      <c r="G4" s="2231" t="s">
        <v>1937</v>
      </c>
      <c r="H4" s="1246" t="s">
        <v>1917</v>
      </c>
      <c r="I4" s="55" t="e">
        <f>ROUND(SUMIF('数据-基础表'!I9:AS9,"地上",'数据-基础表'!I5:AS5)/'数据-基础表'!A3,2)</f>
        <v>#DIV/0!</v>
      </c>
      <c r="J4" s="1391"/>
      <c r="K4" s="1391"/>
      <c r="L4" s="1391"/>
      <c r="M4" s="1391"/>
      <c r="N4" s="1426"/>
      <c r="O4" s="1391"/>
      <c r="P4" s="1391"/>
    </row>
    <row r="5" spans="1:16">
      <c r="A5" s="47" t="s">
        <v>1913</v>
      </c>
      <c r="B5" s="3089" t="s">
        <v>1914</v>
      </c>
      <c r="C5" s="3089"/>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2"/>
      <c r="B6" s="3089" t="s">
        <v>1915</v>
      </c>
      <c r="C6" s="3089"/>
      <c r="D6" s="48">
        <f>ROUND($D$3*E6/$E$3,2)</f>
        <v>0</v>
      </c>
      <c r="E6" s="49">
        <f>E3-E5</f>
        <v>39697.29</v>
      </c>
      <c r="F6" s="1391"/>
      <c r="G6" s="2233" t="s">
        <v>1916</v>
      </c>
      <c r="H6" s="1398" t="s">
        <v>1917</v>
      </c>
      <c r="I6" s="938" t="e">
        <f>ROUND(F31/D31,2)</f>
        <v>#DIV/0!</v>
      </c>
      <c r="J6" s="1391"/>
      <c r="K6" s="1391"/>
      <c r="L6" s="1391"/>
      <c r="M6" s="1391"/>
      <c r="N6" s="1391"/>
      <c r="O6" s="1391"/>
      <c r="P6" s="1391"/>
    </row>
    <row r="7" spans="1:16" ht="15">
      <c r="A7" s="3081"/>
      <c r="B7" s="3082"/>
      <c r="C7" s="3083"/>
      <c r="D7" s="2229" t="s">
        <v>1911</v>
      </c>
      <c r="E7" s="2234" t="s">
        <v>1918</v>
      </c>
      <c r="F7" s="1391"/>
      <c r="G7" s="2226" t="s">
        <v>1919</v>
      </c>
      <c r="H7" s="64"/>
      <c r="I7" s="420"/>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16248.41</v>
      </c>
      <c r="F8" s="1391"/>
      <c r="G8" s="2235"/>
      <c r="H8" s="2235"/>
      <c r="I8" s="1391"/>
      <c r="J8" s="1391"/>
      <c r="K8" s="1391"/>
      <c r="L8" s="1391"/>
      <c r="M8" s="1391"/>
      <c r="N8" s="1391"/>
      <c r="O8" s="1391"/>
      <c r="P8" s="1391"/>
    </row>
    <row r="9" spans="1:16">
      <c r="A9" s="2236"/>
      <c r="B9" s="2237"/>
      <c r="C9" s="48" t="s">
        <v>1923</v>
      </c>
      <c r="D9" s="48">
        <f t="shared" si="0"/>
        <v>0</v>
      </c>
      <c r="E9" s="52">
        <v>0</v>
      </c>
      <c r="F9" s="1391"/>
      <c r="G9" s="2235"/>
      <c r="H9" s="2235"/>
      <c r="I9" s="1391"/>
      <c r="J9" s="1391"/>
      <c r="K9" s="1391"/>
      <c r="L9" s="1391"/>
      <c r="M9" s="1391"/>
      <c r="N9" s="1391"/>
      <c r="O9" s="1391"/>
      <c r="P9" s="1391"/>
    </row>
    <row r="10" spans="1:16">
      <c r="A10" s="2236"/>
      <c r="B10" s="2237"/>
      <c r="C10" s="48" t="s">
        <v>1932</v>
      </c>
      <c r="D10" s="48">
        <f t="shared" si="0"/>
        <v>0</v>
      </c>
      <c r="E10" s="51">
        <f>SUMPRODUCT(('数据-基础表'!BB10:BK10="地下")*('数据-基础表'!BB11:BK11="商业")*('数据-基础表'!BB5:BK5))</f>
        <v>3070.34</v>
      </c>
      <c r="F10" s="1391"/>
      <c r="G10" s="2235"/>
      <c r="H10" s="2235"/>
      <c r="I10" s="1391"/>
      <c r="J10" s="1391"/>
      <c r="K10" s="1391"/>
      <c r="L10" s="1391"/>
      <c r="M10" s="1391"/>
      <c r="N10" s="1391"/>
      <c r="O10" s="1391"/>
      <c r="P10" s="1391"/>
    </row>
    <row r="11" spans="1:16">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1927</v>
      </c>
      <c r="D16" s="50">
        <f>SUM(D8:D15)</f>
        <v>0</v>
      </c>
      <c r="E16" s="53">
        <f>SUM(E8:E15)</f>
        <v>19318.75</v>
      </c>
      <c r="F16" s="1391"/>
      <c r="G16" s="2235"/>
      <c r="H16" s="2238" t="s">
        <v>1939</v>
      </c>
      <c r="I16" s="2239"/>
      <c r="J16" s="1391"/>
      <c r="K16" s="3078" t="s">
        <v>1939</v>
      </c>
      <c r="L16" s="3079"/>
      <c r="M16" s="3079"/>
      <c r="N16" s="3079"/>
      <c r="O16" s="3079"/>
      <c r="P16" s="3080"/>
    </row>
    <row r="17" spans="1:19" ht="15">
      <c r="A17" s="2240" t="s">
        <v>1940</v>
      </c>
      <c r="B17" s="2241" t="s">
        <v>1941</v>
      </c>
      <c r="C17" s="2242" t="s">
        <v>1942</v>
      </c>
      <c r="D17" s="2243" t="s">
        <v>1930</v>
      </c>
      <c r="E17" s="2244" t="s">
        <v>1931</v>
      </c>
      <c r="F17" s="2245"/>
      <c r="G17" s="2246"/>
      <c r="H17" s="2247" t="s">
        <v>1943</v>
      </c>
      <c r="I17" s="2248" t="s">
        <v>1928</v>
      </c>
      <c r="J17" s="1391"/>
      <c r="K17" s="3075" t="s">
        <v>1944</v>
      </c>
      <c r="L17" s="3076"/>
      <c r="M17" s="3077"/>
      <c r="N17" s="3075" t="s">
        <v>1945</v>
      </c>
      <c r="O17" s="3076"/>
      <c r="P17" s="3077"/>
      <c r="R17" s="2226" t="s">
        <v>1946</v>
      </c>
      <c r="S17" s="64"/>
    </row>
    <row r="18" spans="1:19" ht="15">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c r="A19" s="2257"/>
      <c r="B19" s="50" t="s">
        <v>1929</v>
      </c>
      <c r="C19" s="2955" t="str">
        <f>'数据-基础表'!C13</f>
        <v>商业</v>
      </c>
      <c r="D19" s="48">
        <f>ROUND($D$3*E19/$E$3,2)</f>
        <v>0</v>
      </c>
      <c r="E19" s="56">
        <f t="shared" ref="E19:E26" si="1">SUM(F19:G19)</f>
        <v>19318.75</v>
      </c>
      <c r="F19" s="57">
        <f>'数据-基础表'!I13</f>
        <v>16248.41</v>
      </c>
      <c r="G19" s="58">
        <f>'数据-基础表'!K13</f>
        <v>3070.34</v>
      </c>
      <c r="H19" s="722">
        <f>ROUND($D$3*I19/$E$3,2)</f>
        <v>0</v>
      </c>
      <c r="I19" s="51">
        <f t="shared" ref="I19:I26" si="2">IF($I$17="自定义",P19,M19)</f>
        <v>20378.54</v>
      </c>
      <c r="J19" s="1391"/>
      <c r="K19" s="1390">
        <f t="shared" ref="K19:K26" si="3">ROUND(E$28*E19/E$27,2)</f>
        <v>20378.54</v>
      </c>
      <c r="L19" s="1246">
        <f t="shared" ref="L19:L26" si="4">ROUND(IF(COUNTIF(C19,"*住宅*")&gt;0,E$29*E19/E$32,0),2)</f>
        <v>0</v>
      </c>
      <c r="M19" s="1402">
        <f>K19+L19</f>
        <v>20378.54</v>
      </c>
      <c r="N19" s="2258"/>
      <c r="O19" s="2259"/>
      <c r="P19" s="1402">
        <f>N19+O19</f>
        <v>0</v>
      </c>
      <c r="R19" s="1246">
        <f t="shared" ref="R19:S26" si="5">D19+H19</f>
        <v>0</v>
      </c>
      <c r="S19" s="1247">
        <f t="shared" si="5"/>
        <v>39697.29</v>
      </c>
    </row>
    <row r="20" spans="1:19">
      <c r="A20" s="2260"/>
      <c r="B20" s="50" t="s">
        <v>1957</v>
      </c>
      <c r="C20" s="29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1957</v>
      </c>
      <c r="C21" s="2955"/>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1957</v>
      </c>
      <c r="C22" s="2955"/>
      <c r="D22" s="48">
        <f t="shared" si="6"/>
        <v>0</v>
      </c>
      <c r="E22" s="56">
        <f t="shared" si="1"/>
        <v>0</v>
      </c>
      <c r="F22" s="57"/>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2955"/>
      <c r="D23" s="48">
        <f>ROUND($D$3*E23/$E$3,2)</f>
        <v>0</v>
      </c>
      <c r="E23" s="56">
        <f>SUM(F23:G23)</f>
        <v>0</v>
      </c>
      <c r="F23" s="57"/>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2955"/>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19318.75</v>
      </c>
      <c r="F27" s="1392">
        <f>IF(SUM(F19:F26)=E8,SUM(F19:F26),"地上面积有误")</f>
        <v>16248.41</v>
      </c>
      <c r="G27" s="1394">
        <f>SUM(G19:G26)</f>
        <v>3070.34</v>
      </c>
      <c r="H27" s="1395">
        <f>SUM(H19:H26)</f>
        <v>0</v>
      </c>
      <c r="I27" s="1396">
        <f>SUM(I19:I26)</f>
        <v>20378.54</v>
      </c>
      <c r="J27" s="1391"/>
      <c r="K27" s="1399">
        <f>SUM(K19:K26)</f>
        <v>20378.54</v>
      </c>
      <c r="L27" s="1400">
        <f>SUM(L19:L26)</f>
        <v>0</v>
      </c>
      <c r="M27" s="1403">
        <f>SUM(M19:M26)</f>
        <v>20378.54</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39697.29</v>
      </c>
    </row>
    <row r="28" spans="1:19">
      <c r="A28" s="2260"/>
      <c r="B28" s="50" t="s">
        <v>1959</v>
      </c>
      <c r="C28" s="1258" t="s">
        <v>1960</v>
      </c>
      <c r="D28" s="48">
        <f>ROUND($D$3*E28/$E$3,2)</f>
        <v>0</v>
      </c>
      <c r="E28" s="56">
        <f>SUM(F28:G28)</f>
        <v>20378.54</v>
      </c>
      <c r="F28" s="64">
        <f>'数据-基础表'!BQ5+'数据-基础表'!BS5</f>
        <v>10549.199999999999</v>
      </c>
      <c r="G28" s="65">
        <f>'数据-基础表'!BR5+'数据-基础表'!BT5</f>
        <v>9829.34</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20378.54</v>
      </c>
      <c r="F30" s="1392">
        <f>SUM(F28:F29)</f>
        <v>10549.199999999999</v>
      </c>
      <c r="G30" s="1394">
        <f>SUM(G28:G29)</f>
        <v>9829.34</v>
      </c>
      <c r="H30" s="1391"/>
      <c r="I30" s="1391"/>
      <c r="J30" s="1391"/>
      <c r="K30" s="1391"/>
      <c r="L30" s="1391"/>
      <c r="M30" s="1391"/>
      <c r="N30" s="1391"/>
      <c r="O30" s="1391"/>
      <c r="P30" s="1391"/>
    </row>
    <row r="31" spans="1:19" ht="15.75" thickBot="1">
      <c r="A31" s="2266"/>
      <c r="B31" s="2267"/>
      <c r="C31" s="1006" t="s">
        <v>1962</v>
      </c>
      <c r="D31" s="728">
        <f>D27+D30</f>
        <v>0</v>
      </c>
      <c r="E31" s="728">
        <f>E27+E30</f>
        <v>39697.29</v>
      </c>
      <c r="F31" s="729">
        <f>F27+F30</f>
        <v>26797.61</v>
      </c>
      <c r="G31" s="730">
        <f>G27+G30</f>
        <v>12899.68</v>
      </c>
      <c r="H31" s="1391"/>
      <c r="I31" s="1391"/>
      <c r="J31" s="1391"/>
      <c r="K31" s="1391"/>
      <c r="L31" s="1391"/>
      <c r="M31" s="1391"/>
      <c r="N31" s="1391"/>
      <c r="O31" s="1391"/>
      <c r="P31" s="1391"/>
    </row>
    <row r="32" spans="1:19">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43761</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3173</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2" t="s">
        <v>2005</v>
      </c>
      <c r="AP5" s="1248" t="s">
        <v>2006</v>
      </c>
      <c r="AQ5" s="2302" t="s">
        <v>2007</v>
      </c>
      <c r="AR5" s="2302"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3" t="str">
        <f>'数据-汇总表'!C19</f>
        <v>商业</v>
      </c>
      <c r="B6" s="2304" t="str">
        <f>IF(A6=0,"","经营性")</f>
        <v>经营性</v>
      </c>
      <c r="C6" s="2305" t="s">
        <v>1373</v>
      </c>
      <c r="D6" s="1050">
        <f>SUMIF(项目基本情况!D$12:I$12,C6,项目基本情况!D$14:I$14)</f>
        <v>40</v>
      </c>
      <c r="E6" s="1047">
        <f>IF(B6="","",SUMIF(项目基本情况!D$12:I$12,C6,项目基本情况!D$13:I$13))</f>
        <v>56306</v>
      </c>
      <c r="F6" s="72">
        <f>SUMIF(项目基本情况!D$12:I$12,C6,项目基本情况!D$15:I$15)</f>
        <v>34.36</v>
      </c>
      <c r="G6" s="73">
        <f>IF(ISERROR(ROUND(POWER(1+H6,D6-F6)*(POWER(1+H6,F6)-1)/(POWER(1+H6,D6)-1),3)),0,ROUND(POWER(1+H6,D6-F6)*(POWER(1+H6,F6)-1)/(POWER(1+H6,D6)-1),3))</f>
        <v>0.94799999999999995</v>
      </c>
      <c r="H6" s="801">
        <v>0.05</v>
      </c>
      <c r="I6" s="801">
        <v>5.5E-2</v>
      </c>
      <c r="J6" s="74">
        <v>0.08</v>
      </c>
      <c r="K6" s="1250">
        <f>SUMIF('数据-汇总表'!C$19:C$33,A6,'数据-汇总表'!E$19:E$33)</f>
        <v>19318.75</v>
      </c>
      <c r="L6" s="802">
        <v>2200</v>
      </c>
      <c r="M6" s="75">
        <f t="shared" ref="M6:M14" si="0">ROUND(K6*L6/10000,0)</f>
        <v>4250</v>
      </c>
      <c r="N6" s="800">
        <v>0.97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20378.54</v>
      </c>
      <c r="T6" s="1442">
        <f>ROUND($L$14*S6/10000,0)</f>
        <v>0</v>
      </c>
      <c r="U6" s="78">
        <v>2.1</v>
      </c>
      <c r="V6" s="79">
        <v>0.03</v>
      </c>
      <c r="W6" s="79">
        <v>0.1</v>
      </c>
      <c r="X6" s="1260"/>
      <c r="Y6" s="80">
        <f>N6</f>
        <v>0.97</v>
      </c>
      <c r="Z6" s="81"/>
      <c r="AA6" s="74"/>
      <c r="AB6" s="74"/>
      <c r="AC6" s="1260"/>
      <c r="AD6" s="82"/>
      <c r="AE6" s="1261">
        <f ca="1">IF(AN6="",0,SUMIF(INDIRECT("'"&amp;AN6&amp;"'"&amp;"!E:E"),$AE$5,INDIRECT("'"&amp;AN6&amp;"'"&amp;"!F:F")))</f>
        <v>34.36</v>
      </c>
      <c r="AF6" s="1803"/>
      <c r="AG6" s="147">
        <f>IF(AF6="",0,AE6-AF6)</f>
        <v>0</v>
      </c>
      <c r="AH6" s="83"/>
      <c r="AI6" s="85">
        <v>365</v>
      </c>
      <c r="AJ6" s="86"/>
      <c r="AK6" s="87">
        <v>1.4999999999999999E-2</v>
      </c>
      <c r="AL6" s="88">
        <v>1.5E-3</v>
      </c>
      <c r="AM6" s="89">
        <v>0.02</v>
      </c>
      <c r="AN6" s="2306" t="s">
        <v>3178</v>
      </c>
      <c r="AO6" s="55">
        <f ca="1">SUMIF(INDIRECT("'"&amp;AN6&amp;"'"&amp;"!A:A"),"总价",INDIRECT("'"&amp;AN6&amp;"'"&amp;"!B:B"))</f>
        <v>21892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803"/>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803"/>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0"/>
      <c r="E14" s="1047"/>
      <c r="F14" s="72"/>
      <c r="G14" s="73"/>
      <c r="H14" s="1249"/>
      <c r="I14" s="1249"/>
      <c r="J14" s="1249"/>
      <c r="K14" s="1250">
        <f>SUMIF('数据-汇总表'!C$19:C$33,A14,'数据-汇总表'!E$19:E$33)</f>
        <v>20378.54</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4"/>
      <c r="D16" s="2311"/>
      <c r="E16" s="97"/>
      <c r="F16" s="97"/>
      <c r="G16" s="98">
        <f>ROUND(SUMPRODUCT(G6:G13,K6:K13)/SUMPRODUCT((G6:G13&gt;0)*(K6:K13)),3)</f>
        <v>0.94799999999999995</v>
      </c>
      <c r="H16" s="99">
        <f>ROUND(SUMPRODUCT(H6:H13,K6:K13)/SUMPRODUCT((H6:H13&gt;0)*(K6:K13)),3)</f>
        <v>0.05</v>
      </c>
      <c r="I16" s="100"/>
      <c r="J16" s="100"/>
      <c r="K16" s="101">
        <f>SUM(K6:K15)</f>
        <v>39697.29</v>
      </c>
      <c r="L16" s="102">
        <f>ROUND(M16*10000/SUM(K6:K14),0)</f>
        <v>1071</v>
      </c>
      <c r="M16" s="102">
        <f>SUM(M6:M14)</f>
        <v>4250</v>
      </c>
      <c r="N16" s="103">
        <f>ROUND(SUMPRODUCT(M6:M14,N6:N14)/M16,3)</f>
        <v>0.97</v>
      </c>
      <c r="O16" s="102">
        <f>SUM(O6:O14)</f>
        <v>0</v>
      </c>
      <c r="P16" s="102">
        <f>SUM(P6:P14)</f>
        <v>0</v>
      </c>
      <c r="Q16" s="104">
        <f>ROUND(SUMPRODUCT(Q6:Q13,K6:K13)/SUMPRODUCT((Q6:Q13&gt;0)*(K6:K13)),2)</f>
        <v>0.15</v>
      </c>
      <c r="R16" s="1254">
        <f ca="1">SUM(R6:R13)</f>
        <v>0</v>
      </c>
      <c r="S16" s="105">
        <f>SUM(S6:S13)</f>
        <v>20378.54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v>2017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f>1-(2019-N18)/60</f>
        <v>0.96666666666666667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150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2028</v>
      </c>
      <c r="B28" s="119">
        <v>150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2029</v>
      </c>
      <c r="B29" s="121"/>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2031</v>
      </c>
      <c r="B30" s="723">
        <v>150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2032</v>
      </c>
      <c r="B31" s="120">
        <f>B30-B32</f>
        <v>150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2033</v>
      </c>
      <c r="B32" s="724">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2034</v>
      </c>
      <c r="B33" s="725">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2036</v>
      </c>
      <c r="B34" s="122">
        <v>0.02</v>
      </c>
      <c r="C34" s="1762" t="s">
        <v>2037</v>
      </c>
      <c r="D34" s="2275" t="s">
        <v>2038</v>
      </c>
      <c r="E34" s="731"/>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2039</v>
      </c>
      <c r="B35" s="119">
        <v>150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523</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5</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90" t="s">
        <v>2080</v>
      </c>
      <c r="B1" s="3091"/>
      <c r="C1" s="3091"/>
      <c r="D1" s="3091"/>
      <c r="E1" s="3091"/>
      <c r="F1" s="3091"/>
      <c r="G1" s="309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5" t="s">
        <v>2083</v>
      </c>
      <c r="B3" s="1267"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2"/>
      <c r="G8" s="1132"/>
      <c r="H8" s="2365"/>
      <c r="I8" s="2365"/>
      <c r="J8" s="2365"/>
      <c r="K8" s="2365"/>
      <c r="L8" s="2365"/>
      <c r="M8" s="2365"/>
      <c r="N8" s="2365"/>
      <c r="O8" s="2365"/>
      <c r="P8" s="2365"/>
      <c r="Q8" s="2365"/>
      <c r="R8" s="2365"/>
    </row>
    <row r="9" spans="1:29" ht="27">
      <c r="A9" s="431"/>
      <c r="B9" s="1794" t="s">
        <v>2101</v>
      </c>
      <c r="C9" s="2371" t="s">
        <v>2102</v>
      </c>
      <c r="D9" s="2368"/>
      <c r="E9" s="2374"/>
      <c r="F9" s="1132"/>
      <c r="G9" s="1132"/>
      <c r="H9" s="2365"/>
      <c r="I9" s="2365"/>
      <c r="J9" s="2365"/>
      <c r="K9" s="2365"/>
      <c r="L9" s="2365"/>
      <c r="M9" s="2365"/>
      <c r="N9" s="2365"/>
      <c r="O9" s="2365"/>
      <c r="P9" s="2365"/>
      <c r="Q9" s="2365"/>
      <c r="R9" s="2365"/>
    </row>
    <row r="10" spans="1:29" s="117" customFormat="1" ht="15.75" thickBot="1">
      <c r="A10" s="2378"/>
      <c r="B10" s="2379" t="s">
        <v>2103</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6" t="s">
        <v>2084</v>
      </c>
      <c r="C15" s="2400" t="str">
        <f>C3</f>
        <v>估价对象周边居住用地比例、居住小区规模和社区发展完善程度，综合评价居住社区成熟度一般</v>
      </c>
      <c r="D15" s="2368"/>
      <c r="E15" s="2401" t="s">
        <v>2108</v>
      </c>
      <c r="F15" s="1266"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39697.29</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43761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28352</v>
      </c>
      <c r="C5" s="1742">
        <f ca="1">ROUND(B5*10000/$B$1,0)</f>
        <v>7142</v>
      </c>
      <c r="D5" s="1742" t="e">
        <f ca="1">ROUND(B5*10000/$B$2,0)</f>
        <v>#DIV/0!</v>
      </c>
      <c r="E5" s="1741"/>
      <c r="F5" s="1739"/>
      <c r="G5" s="1739"/>
    </row>
    <row r="6" spans="1:10" ht="16.5">
      <c r="A6" s="1742" t="s">
        <v>1352</v>
      </c>
      <c r="B6" s="1742">
        <f ca="1">SUM(G14:G23)</f>
        <v>28352</v>
      </c>
      <c r="C6" s="1742">
        <f ca="1">ROUND(B6*10000/$B$1,0)</f>
        <v>7142</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39697.29</v>
      </c>
      <c r="C14" s="1740">
        <f>结果表!C118</f>
        <v>0</v>
      </c>
      <c r="D14" s="1740">
        <f ca="1">结果表!H118</f>
        <v>28352</v>
      </c>
      <c r="E14" s="1740">
        <f ca="1">ROUND(D14*10000/B14,0)</f>
        <v>7142</v>
      </c>
      <c r="F14" s="1740" t="e">
        <f ca="1">ROUND(D14*10000/C14,0)</f>
        <v>#DIV/0!</v>
      </c>
      <c r="G14" s="1740">
        <f ca="1">结果表!D122</f>
        <v>28352</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2117</v>
      </c>
      <c r="B1" s="2416"/>
      <c r="C1" s="2417"/>
      <c r="D1" s="2416"/>
      <c r="E1" s="2416"/>
      <c r="F1" s="2418" t="s">
        <v>2118</v>
      </c>
      <c r="G1" s="2068" t="s">
        <v>3182</v>
      </c>
      <c r="H1" s="2419" t="str">
        <f>IF(G1="现房","——","估价对象范围")</f>
        <v>——</v>
      </c>
      <c r="I1" s="2420"/>
    </row>
    <row r="2" spans="1:12" ht="21.75" customHeight="1" thickBot="1">
      <c r="A2" s="3164" t="str">
        <f>项目基本情况!S2</f>
        <v>房地产</v>
      </c>
      <c r="B2" s="3165"/>
      <c r="C2" s="3165"/>
      <c r="D2" s="3165"/>
      <c r="E2" s="3165"/>
      <c r="F2" s="3165"/>
      <c r="G2" s="3165"/>
      <c r="H2" s="3165"/>
      <c r="I2" s="3166"/>
    </row>
    <row r="3" spans="1:12" ht="12.75">
      <c r="A3" s="3167" t="s">
        <v>2119</v>
      </c>
      <c r="B3" s="3168"/>
      <c r="C3" s="3168"/>
      <c r="D3" s="3168"/>
      <c r="E3" s="3168"/>
      <c r="F3" s="3168"/>
      <c r="G3" s="3168"/>
      <c r="H3" s="3168"/>
      <c r="I3" s="3168"/>
    </row>
    <row r="4" spans="1:12" ht="14.25">
      <c r="A4" s="2423" t="s">
        <v>2120</v>
      </c>
      <c r="B4" s="2424" t="s">
        <v>2121</v>
      </c>
      <c r="C4" s="2425" t="s">
        <v>3178</v>
      </c>
      <c r="D4" s="2425" t="s">
        <v>3183</v>
      </c>
      <c r="E4" s="3148" t="s">
        <v>2122</v>
      </c>
      <c r="F4" s="3161"/>
      <c r="G4" s="3161"/>
      <c r="H4" s="3161"/>
      <c r="I4" s="3149"/>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9" t="s">
        <v>2123</v>
      </c>
      <c r="B5" s="3065">
        <v>25</v>
      </c>
      <c r="C5" s="3169"/>
      <c r="D5" s="3157"/>
      <c r="E5" s="140" t="s">
        <v>2124</v>
      </c>
      <c r="F5" s="2427"/>
      <c r="G5" s="2427"/>
      <c r="H5" s="2427"/>
      <c r="I5" s="1830"/>
    </row>
    <row r="6" spans="1:12" ht="12.75">
      <c r="A6" s="3139"/>
      <c r="B6" s="3065"/>
      <c r="C6" s="3171"/>
      <c r="D6" s="3157"/>
      <c r="E6" s="140" t="s">
        <v>2125</v>
      </c>
      <c r="F6" s="2427"/>
      <c r="G6" s="2427"/>
      <c r="H6" s="2427"/>
      <c r="I6" s="1830"/>
    </row>
    <row r="7" spans="1:12" ht="12.75">
      <c r="A7" s="3139"/>
      <c r="B7" s="3065"/>
      <c r="C7" s="3170"/>
      <c r="D7" s="3157"/>
      <c r="E7" s="140" t="s">
        <v>2126</v>
      </c>
      <c r="F7" s="2427"/>
      <c r="G7" s="2427"/>
      <c r="H7" s="2427"/>
      <c r="I7" s="1830"/>
    </row>
    <row r="8" spans="1:12" ht="12.75">
      <c r="A8" s="3139" t="s">
        <v>2127</v>
      </c>
      <c r="B8" s="3065">
        <v>15</v>
      </c>
      <c r="C8" s="3169"/>
      <c r="D8" s="3157"/>
      <c r="E8" s="140" t="s">
        <v>2128</v>
      </c>
      <c r="F8" s="2427"/>
      <c r="G8" s="2427"/>
      <c r="H8" s="2427"/>
      <c r="I8" s="1830"/>
    </row>
    <row r="9" spans="1:12" ht="12.75">
      <c r="A9" s="3139"/>
      <c r="B9" s="3065"/>
      <c r="C9" s="3170"/>
      <c r="D9" s="3157"/>
      <c r="E9" s="140" t="s">
        <v>2129</v>
      </c>
      <c r="F9" s="2427"/>
      <c r="G9" s="2427"/>
      <c r="H9" s="2427"/>
      <c r="I9" s="1830"/>
    </row>
    <row r="10" spans="1:12" ht="12.75">
      <c r="A10" s="3139" t="s">
        <v>2130</v>
      </c>
      <c r="B10" s="3065">
        <v>15</v>
      </c>
      <c r="C10" s="3169"/>
      <c r="D10" s="3157"/>
      <c r="E10" s="140" t="s">
        <v>2131</v>
      </c>
      <c r="F10" s="2427"/>
      <c r="G10" s="2427"/>
      <c r="H10" s="2427"/>
      <c r="I10" s="1830"/>
    </row>
    <row r="11" spans="1:12" ht="12.75">
      <c r="A11" s="3139"/>
      <c r="B11" s="3065"/>
      <c r="C11" s="3170"/>
      <c r="D11" s="3157"/>
      <c r="E11" s="140" t="s">
        <v>2132</v>
      </c>
      <c r="F11" s="2427"/>
      <c r="G11" s="2427"/>
      <c r="H11" s="2427"/>
      <c r="I11" s="1830"/>
    </row>
    <row r="12" spans="1:12" ht="12.75">
      <c r="A12" s="3139" t="s">
        <v>2133</v>
      </c>
      <c r="B12" s="3065">
        <v>15</v>
      </c>
      <c r="C12" s="3169"/>
      <c r="D12" s="3157"/>
      <c r="E12" s="140" t="s">
        <v>2134</v>
      </c>
      <c r="F12" s="2427"/>
      <c r="G12" s="2427"/>
      <c r="H12" s="2427"/>
      <c r="I12" s="1830"/>
    </row>
    <row r="13" spans="1:12" ht="12.75">
      <c r="A13" s="3139"/>
      <c r="B13" s="3065"/>
      <c r="C13" s="3170"/>
      <c r="D13" s="3157"/>
      <c r="E13" s="140" t="s">
        <v>2135</v>
      </c>
      <c r="F13" s="2427"/>
      <c r="G13" s="2427"/>
      <c r="H13" s="2427"/>
      <c r="I13" s="1830"/>
    </row>
    <row r="14" spans="1:12" ht="12.75">
      <c r="A14" s="3139" t="s">
        <v>2136</v>
      </c>
      <c r="B14" s="3065">
        <v>30</v>
      </c>
      <c r="C14" s="3169">
        <v>4</v>
      </c>
      <c r="D14" s="3157">
        <v>6</v>
      </c>
      <c r="E14" s="140" t="s">
        <v>2137</v>
      </c>
      <c r="F14" s="2427"/>
      <c r="G14" s="2427"/>
      <c r="H14" s="2427"/>
      <c r="I14" s="1830"/>
    </row>
    <row r="15" spans="1:12" ht="12.75">
      <c r="A15" s="3139"/>
      <c r="B15" s="3065"/>
      <c r="C15" s="3171"/>
      <c r="D15" s="3157"/>
      <c r="E15" s="140" t="s">
        <v>2138</v>
      </c>
      <c r="F15" s="2427"/>
      <c r="G15" s="2427"/>
      <c r="H15" s="2427"/>
      <c r="I15" s="1830"/>
    </row>
    <row r="16" spans="1:12" ht="12.75">
      <c r="A16" s="3139"/>
      <c r="B16" s="3065"/>
      <c r="C16" s="3170"/>
      <c r="D16" s="3157"/>
      <c r="E16" s="140" t="s">
        <v>2139</v>
      </c>
      <c r="F16" s="2427"/>
      <c r="G16" s="2427"/>
      <c r="H16" s="2427"/>
      <c r="I16" s="1830"/>
    </row>
    <row r="17" spans="1:35" ht="15">
      <c r="A17" s="2428" t="s">
        <v>2140</v>
      </c>
      <c r="B17" s="64"/>
      <c r="C17" s="141">
        <f>SUM(C5:C16)</f>
        <v>4</v>
      </c>
      <c r="D17" s="141">
        <f>SUM(D5:D16)</f>
        <v>6</v>
      </c>
      <c r="E17" s="138"/>
      <c r="F17" s="138"/>
      <c r="G17" s="138"/>
      <c r="H17" s="138"/>
      <c r="I17" s="138"/>
      <c r="K17" s="2426"/>
      <c r="L17" s="2429" t="s">
        <v>2141</v>
      </c>
      <c r="M17" s="2429" t="s">
        <v>2142</v>
      </c>
    </row>
    <row r="18" spans="1:35" ht="15.75" thickBot="1">
      <c r="A18" s="2430" t="s">
        <v>2143</v>
      </c>
      <c r="B18" s="2431"/>
      <c r="C18" s="142">
        <f>ROUND(C17/SUM(C17:D17),2)</f>
        <v>0.4</v>
      </c>
      <c r="D18" s="142">
        <f>1-C18</f>
        <v>0.6</v>
      </c>
      <c r="E18" s="138"/>
      <c r="F18" s="138"/>
      <c r="G18" s="138"/>
      <c r="H18" s="138"/>
      <c r="I18" s="138"/>
      <c r="K18" s="2426" t="s">
        <v>2144</v>
      </c>
      <c r="L18" s="2426">
        <f>IF(C1="",'数据-汇总表'!E3,SUMIF(项目类型,C1,'数据-汇总表'!E17:E26)+SUMIF(项目类型,C1,'数据-汇总表'!I17:I26))</f>
        <v>39697.29</v>
      </c>
      <c r="M18" s="2426">
        <f>IF(C1="",'数据-汇总表'!E3,SUMIF(项目类型,C1,'数据-汇总表'!E17:E26))</f>
        <v>39697.29</v>
      </c>
    </row>
    <row r="19" spans="1:35" ht="15">
      <c r="A19" s="2432" t="s">
        <v>2145</v>
      </c>
      <c r="B19" s="2433" t="s">
        <v>2146</v>
      </c>
      <c r="C19" s="143">
        <f ca="1">SUMIF(INDIRECT("'"&amp;C4&amp;"'"&amp;"!A:A"),结果表!B19,INDIRECT("'"&amp;C4&amp;"'"&amp;"!B:B"))</f>
        <v>21892</v>
      </c>
      <c r="D19" s="144">
        <f ca="1">SUMIF(INDIRECT("'"&amp;D4&amp;"'"&amp;"!A:A"),结果表!B19,INDIRECT("'"&amp;D4&amp;"'"&amp;"!B:B"))</f>
        <v>32659</v>
      </c>
      <c r="E19" s="2432" t="s">
        <v>2147</v>
      </c>
      <c r="F19" s="2433" t="s">
        <v>2146</v>
      </c>
      <c r="G19" s="145">
        <f ca="1">ROUND(C19*$C$18+D19*$D$18,0)</f>
        <v>28352</v>
      </c>
      <c r="H19" s="2434" t="s">
        <v>2148</v>
      </c>
      <c r="I19" s="138"/>
      <c r="K19" s="2426" t="s">
        <v>2149</v>
      </c>
      <c r="L19" s="2426">
        <f>IF(C1="",'数据-汇总表'!D3,SUMIF(项目类型,C1,'数据-汇总表'!D17:D26)+SUMIF(项目类型,C1,'数据-汇总表'!H17:H27))</f>
        <v>0</v>
      </c>
      <c r="M19" s="2426">
        <f>IF(C1="",'数据-汇总表'!D3,SUMIF(项目类型,C1,'数据-汇总表'!D17:D26))</f>
        <v>0</v>
      </c>
    </row>
    <row r="20" spans="1:35" ht="15">
      <c r="A20" s="2435"/>
      <c r="B20" s="1246" t="s">
        <v>2150</v>
      </c>
      <c r="C20" s="146">
        <f ca="1">SUMIF(INDIRECT("'"&amp;C4&amp;"'"&amp;"!A:A"),结果表!B20,INDIRECT("'"&amp;C4&amp;"'"&amp;"!B:B"))</f>
        <v>11332</v>
      </c>
      <c r="D20" s="147">
        <f ca="1">SUMIF(INDIRECT("'"&amp;D4&amp;"'"&amp;"!A:A"),结果表!B20,INDIRECT("'"&amp;D4&amp;"'"&amp;"!B:B"))</f>
        <v>16905</v>
      </c>
      <c r="E20" s="2435"/>
      <c r="F20" s="1246" t="s">
        <v>2150</v>
      </c>
      <c r="G20" s="148">
        <f ca="1">ROUND(C20*$C$18+D20*$D$18,0)</f>
        <v>14676</v>
      </c>
      <c r="H20" s="979" t="s">
        <v>2151</v>
      </c>
      <c r="I20" s="138"/>
    </row>
    <row r="21" spans="1:35" ht="15" customHeight="1" thickBot="1">
      <c r="A21" s="999"/>
      <c r="B21" s="2436" t="s">
        <v>2152</v>
      </c>
      <c r="C21" s="788" t="e">
        <f ca="1">ROUND(C19*10000/L19,0)</f>
        <v>#DIV/0!</v>
      </c>
      <c r="D21" s="789" t="e">
        <f ca="1">ROUND(D19*10000/L19,0)</f>
        <v>#DIV/0!</v>
      </c>
      <c r="E21" s="999"/>
      <c r="F21" s="2436" t="s">
        <v>2152</v>
      </c>
      <c r="G21" s="149" t="e">
        <f ca="1">ROUND(G19*10000/L19,0)</f>
        <v>#DIV/0!</v>
      </c>
      <c r="H21" s="2437" t="s">
        <v>2151</v>
      </c>
      <c r="I21" s="138"/>
    </row>
    <row r="22" spans="1:35" ht="15" thickBot="1">
      <c r="A22" s="2278" t="s">
        <v>2153</v>
      </c>
      <c r="B22" s="2438"/>
      <c r="C22" s="2439"/>
      <c r="D22" s="790">
        <f ca="1">IF(C19&lt;D19,D19/C19-1,C19/D19-1)</f>
        <v>0.49182349716791518</v>
      </c>
      <c r="E22" s="138"/>
      <c r="F22" s="138"/>
      <c r="G22" s="138"/>
      <c r="H22" s="138"/>
      <c r="I22" s="138"/>
    </row>
    <row r="23" spans="1:35" ht="13.5" thickBot="1">
      <c r="A23" s="2416"/>
      <c r="B23" s="2416"/>
      <c r="C23" s="2416"/>
      <c r="D23" s="2416"/>
      <c r="E23" s="138"/>
      <c r="F23" s="138"/>
      <c r="G23" s="138"/>
      <c r="H23" s="138"/>
      <c r="I23" s="138"/>
    </row>
    <row r="24" spans="1:35" ht="14.25">
      <c r="A24" s="3178" t="s">
        <v>2154</v>
      </c>
      <c r="B24" s="2433" t="s">
        <v>2146</v>
      </c>
      <c r="C24" s="145">
        <f>IF(B30=0,0,D30)</f>
        <v>0</v>
      </c>
      <c r="D24" s="2440"/>
      <c r="E24" s="138"/>
      <c r="F24" s="138"/>
      <c r="G24" s="138"/>
      <c r="H24" s="138"/>
      <c r="I24" s="138"/>
    </row>
    <row r="25" spans="1:35" ht="14.25">
      <c r="A25" s="3179"/>
      <c r="B25" s="1246"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2160</v>
      </c>
      <c r="B32" s="2446"/>
      <c r="C32" s="153">
        <f ca="1">IF(D32="总价",G19-C24,G20-C25)</f>
        <v>28352</v>
      </c>
      <c r="D32" s="2447" t="s">
        <v>2161</v>
      </c>
      <c r="E32" s="138"/>
      <c r="F32" s="138"/>
      <c r="G32" s="138"/>
      <c r="H32" s="138"/>
      <c r="I32" s="138"/>
    </row>
    <row r="33" spans="1:15" ht="15">
      <c r="A33" s="956" t="s">
        <v>2162</v>
      </c>
      <c r="B33" s="2448"/>
      <c r="C33" s="2449"/>
      <c r="D33" s="2450"/>
      <c r="E33" s="2451" t="s">
        <v>2163</v>
      </c>
      <c r="F33" s="2452" t="str">
        <f>IF(D32="楼面单价","取值（单价）","取值（总价）")</f>
        <v>取值（总价）</v>
      </c>
      <c r="G33" s="138"/>
      <c r="H33" s="138"/>
      <c r="I33" s="138"/>
    </row>
    <row r="34" spans="1:15" ht="15">
      <c r="A34" s="2453"/>
      <c r="B34" s="2454"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2165</v>
      </c>
      <c r="F34" s="1735"/>
      <c r="G34" s="138"/>
      <c r="H34" s="138"/>
      <c r="I34" s="138"/>
    </row>
    <row r="35" spans="1:15" ht="15.75" thickBot="1">
      <c r="A35" s="2456"/>
      <c r="B35" s="2457"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2167</v>
      </c>
      <c r="F35" s="163"/>
      <c r="G35" s="138"/>
      <c r="H35" s="138"/>
      <c r="I35" s="138"/>
    </row>
    <row r="36" spans="1:15" ht="15.75" thickBot="1">
      <c r="A36" s="3158" t="s">
        <v>2168</v>
      </c>
      <c r="B36" s="2459" t="s">
        <v>2169</v>
      </c>
      <c r="C36" s="154"/>
      <c r="D36" s="2460"/>
      <c r="E36" s="2461"/>
      <c r="F36" s="2462"/>
      <c r="G36" s="138"/>
      <c r="H36" s="138"/>
      <c r="I36" s="138"/>
    </row>
    <row r="37" spans="1:15" ht="15.75" thickBot="1">
      <c r="A37" s="3159"/>
      <c r="B37" s="2264" t="s">
        <v>2170</v>
      </c>
      <c r="C37" s="156"/>
      <c r="D37" s="1391"/>
      <c r="E37" s="1391"/>
      <c r="F37" s="2462"/>
      <c r="G37" s="138"/>
      <c r="H37" s="138"/>
      <c r="I37" s="138"/>
    </row>
    <row r="38" spans="1:15" ht="15.75" thickBot="1">
      <c r="A38" s="3160"/>
      <c r="B38" s="2463" t="s">
        <v>2171</v>
      </c>
      <c r="C38" s="726"/>
      <c r="D38" s="2464" t="s">
        <v>2172</v>
      </c>
      <c r="E38" s="1391"/>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75" t="s">
        <v>2182</v>
      </c>
      <c r="B45" s="3176"/>
      <c r="C45" s="3177"/>
      <c r="D45" s="164">
        <f ca="1">ROUND(H101*F45,0)</f>
        <v>28352</v>
      </c>
      <c r="E45" s="165" t="s">
        <v>2183</v>
      </c>
      <c r="F45" s="166">
        <v>1</v>
      </c>
      <c r="G45" s="167" t="s">
        <v>2184</v>
      </c>
      <c r="H45" s="138"/>
      <c r="I45" s="138"/>
      <c r="J45" s="3094" t="s">
        <v>2185</v>
      </c>
      <c r="K45" s="3094"/>
      <c r="L45" s="3094"/>
      <c r="M45" s="3094"/>
      <c r="N45" s="3094"/>
      <c r="O45" s="3094"/>
    </row>
    <row r="46" spans="1:15" ht="14.25" customHeight="1">
      <c r="A46" s="3172" t="s">
        <v>2186</v>
      </c>
      <c r="B46" s="3173"/>
      <c r="C46" s="3173"/>
      <c r="D46" s="3173"/>
      <c r="E46" s="3173"/>
      <c r="F46" s="3173"/>
      <c r="G46" s="3174"/>
      <c r="H46" s="2478"/>
      <c r="I46" s="168"/>
      <c r="J46" s="1808">
        <v>1</v>
      </c>
      <c r="K46" s="3094" t="s">
        <v>2187</v>
      </c>
      <c r="L46" s="3094"/>
      <c r="M46" s="3095"/>
      <c r="N46" s="3095"/>
      <c r="O46" s="3095"/>
    </row>
    <row r="47" spans="1:15" ht="12" customHeight="1">
      <c r="A47" s="169" t="s">
        <v>2188</v>
      </c>
      <c r="B47" s="170"/>
      <c r="C47" s="171"/>
      <c r="D47" s="172" t="s">
        <v>2189</v>
      </c>
      <c r="E47" s="24" t="s">
        <v>2190</v>
      </c>
      <c r="F47" s="173" t="s">
        <v>2191</v>
      </c>
      <c r="G47" s="174" t="s">
        <v>2192</v>
      </c>
      <c r="H47" s="2478"/>
      <c r="I47" s="168"/>
      <c r="J47" s="1808">
        <v>2</v>
      </c>
      <c r="K47" s="3094" t="s">
        <v>2193</v>
      </c>
      <c r="L47" s="3094"/>
      <c r="M47" s="3096">
        <f>'数据-取费表'!B2</f>
        <v>43761</v>
      </c>
      <c r="N47" s="3096"/>
      <c r="O47" s="3096"/>
    </row>
    <row r="48" spans="1:15" ht="25.5">
      <c r="A48" s="3162" t="s">
        <v>2194</v>
      </c>
      <c r="B48" s="3163"/>
      <c r="C48" s="3163"/>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094" t="s">
        <v>2197</v>
      </c>
      <c r="L48" s="3094"/>
      <c r="M48" s="3097">
        <f ca="1">H101</f>
        <v>28352</v>
      </c>
      <c r="N48" s="3097"/>
      <c r="O48" s="3097"/>
    </row>
    <row r="49" spans="1:35" ht="25.5" customHeight="1">
      <c r="A49" s="176" t="s">
        <v>2198</v>
      </c>
      <c r="B49" s="3142" t="s">
        <v>2199</v>
      </c>
      <c r="C49" s="3142"/>
      <c r="D49" s="177">
        <v>0</v>
      </c>
      <c r="E49" s="23" t="s">
        <v>2200</v>
      </c>
      <c r="F49" s="28" t="s">
        <v>34</v>
      </c>
      <c r="G49" s="3123"/>
      <c r="H49" s="138"/>
      <c r="I49" s="2481"/>
      <c r="J49" s="1808">
        <v>4</v>
      </c>
      <c r="K49" s="3094" t="str">
        <f>IF(项目基本情况!E8="房地产抵押价值","房地产抵押价值","抵押担保权已注销时的房地产抵押价值")</f>
        <v>房地产抵押价值</v>
      </c>
      <c r="L49" s="3094"/>
      <c r="M49" s="3097">
        <f ca="1">IF(项目基本情况!E8="房地产抵押价值",H107,H109)</f>
        <v>28352</v>
      </c>
      <c r="N49" s="3097"/>
      <c r="O49" s="3097"/>
    </row>
    <row r="50" spans="1:35" ht="25.5" customHeight="1">
      <c r="A50" s="178"/>
      <c r="B50" s="3142" t="s">
        <v>2201</v>
      </c>
      <c r="C50" s="3142"/>
      <c r="D50" s="179"/>
      <c r="E50" s="31"/>
      <c r="F50" s="180"/>
      <c r="G50" s="3124"/>
      <c r="H50" s="138"/>
      <c r="I50" s="2481"/>
      <c r="J50" s="3094" t="s">
        <v>2202</v>
      </c>
      <c r="K50" s="3094"/>
      <c r="L50" s="3094"/>
      <c r="M50" s="3094"/>
      <c r="N50" s="3094"/>
      <c r="O50" s="3094"/>
    </row>
    <row r="51" spans="1:35" ht="12" customHeight="1">
      <c r="A51" s="181"/>
      <c r="B51" s="3142" t="s">
        <v>2203</v>
      </c>
      <c r="C51" s="3142"/>
      <c r="D51" s="182"/>
      <c r="E51" s="30"/>
      <c r="F51" s="180"/>
      <c r="G51" s="3125"/>
      <c r="H51" s="138"/>
      <c r="I51" s="2481"/>
      <c r="J51" s="2482" t="s">
        <v>2204</v>
      </c>
      <c r="K51" s="3094" t="s">
        <v>2205</v>
      </c>
      <c r="L51" s="3094"/>
      <c r="M51" s="2482" t="s">
        <v>2206</v>
      </c>
      <c r="N51" s="2482" t="s">
        <v>2207</v>
      </c>
      <c r="O51" s="2482" t="s">
        <v>2208</v>
      </c>
    </row>
    <row r="52" spans="1:35" ht="24" customHeight="1">
      <c r="A52" s="183" t="s">
        <v>2209</v>
      </c>
      <c r="B52" s="3142" t="s">
        <v>2210</v>
      </c>
      <c r="C52" s="3142"/>
      <c r="D52" s="182">
        <f ca="1">ROUND(D45*'数据-取费表'!B41/(1+'数据-取费表'!C42),0)</f>
        <v>1512</v>
      </c>
      <c r="E52" s="11" t="s">
        <v>2211</v>
      </c>
      <c r="F52" s="184">
        <f>'数据-取费表'!B41</f>
        <v>5.6000000000000001E-2</v>
      </c>
      <c r="G52" s="2483"/>
      <c r="H52" s="138"/>
      <c r="I52" s="2481"/>
      <c r="J52" s="1808">
        <v>1</v>
      </c>
      <c r="K52" s="3117" t="s">
        <v>2212</v>
      </c>
      <c r="L52" s="3117"/>
      <c r="M52" s="1750">
        <f>D48</f>
        <v>0</v>
      </c>
      <c r="N52" s="1808" t="str">
        <f>E48</f>
        <v>销售额×税（费）率</v>
      </c>
      <c r="O52" s="1751" t="str">
        <f>F48</f>
        <v>免征</v>
      </c>
    </row>
    <row r="53" spans="1:35" ht="12" customHeight="1">
      <c r="A53" s="183" t="s">
        <v>2213</v>
      </c>
      <c r="B53" s="3143" t="s">
        <v>2214</v>
      </c>
      <c r="C53" s="3144"/>
      <c r="D53" s="182">
        <f ca="1">ROUND(D45*'数据-取费表'!B41/(1+'数据-取费表'!C42),0)</f>
        <v>1512</v>
      </c>
      <c r="E53" s="11" t="s">
        <v>2211</v>
      </c>
      <c r="F53" s="184">
        <f>'数据-取费表'!B41</f>
        <v>5.6000000000000001E-2</v>
      </c>
      <c r="G53" s="2483"/>
      <c r="H53" s="138"/>
      <c r="I53" s="2481"/>
      <c r="J53" s="1808">
        <v>2</v>
      </c>
      <c r="K53" s="3117" t="s">
        <v>2215</v>
      </c>
      <c r="L53" s="3117"/>
      <c r="M53" s="1750">
        <f t="shared" ref="M53:O54" ca="1" si="0">D55</f>
        <v>14</v>
      </c>
      <c r="N53" s="1808" t="str">
        <f t="shared" si="0"/>
        <v>销售额×税（费）率</v>
      </c>
      <c r="O53" s="1751">
        <f t="shared" si="0"/>
        <v>5.0000000000000001E-4</v>
      </c>
    </row>
    <row r="54" spans="1:35" ht="12" customHeight="1">
      <c r="A54" s="183" t="s">
        <v>2216</v>
      </c>
      <c r="B54" s="3143" t="s">
        <v>2217</v>
      </c>
      <c r="C54" s="3144"/>
      <c r="D54" s="182">
        <f ca="1">C68</f>
        <v>1512</v>
      </c>
      <c r="E54" s="30" t="s">
        <v>2218</v>
      </c>
      <c r="F54" s="184">
        <f>'数据-取费表'!B41</f>
        <v>5.6000000000000001E-2</v>
      </c>
      <c r="G54" s="2483"/>
      <c r="H54" s="2484"/>
      <c r="I54" s="2481"/>
      <c r="J54" s="1808">
        <v>3</v>
      </c>
      <c r="K54" s="3117" t="s">
        <v>2219</v>
      </c>
      <c r="L54" s="3117"/>
      <c r="M54" s="1750">
        <f t="shared" ca="1" si="0"/>
        <v>16047</v>
      </c>
      <c r="N54" s="1808" t="str">
        <f t="shared" si="0"/>
        <v>增值额×税（费）率</v>
      </c>
      <c r="O54" s="1752" t="str">
        <f t="shared" si="0"/>
        <v>——</v>
      </c>
    </row>
    <row r="55" spans="1:35" ht="24" customHeight="1">
      <c r="A55" s="3181" t="s">
        <v>2220</v>
      </c>
      <c r="B55" s="3163"/>
      <c r="C55" s="3163"/>
      <c r="D55" s="185">
        <f ca="1">IF(H55="个人住宅",0,ROUND(D45*I55,0))</f>
        <v>14</v>
      </c>
      <c r="E55" s="11" t="s">
        <v>2221</v>
      </c>
      <c r="F55" s="184">
        <f>IF(H55="正常",I55,"免征")</f>
        <v>5.0000000000000001E-4</v>
      </c>
      <c r="G55" s="2483"/>
      <c r="H55" s="2480" t="s">
        <v>2222</v>
      </c>
      <c r="I55" s="186">
        <f>'数据-取费表'!B49</f>
        <v>5.0000000000000001E-4</v>
      </c>
      <c r="J55" s="1808" t="str">
        <f>IF(H59="非个人房产","",4)</f>
        <v/>
      </c>
      <c r="K55" s="3117" t="str">
        <f>IF(H59="非个人房产","——","个人所得税")</f>
        <v>——</v>
      </c>
      <c r="L55" s="3117"/>
      <c r="M55" s="1753" t="str">
        <f>D59</f>
        <v>——</v>
      </c>
      <c r="N55" s="1806" t="str">
        <f>E59</f>
        <v>——</v>
      </c>
      <c r="O55" s="1754" t="str">
        <f>F59</f>
        <v>——</v>
      </c>
    </row>
    <row r="56" spans="1:35" ht="24.75">
      <c r="A56" s="3181" t="s">
        <v>2223</v>
      </c>
      <c r="B56" s="3163"/>
      <c r="C56" s="3163"/>
      <c r="D56" s="185">
        <f ca="1">IF(H56="个人住宅",D57,D58)</f>
        <v>16047</v>
      </c>
      <c r="E56" s="11" t="s">
        <v>2224</v>
      </c>
      <c r="F56" s="184" t="str">
        <f>IF(H56="正常",F58,"免征")</f>
        <v>——</v>
      </c>
      <c r="G56" s="2485" t="s">
        <v>2225</v>
      </c>
      <c r="H56" s="2486" t="s">
        <v>2222</v>
      </c>
      <c r="I56" s="2487"/>
      <c r="J56" s="1808" t="str">
        <f>IF(项目基本情况!K6="上海银行",IF(J55="",4,J55+1),"")</f>
        <v/>
      </c>
      <c r="K56" s="3100" t="str">
        <f>IF(项目基本情况!K6="上海银行","其他处置费用","")</f>
        <v/>
      </c>
      <c r="L56" s="3101"/>
      <c r="M56" s="1750" t="str">
        <f>IF(项目基本情况!K6="上海银行",M69,"")</f>
        <v/>
      </c>
      <c r="N56" s="3103" t="str">
        <f>IF(项目基本情况!K6="上海银行","包含处置中涉及的律师、诉讼、拍卖、评估等费用","")</f>
        <v/>
      </c>
      <c r="O56" s="3104"/>
    </row>
    <row r="57" spans="1:35" ht="12.75">
      <c r="A57" s="183" t="s">
        <v>2198</v>
      </c>
      <c r="B57" s="3148" t="s">
        <v>2226</v>
      </c>
      <c r="C57" s="3149"/>
      <c r="D57" s="187">
        <v>0</v>
      </c>
      <c r="E57" s="23" t="s">
        <v>2200</v>
      </c>
      <c r="F57" s="155"/>
      <c r="G57" s="2483"/>
      <c r="H57" s="2487"/>
      <c r="I57" s="2487"/>
      <c r="J57" s="3117">
        <f>IF(AND(J55="",J56=""),4,IF(项目基本情况!K6="上海银行",结果表!J56+1,结果表!J55+1))</f>
        <v>4</v>
      </c>
      <c r="K57" s="3117" t="s">
        <v>2227</v>
      </c>
      <c r="L57" s="2488" t="s">
        <v>2228</v>
      </c>
      <c r="M57" s="1755"/>
      <c r="N57" s="1756">
        <f ca="1">SUMIF(M52:M56,"&lt;9e307")</f>
        <v>16061</v>
      </c>
      <c r="O57" s="2489"/>
      <c r="P57" s="1749">
        <f ca="1">N57/M49</f>
        <v>0.56648560948081261</v>
      </c>
    </row>
    <row r="58" spans="1:35" ht="24.75">
      <c r="A58" s="183" t="s">
        <v>2209</v>
      </c>
      <c r="B58" s="3148" t="s">
        <v>2229</v>
      </c>
      <c r="C58" s="3161"/>
      <c r="D58" s="185">
        <f ca="1">IF(H58="转让取得",C81,C97)</f>
        <v>16047</v>
      </c>
      <c r="E58" s="11" t="s">
        <v>2224</v>
      </c>
      <c r="F58" s="24" t="s">
        <v>34</v>
      </c>
      <c r="G58" s="2483"/>
      <c r="H58" s="2486" t="s">
        <v>2230</v>
      </c>
      <c r="I58" s="2487"/>
      <c r="J58" s="3117"/>
      <c r="K58" s="3117"/>
      <c r="L58" s="2488" t="s">
        <v>2231</v>
      </c>
      <c r="M58" s="1757"/>
      <c r="N58" s="2490" t="str">
        <f ca="1">NUMBERSTRING(INT(N57*10000),2)&amp;"元整"</f>
        <v>壹亿陆仟零陆拾壹万元整</v>
      </c>
      <c r="O58" s="2491"/>
    </row>
    <row r="59" spans="1:35" ht="24.75" thickBot="1">
      <c r="A59" s="3121" t="s">
        <v>2232</v>
      </c>
      <c r="B59" s="3122"/>
      <c r="C59" s="3122"/>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19">
        <f>J57+1</f>
        <v>5</v>
      </c>
      <c r="K59" s="3117" t="s">
        <v>2234</v>
      </c>
      <c r="L59" s="1808" t="s">
        <v>2228</v>
      </c>
      <c r="M59" s="1758"/>
      <c r="N59" s="1759">
        <f ca="1">M49-N57</f>
        <v>12291</v>
      </c>
      <c r="O59" s="2493"/>
    </row>
    <row r="60" spans="1:35" ht="12" customHeight="1">
      <c r="A60" s="2494"/>
      <c r="B60" s="2416"/>
      <c r="C60" s="2416"/>
      <c r="D60" s="2416"/>
      <c r="E60" s="2164"/>
      <c r="F60" s="2487"/>
      <c r="G60" s="2487"/>
      <c r="H60" s="2495"/>
      <c r="I60" s="138"/>
      <c r="J60" s="3120"/>
      <c r="K60" s="3117"/>
      <c r="L60" s="2488" t="s">
        <v>2231</v>
      </c>
      <c r="M60" s="1757"/>
      <c r="N60" s="2490" t="str">
        <f ca="1">NUMBERSTRING(INT(N59*10000),2)&amp;"元整"</f>
        <v>壹亿贰仟贰佰玖拾壹万元整</v>
      </c>
      <c r="O60" s="2491"/>
    </row>
    <row r="61" spans="1:35" ht="13.5" thickBot="1">
      <c r="A61" s="3180" t="s">
        <v>2235</v>
      </c>
      <c r="B61" s="3180"/>
      <c r="C61" s="3180"/>
      <c r="D61" s="3180"/>
      <c r="E61" s="3180"/>
      <c r="F61" s="2487"/>
      <c r="G61" s="2487"/>
      <c r="H61" s="2495"/>
      <c r="I61" s="138"/>
      <c r="J61" s="1808">
        <f>J59+1</f>
        <v>6</v>
      </c>
      <c r="K61" s="3117" t="s">
        <v>2236</v>
      </c>
      <c r="L61" s="3117"/>
      <c r="M61" s="1760"/>
      <c r="N61" s="1761">
        <f ca="1">ROUND(N59*10000/'数据-汇总表'!E3,0)</f>
        <v>3096</v>
      </c>
      <c r="O61" s="2496"/>
    </row>
    <row r="62" spans="1:35" ht="12.75">
      <c r="A62" s="3137" t="s">
        <v>2237</v>
      </c>
      <c r="B62" s="3138"/>
      <c r="C62" s="1800"/>
      <c r="D62" s="1800" t="s">
        <v>2238</v>
      </c>
      <c r="E62" s="192" t="s">
        <v>2239</v>
      </c>
      <c r="F62" s="2487"/>
      <c r="G62" s="2487"/>
      <c r="H62" s="2495"/>
      <c r="I62" s="138"/>
    </row>
    <row r="63" spans="1:35" ht="12.75">
      <c r="A63" s="203" t="s">
        <v>775</v>
      </c>
      <c r="B63" s="193" t="s">
        <v>2240</v>
      </c>
      <c r="C63" s="194">
        <f ca="1">ROUND((C64+C65)/(1+'数据-取费表'!C42),0)</f>
        <v>27002</v>
      </c>
      <c r="D63" s="195"/>
      <c r="E63" s="196"/>
      <c r="F63" s="2487"/>
      <c r="G63" s="2487"/>
      <c r="H63" s="2495"/>
      <c r="I63" s="138"/>
      <c r="J63" s="3102" t="s">
        <v>2241</v>
      </c>
      <c r="K63" s="2497" t="s">
        <v>2242</v>
      </c>
      <c r="L63" s="1748">
        <f ca="1">IF(M49&gt;10000,M49*0.5%,IF(AND(M49&gt;1000,M49&lt;=10000),M49*1%,IF(AND(M49&gt;100,M49&lt;=1000),M49*3%,IF(AND(M49&gt;10,M49&lt;=100),M49*5%,M49*8%))))</f>
        <v>141.76</v>
      </c>
      <c r="M63" s="24">
        <f ca="1">ROUND(L63,1)</f>
        <v>141.80000000000001</v>
      </c>
      <c r="Z63" s="2421"/>
      <c r="AI63" s="2422"/>
    </row>
    <row r="64" spans="1:35" ht="14.25" customHeight="1">
      <c r="A64" s="197" t="s">
        <v>770</v>
      </c>
      <c r="B64" s="198" t="s">
        <v>2243</v>
      </c>
      <c r="C64" s="199">
        <f ca="1">D45</f>
        <v>28352</v>
      </c>
      <c r="D64" s="200" t="s">
        <v>32</v>
      </c>
      <c r="E64" s="201"/>
      <c r="F64" s="2487"/>
      <c r="G64" s="2487"/>
      <c r="H64" s="2495"/>
      <c r="I64" s="138"/>
      <c r="J64" s="3102"/>
      <c r="K64" s="2497" t="s">
        <v>2244</v>
      </c>
      <c r="L64" s="1748">
        <f ca="1">IF(M49&gt;2000,M49*0.5%,IF(AND(M49&gt;1000,M49&lt;=2000),M49*0.6%,IF(AND(M49&gt;500,M49&lt;=1000),M49*0.7%,IF(AND(M49&gt;200,M49&lt;=500),M49*0.8%,IF(AND(M49&gt;100,M49&lt;=200),M49*0.9%,IF(AND(M49&gt;50,M49&lt;=100),M49*1%,IF(AND(M49&gt;20,M49&lt;=50),M49*1.5%,IF(AND(M49&gt;10,M49&lt;=20),M49*2%,IF(AND(M49&gt;1,M49&lt;=10),M49*2.5%)))))))))</f>
        <v>141.76</v>
      </c>
      <c r="M64" s="24">
        <f t="shared" ref="M64:M65" ca="1" si="1">ROUND(L64,1)</f>
        <v>141.80000000000001</v>
      </c>
      <c r="N64" s="138" t="s">
        <v>2245</v>
      </c>
      <c r="Z64" s="2421"/>
      <c r="AI64" s="2422"/>
    </row>
    <row r="65" spans="1:35" ht="14.25" customHeight="1">
      <c r="A65" s="197" t="s">
        <v>771</v>
      </c>
      <c r="B65" s="198" t="s">
        <v>2246</v>
      </c>
      <c r="C65" s="202"/>
      <c r="D65" s="200"/>
      <c r="E65" s="201"/>
      <c r="F65" s="2487"/>
      <c r="G65" s="2487"/>
      <c r="H65" s="2495"/>
      <c r="I65" s="138"/>
      <c r="J65" s="3102"/>
      <c r="K65" s="2497" t="s">
        <v>2247</v>
      </c>
      <c r="L65" s="1748">
        <f ca="1">IF(M49&gt;1000,M49*0.1%,IF(AND(M49&gt;500,M49&lt;=1000),M49*0.5%,IF(AND(M49&gt;50,M49&lt;=500),M49*1%,IF(AND(M49&gt;1,M49&lt;=50),M49*1.5%))))</f>
        <v>28.352</v>
      </c>
      <c r="M65" s="24">
        <f t="shared" ca="1" si="1"/>
        <v>28.4</v>
      </c>
      <c r="N65" s="138" t="s">
        <v>2245</v>
      </c>
      <c r="Z65" s="2421"/>
      <c r="AI65" s="2422"/>
    </row>
    <row r="66" spans="1:35" ht="14.25" customHeight="1">
      <c r="A66" s="203" t="s">
        <v>772</v>
      </c>
      <c r="B66" s="204" t="s">
        <v>2248</v>
      </c>
      <c r="C66" s="205"/>
      <c r="D66" s="206" t="s">
        <v>32</v>
      </c>
      <c r="E66" s="1772" t="s">
        <v>1367</v>
      </c>
      <c r="F66" s="2487"/>
      <c r="G66" s="2487"/>
      <c r="H66" s="2495"/>
      <c r="I66" s="138"/>
      <c r="J66" s="3102"/>
      <c r="K66" s="2497" t="s">
        <v>2249</v>
      </c>
      <c r="L66" s="1748">
        <f ca="1">M49*0.5%</f>
        <v>141.76</v>
      </c>
      <c r="M66" s="24">
        <f ca="1">IF(L66&gt;0.5,0.5,ROUND(L66,0))</f>
        <v>0.5</v>
      </c>
      <c r="N66" s="138" t="s">
        <v>2250</v>
      </c>
      <c r="Z66" s="2421"/>
      <c r="AI66" s="2422"/>
    </row>
    <row r="67" spans="1:35" ht="14.25" customHeight="1">
      <c r="A67" s="203" t="s">
        <v>773</v>
      </c>
      <c r="B67" s="204" t="s">
        <v>2251</v>
      </c>
      <c r="C67" s="207">
        <f ca="1">C63-C66</f>
        <v>27002</v>
      </c>
      <c r="D67" s="200" t="s">
        <v>32</v>
      </c>
      <c r="E67" s="201"/>
      <c r="F67" s="2487"/>
      <c r="G67" s="2487"/>
      <c r="H67" s="2495"/>
      <c r="I67" s="138"/>
      <c r="J67" s="3102"/>
      <c r="K67" s="2497" t="s">
        <v>2252</v>
      </c>
      <c r="L67" s="1748">
        <f ca="1">IF(M49&gt;=10000,(8.25+(M49-10000)*0.01%),IF(AND(M49&gt;=8000,M49&lt;10000),(7.85+(M49-8000)*0.02%),IF(AND(M49&gt;=5000,M49&lt;8000),(6.65+(M49-5000)*0.04%),IF(AND(M49&gt;=2000,M49&lt;5000),(4.25+(PM49-2000)*0.08%),IF(AND(M49&gt;=1000,M49&lt;2000),(2.75+(M49-1000)*0.15%),IF(AND(M49&gt;=100,M49&lt;1000),(0.5+(M49-100)*0.25%),IF(AND(M49&gt;0,M49&lt;100),M49*0.5%)))))))</f>
        <v>10.0852</v>
      </c>
      <c r="M67" s="24">
        <f ca="1">ROUND(L67*0.9,1)</f>
        <v>9.1</v>
      </c>
      <c r="Z67" s="2421"/>
      <c r="AI67" s="2422"/>
    </row>
    <row r="68" spans="1:35" ht="14.25" customHeight="1" thickBot="1">
      <c r="A68" s="208" t="s">
        <v>774</v>
      </c>
      <c r="B68" s="209" t="s">
        <v>2253</v>
      </c>
      <c r="C68" s="210">
        <f ca="1">IF(C67&lt;=0,0,ROUND(C67*D68,0))</f>
        <v>1512</v>
      </c>
      <c r="D68" s="211">
        <f>'数据-取费表'!B41</f>
        <v>5.6000000000000001E-2</v>
      </c>
      <c r="E68" s="212"/>
      <c r="F68" s="2487"/>
      <c r="G68" s="2487"/>
      <c r="H68" s="2495"/>
      <c r="I68" s="138"/>
      <c r="J68" s="3102"/>
      <c r="K68" s="2497" t="s">
        <v>2254</v>
      </c>
      <c r="L68" s="1748">
        <f ca="1">IF(M49&gt;10000,M49*0.5%,IF(AND(M49&gt;5000,M49&lt;=10000),M49*1%,IF(AND(M49&gt;1000,M49&lt;=5000),M49*2%,IF(AND(M49&gt;200,M49&lt;=1000),M49*3%,M49*5%))))</f>
        <v>141.76</v>
      </c>
      <c r="M68" s="24">
        <f ca="1">ROUND(L68,1)</f>
        <v>141.80000000000001</v>
      </c>
      <c r="Z68" s="2421"/>
      <c r="AI68" s="2422"/>
    </row>
    <row r="69" spans="1:35" s="2444" customFormat="1" ht="16.5" customHeight="1">
      <c r="A69" s="2498"/>
      <c r="B69" s="2499"/>
      <c r="C69" s="2500"/>
      <c r="D69" s="2501"/>
      <c r="E69" s="2502"/>
      <c r="F69" s="2164"/>
      <c r="G69" s="2164"/>
      <c r="H69" s="2163"/>
      <c r="I69" s="2416"/>
      <c r="J69" s="3102"/>
      <c r="K69" s="2497" t="s">
        <v>2255</v>
      </c>
      <c r="L69" s="2503"/>
      <c r="M69" s="24">
        <f ca="1">ROUND(SUM(M63:M68),0)</f>
        <v>463</v>
      </c>
      <c r="N69" s="1749">
        <f ca="1">M69/M49</f>
        <v>1.6330417607223476E-2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46" t="s">
        <v>2256</v>
      </c>
      <c r="B70" s="3147"/>
      <c r="C70" s="3147"/>
      <c r="D70" s="3147"/>
      <c r="E70" s="3147"/>
      <c r="F70" s="3147"/>
      <c r="G70" s="3147"/>
      <c r="H70" s="314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7" t="s">
        <v>2237</v>
      </c>
      <c r="B71" s="3138"/>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27002</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162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43" t="s">
        <v>2265</v>
      </c>
      <c r="F76" s="3142"/>
      <c r="G76" s="3142"/>
      <c r="H76" s="314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162</v>
      </c>
      <c r="D78" s="226">
        <f>'数据-取费表'!B43</f>
        <v>6.000000000000001E-3</v>
      </c>
      <c r="E78" s="3134" t="s">
        <v>2270</v>
      </c>
      <c r="F78" s="3135"/>
      <c r="G78" s="3135"/>
      <c r="H78" s="313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26840</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165.67901234567901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16047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6" t="s">
        <v>2274</v>
      </c>
      <c r="B83" s="3147"/>
      <c r="C83" s="3147"/>
      <c r="D83" s="3147"/>
      <c r="E83" s="3147"/>
      <c r="F83" s="3147"/>
      <c r="G83" s="3147"/>
      <c r="H83" s="314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7" t="s">
        <v>2237</v>
      </c>
      <c r="B84" s="3138"/>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27002</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162</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134" t="s">
        <v>2283</v>
      </c>
      <c r="F91" s="3135"/>
      <c r="G91" s="3135"/>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134" t="s">
        <v>2287</v>
      </c>
      <c r="F92" s="3135"/>
      <c r="G92" s="3135"/>
      <c r="H92" s="313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162</v>
      </c>
      <c r="D93" s="226">
        <f>'数据-取费表'!B43</f>
        <v>6.000000000000001E-3</v>
      </c>
      <c r="E93" s="3134" t="s">
        <v>2270</v>
      </c>
      <c r="F93" s="3135"/>
      <c r="G93" s="3135"/>
      <c r="H93" s="313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82" t="s">
        <v>2291</v>
      </c>
      <c r="F94" s="3183"/>
      <c r="G94" s="3183"/>
      <c r="H94" s="318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26840</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165.67901234567901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16047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2292</v>
      </c>
      <c r="B99" s="2416"/>
      <c r="C99" s="2416"/>
      <c r="D99" s="2416"/>
      <c r="E99" s="2164"/>
      <c r="F99" s="2164"/>
      <c r="G99" s="2164"/>
      <c r="H99" s="2163"/>
      <c r="I99" s="138"/>
    </row>
    <row r="100" spans="1:35" ht="18.75" customHeight="1">
      <c r="A100" s="3086" t="s">
        <v>2293</v>
      </c>
      <c r="B100" s="3087"/>
      <c r="C100" s="3087"/>
      <c r="D100" s="3118"/>
      <c r="E100" s="3087" t="s">
        <v>2294</v>
      </c>
      <c r="F100" s="3087"/>
      <c r="G100" s="3087"/>
      <c r="H100" s="3118"/>
      <c r="I100" s="138"/>
    </row>
    <row r="101" spans="1:35" ht="18.75" customHeight="1">
      <c r="A101" s="3126" t="s">
        <v>2295</v>
      </c>
      <c r="B101" s="3127"/>
      <c r="C101" s="735" t="str">
        <f>C4</f>
        <v>收益法</v>
      </c>
      <c r="D101" s="736" t="str">
        <f>D4</f>
        <v>典型户型修正</v>
      </c>
      <c r="E101" s="3098" t="s">
        <v>2296</v>
      </c>
      <c r="F101" s="3099"/>
      <c r="G101" s="2518" t="s">
        <v>2297</v>
      </c>
      <c r="H101" s="1044">
        <f ca="1">H118</f>
        <v>28352</v>
      </c>
      <c r="I101" s="138"/>
    </row>
    <row r="102" spans="1:35" ht="18.75" customHeight="1">
      <c r="A102" s="3128" t="s">
        <v>2298</v>
      </c>
      <c r="B102" s="2518" t="s">
        <v>2297</v>
      </c>
      <c r="C102" s="735">
        <f ca="1">C19</f>
        <v>21892</v>
      </c>
      <c r="D102" s="736">
        <f ca="1">D19</f>
        <v>32659</v>
      </c>
      <c r="E102" s="3098"/>
      <c r="F102" s="3099"/>
      <c r="G102" s="2518" t="s">
        <v>2299</v>
      </c>
      <c r="H102" s="371">
        <f ca="1">I118</f>
        <v>7142</v>
      </c>
      <c r="I102" s="138"/>
    </row>
    <row r="103" spans="1:35" ht="42.75" customHeight="1">
      <c r="A103" s="3128"/>
      <c r="B103" s="2518" t="s">
        <v>2299</v>
      </c>
      <c r="C103" s="737">
        <f ca="1">C20</f>
        <v>11332</v>
      </c>
      <c r="D103" s="738">
        <f ca="1">D20</f>
        <v>16905</v>
      </c>
      <c r="E103" s="3092" t="s">
        <v>2300</v>
      </c>
      <c r="F103" s="3093"/>
      <c r="G103" s="2519" t="s">
        <v>2301</v>
      </c>
      <c r="H103" s="1044">
        <f>IF(D36="正常操作",H104+H105+H106,H105+H106)</f>
        <v>0</v>
      </c>
      <c r="I103" s="138"/>
    </row>
    <row r="104" spans="1:35" ht="18.75" customHeight="1">
      <c r="A104" s="3128" t="s">
        <v>2302</v>
      </c>
      <c r="B104" s="2520" t="s">
        <v>2297</v>
      </c>
      <c r="C104" s="739">
        <f ca="1">H118</f>
        <v>28352</v>
      </c>
      <c r="D104" s="740"/>
      <c r="E104" s="2264" t="s">
        <v>2303</v>
      </c>
      <c r="F104" s="2256"/>
      <c r="G104" s="2519" t="s">
        <v>2301</v>
      </c>
      <c r="H104" s="1045">
        <f>IF(D36="同一抵押权人同一抵押物续贷",C36&amp;"（未扣减，详见特别提示）",C36)</f>
        <v>0</v>
      </c>
      <c r="I104" s="138"/>
    </row>
    <row r="105" spans="1:35" ht="18.75" customHeight="1" thickBot="1">
      <c r="A105" s="3140"/>
      <c r="B105" s="2521" t="s">
        <v>2299</v>
      </c>
      <c r="C105" s="741">
        <f ca="1">I118</f>
        <v>7142</v>
      </c>
      <c r="D105" s="742"/>
      <c r="E105" s="2264" t="s">
        <v>2304</v>
      </c>
      <c r="F105" s="2256"/>
      <c r="G105" s="2519" t="s">
        <v>2301</v>
      </c>
      <c r="H105" s="1045">
        <f>C37</f>
        <v>0</v>
      </c>
      <c r="I105" s="138"/>
    </row>
    <row r="106" spans="1:35" ht="18.75" customHeight="1">
      <c r="A106" s="2416" t="s">
        <v>2305</v>
      </c>
      <c r="B106" s="2416"/>
      <c r="C106" s="2416"/>
      <c r="D106" s="2416"/>
      <c r="E106" s="2522" t="s">
        <v>2306</v>
      </c>
      <c r="F106" s="2256"/>
      <c r="G106" s="2519" t="s">
        <v>2301</v>
      </c>
      <c r="H106" s="1045">
        <f>C38</f>
        <v>0</v>
      </c>
      <c r="I106" s="138"/>
    </row>
    <row r="107" spans="1:35" ht="18.75" customHeight="1">
      <c r="A107" s="138"/>
      <c r="B107" s="138"/>
      <c r="C107" s="138"/>
      <c r="D107" s="138"/>
      <c r="E107" s="3129" t="str">
        <f>IF(项目基本情况!E8="已注销","——","3.房地产抵押价值")</f>
        <v>3.房地产抵押价值</v>
      </c>
      <c r="F107" s="3099"/>
      <c r="G107" s="2518" t="s">
        <v>2297</v>
      </c>
      <c r="H107" s="1044">
        <f ca="1">IF(E107="——","——",H101-H103)</f>
        <v>28352</v>
      </c>
      <c r="I107" s="138"/>
    </row>
    <row r="108" spans="1:35" ht="18.75" customHeight="1">
      <c r="A108" s="138"/>
      <c r="B108" s="138"/>
      <c r="C108" s="138"/>
      <c r="D108" s="138"/>
      <c r="E108" s="3129"/>
      <c r="F108" s="3099"/>
      <c r="G108" s="2518" t="s">
        <v>2299</v>
      </c>
      <c r="H108" s="371">
        <f ca="1">ROUND(H107*10000/'数据-汇总表'!E3,0)</f>
        <v>7142</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18" t="s">
        <v>2297</v>
      </c>
      <c r="H109" s="348" t="str">
        <f>IF(E109="——","——",H101-H105-H106)</f>
        <v>——</v>
      </c>
      <c r="I109" s="138"/>
    </row>
    <row r="110" spans="1:35" ht="18.75" customHeight="1">
      <c r="A110" s="138"/>
      <c r="B110" s="138"/>
      <c r="C110" s="138"/>
      <c r="D110" s="138"/>
      <c r="E110" s="3129"/>
      <c r="F110" s="3099"/>
      <c r="G110" s="2518" t="s">
        <v>2299</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8" t="s">
        <v>2297</v>
      </c>
      <c r="H111" s="1044" t="str">
        <f>IF(E111="——","——",N59)</f>
        <v>——</v>
      </c>
      <c r="I111" s="138"/>
    </row>
    <row r="112" spans="1:35" ht="18.75" customHeight="1" thickBot="1">
      <c r="A112" s="138"/>
      <c r="B112" s="138"/>
      <c r="C112" s="138"/>
      <c r="D112" s="138"/>
      <c r="E112" s="3132"/>
      <c r="F112" s="3133"/>
      <c r="G112" s="2523" t="s">
        <v>2299</v>
      </c>
      <c r="H112" s="789" t="str">
        <f>IF(E111="——","——",N61)</f>
        <v>——</v>
      </c>
      <c r="I112" s="138"/>
    </row>
    <row r="113" spans="1:11" ht="18.75" customHeight="1">
      <c r="A113" s="138"/>
      <c r="B113" s="138"/>
      <c r="C113" s="138"/>
      <c r="D113" s="138"/>
      <c r="E113" s="3141" t="s">
        <v>2305</v>
      </c>
      <c r="F113" s="3141"/>
      <c r="G113" s="3141"/>
      <c r="H113" s="3141"/>
      <c r="I113" s="138"/>
    </row>
    <row r="114" spans="1:11" ht="3.75" customHeight="1">
      <c r="A114" s="2416"/>
      <c r="B114" s="2416"/>
      <c r="C114" s="2416"/>
      <c r="D114" s="2416"/>
      <c r="E114" s="2494"/>
      <c r="F114" s="2494"/>
      <c r="G114" s="2494"/>
      <c r="H114" s="2494"/>
      <c r="I114" s="2416"/>
    </row>
    <row r="115" spans="1:11" ht="18.75" customHeight="1">
      <c r="A115" s="3154" t="s">
        <v>2307</v>
      </c>
      <c r="B115" s="3155"/>
      <c r="C115" s="3155"/>
      <c r="D115" s="3155"/>
      <c r="E115" s="3155"/>
      <c r="F115" s="3155"/>
      <c r="G115" s="3155"/>
      <c r="H115" s="3155"/>
      <c r="I115" s="3156"/>
    </row>
    <row r="116" spans="1:11" ht="27" customHeight="1">
      <c r="A116" s="3065" t="s">
        <v>2308</v>
      </c>
      <c r="B116" s="3108" t="s">
        <v>2309</v>
      </c>
      <c r="C116" s="3108" t="s">
        <v>2310</v>
      </c>
      <c r="D116" s="3114" t="s">
        <v>2311</v>
      </c>
      <c r="E116" s="3115"/>
      <c r="F116" s="3150" t="s">
        <v>2312</v>
      </c>
      <c r="G116" s="3150"/>
      <c r="H116" s="3065" t="s">
        <v>2313</v>
      </c>
      <c r="I116" s="3065"/>
    </row>
    <row r="117" spans="1:11" ht="18.75" customHeight="1">
      <c r="A117" s="3065"/>
      <c r="B117" s="3109"/>
      <c r="C117" s="3109"/>
      <c r="D117" s="1794" t="s">
        <v>2314</v>
      </c>
      <c r="E117" s="1794" t="s">
        <v>2315</v>
      </c>
      <c r="F117" s="1794" t="s">
        <v>2314</v>
      </c>
      <c r="G117" s="1794" t="s">
        <v>2316</v>
      </c>
      <c r="H117" s="1794" t="s">
        <v>2314</v>
      </c>
      <c r="I117" s="1794" t="s">
        <v>2316</v>
      </c>
    </row>
    <row r="118" spans="1:11" ht="24.75" customHeight="1">
      <c r="A118" s="2524" t="str">
        <f>项目基本情况!S2</f>
        <v>房地产</v>
      </c>
      <c r="B118" s="1794">
        <f>M18</f>
        <v>39697.29</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28352</v>
      </c>
      <c r="I118" s="1794">
        <f ca="1">ROUND(IF(D32="楼面单价",C32,H118*10000/B118),0)</f>
        <v>7142</v>
      </c>
    </row>
    <row r="119" spans="1:11" ht="18.75" customHeight="1">
      <c r="A119" s="3065" t="s">
        <v>2317</v>
      </c>
      <c r="B119" s="3065"/>
      <c r="C119" s="3065"/>
      <c r="D119" s="3110" t="e">
        <f ca="1">NUMBERSTRING(INT(D118*10000),2)&amp;"元整"</f>
        <v>#REF!</v>
      </c>
      <c r="E119" s="3111"/>
      <c r="F119" s="3110" t="e">
        <f ca="1">NUMBERSTRING(INT(F118*10000),2)&amp;"元整"</f>
        <v>#REF!</v>
      </c>
      <c r="G119" s="3111"/>
      <c r="H119" s="3110" t="str">
        <f ca="1">NUMBERSTRING(INT(H118*10000),2)&amp;"元整"</f>
        <v>贰亿捌仟叁佰伍拾贰万元整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21" t="str">
        <f>IF(D120=0,"故，本次评估不存在"&amp;A120,"故，本次评估"&amp;A120&amp;"为人民币"&amp;D120&amp;"万元整。")</f>
        <v>故，本次评估不存在估价师知悉的法定优先受偿款</v>
      </c>
    </row>
    <row r="121" spans="1:11" ht="18.75" customHeight="1">
      <c r="A121" s="3151" t="s">
        <v>2317</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28352</v>
      </c>
      <c r="E122" s="3106"/>
      <c r="F122" s="3106"/>
      <c r="G122" s="3106"/>
      <c r="H122" s="3106"/>
      <c r="I122" s="3107"/>
    </row>
    <row r="123" spans="1:11" ht="18.75" customHeight="1">
      <c r="A123" s="3065" t="s">
        <v>2317</v>
      </c>
      <c r="B123" s="3065"/>
      <c r="C123" s="3065"/>
      <c r="D123" s="3110" t="str">
        <f ca="1">NUMBERSTRING(INT(D122*10000),2)&amp;"元整"</f>
        <v>贰亿捌仟叁佰伍拾贰万元整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2317</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2317</v>
      </c>
      <c r="B127" s="3065"/>
      <c r="C127" s="3065"/>
      <c r="D127" s="3110" t="e">
        <f>NUMBERSTRING(INT(D126*10000),2)&amp;"元整"</f>
        <v>#VALUE!</v>
      </c>
      <c r="E127" s="3112"/>
      <c r="F127" s="3112"/>
      <c r="G127" s="3112"/>
      <c r="H127" s="3112"/>
      <c r="I127" s="3111"/>
    </row>
    <row r="128" spans="1:11" ht="21.75" customHeight="1">
      <c r="A128" s="3113" t="s">
        <v>2318</v>
      </c>
      <c r="B128" s="3113"/>
      <c r="C128" s="3113"/>
      <c r="D128" s="3113"/>
      <c r="E128" s="3113"/>
      <c r="F128" s="3113"/>
      <c r="G128" s="3113"/>
      <c r="H128" s="3113"/>
      <c r="I128" s="3113"/>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2321</v>
      </c>
      <c r="G135" s="2542"/>
      <c r="H135" s="2542"/>
      <c r="I135" s="2543" t="s">
        <v>2322</v>
      </c>
    </row>
    <row r="136" spans="1:35" ht="21.75" customHeight="1">
      <c r="A136" s="794"/>
      <c r="B136" s="2544"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2324</v>
      </c>
    </row>
    <row r="139" spans="1:35" ht="21.75" customHeight="1">
      <c r="A139" s="794"/>
      <c r="B139" s="2544" t="s">
        <v>2325</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2324</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8108</v>
      </c>
      <c r="C2" s="243" t="s">
        <v>2328</v>
      </c>
      <c r="D2" s="2547" t="s">
        <v>70</v>
      </c>
      <c r="E2" s="1439"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2042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5954594</v>
      </c>
      <c r="D5" s="255" t="s">
        <v>2334</v>
      </c>
      <c r="E5" s="256" t="s">
        <v>2335</v>
      </c>
      <c r="F5" s="256" t="s">
        <v>2336</v>
      </c>
      <c r="G5" s="257"/>
    </row>
    <row r="6" spans="1:8" s="258" customFormat="1" ht="13.5" customHeight="1">
      <c r="A6" s="948" t="s">
        <v>2337</v>
      </c>
      <c r="B6" s="259" t="s">
        <v>2338</v>
      </c>
      <c r="C6" s="260"/>
      <c r="D6" s="261"/>
      <c r="E6" s="262"/>
      <c r="F6" s="262"/>
      <c r="G6" s="263"/>
    </row>
    <row r="7" spans="1:8" s="258" customFormat="1" ht="13.5" customHeight="1">
      <c r="A7" s="948" t="s">
        <v>2339</v>
      </c>
      <c r="B7" s="259" t="s">
        <v>2340</v>
      </c>
      <c r="C7" s="264">
        <f>ROUND(C6*F7,0)</f>
        <v>0</v>
      </c>
      <c r="D7" s="264"/>
      <c r="E7" s="262"/>
      <c r="F7" s="265">
        <f>IF(项目基本情况!B8="出让",0,'数据-取费表'!B48+'数据-取费表'!B49)</f>
        <v>3.0499999999999999E-2</v>
      </c>
      <c r="G7" s="263"/>
    </row>
    <row r="8" spans="1:8" s="267" customFormat="1">
      <c r="A8" s="948" t="s">
        <v>2341</v>
      </c>
      <c r="B8" s="259" t="s">
        <v>2342</v>
      </c>
      <c r="C8" s="264">
        <f ca="1">IF(G8="已包含在土地购买价格中",0,C9+C10)</f>
        <v>5954594</v>
      </c>
      <c r="D8" s="266"/>
      <c r="E8" s="264"/>
      <c r="F8" s="265"/>
      <c r="G8" s="2550"/>
    </row>
    <row r="9" spans="1:8" s="258" customFormat="1" ht="13.5" customHeight="1">
      <c r="A9" s="949" t="s">
        <v>800</v>
      </c>
      <c r="B9" s="268" t="s">
        <v>2343</v>
      </c>
      <c r="C9" s="269">
        <f ca="1">ROUND(D9*E9,0)</f>
        <v>0</v>
      </c>
      <c r="D9" s="1031">
        <f ca="1">IF(B1="",'数据-汇总表'!E5,IF(INDIRECT("'数据-取费表'!c"&amp;$G$1)="住宅",INDIRECT("'数据-取费表'!k"&amp;$G$1),0))</f>
        <v>0</v>
      </c>
      <c r="E9" s="269">
        <f>'数据-取费表'!B27</f>
        <v>150</v>
      </c>
      <c r="F9" s="265"/>
      <c r="G9" s="270"/>
    </row>
    <row r="10" spans="1:8" s="258" customFormat="1" ht="13.5" customHeight="1">
      <c r="A10" s="949" t="s">
        <v>801</v>
      </c>
      <c r="B10" s="268" t="s">
        <v>2345</v>
      </c>
      <c r="C10" s="269">
        <f ca="1">ROUND(D10*E10,0)</f>
        <v>5954594</v>
      </c>
      <c r="D10" s="1031">
        <f ca="1">IF(B1="",'数据-汇总表'!E6,IF(INDIRECT("'数据-取费表'!c"&amp;$G$1)="住宅",INDIRECT("'数据-取费表'!s"&amp;$G$1),INDIRECT("'数据-取费表'!k"&amp;$G$1)+INDIRECT("'数据-取费表'!s"&amp;$G$1)))</f>
        <v>39697.29</v>
      </c>
      <c r="E10" s="269">
        <f>'数据-取费表'!B28</f>
        <v>150</v>
      </c>
      <c r="F10" s="265"/>
      <c r="G10" s="270"/>
    </row>
    <row r="11" spans="1:8" s="258" customFormat="1" ht="13.5" hidden="1" customHeight="1">
      <c r="A11" s="271" t="s">
        <v>7</v>
      </c>
      <c r="B11" s="259" t="s">
        <v>2346</v>
      </c>
      <c r="C11" s="255"/>
      <c r="D11" s="1033"/>
      <c r="E11" s="262"/>
      <c r="F11" s="262"/>
      <c r="G11" s="263"/>
    </row>
    <row r="12" spans="1:8" s="258" customFormat="1" ht="13.5" hidden="1" customHeight="1">
      <c r="A12" s="271" t="s">
        <v>8</v>
      </c>
      <c r="B12" s="259" t="s">
        <v>2429</v>
      </c>
      <c r="C12" s="255">
        <v>0</v>
      </c>
      <c r="D12" s="1033"/>
      <c r="E12" s="272"/>
      <c r="F12" s="265">
        <v>3.0499999999999999E-2</v>
      </c>
      <c r="G12" s="263"/>
    </row>
    <row r="13" spans="1:8" s="258" customFormat="1" ht="13.5" hidden="1" customHeight="1">
      <c r="A13" s="271" t="s">
        <v>9</v>
      </c>
      <c r="B13" s="259" t="s">
        <v>2430</v>
      </c>
      <c r="C13" s="255"/>
      <c r="D13" s="1033"/>
      <c r="E13" s="262"/>
      <c r="F13" s="262"/>
      <c r="G13" s="263"/>
    </row>
    <row r="14" spans="1:8" s="258" customFormat="1" ht="13.5" hidden="1" customHeight="1">
      <c r="A14" s="271" t="s">
        <v>10</v>
      </c>
      <c r="B14" s="259" t="s">
        <v>2342</v>
      </c>
      <c r="C14" s="255"/>
      <c r="D14" s="1033"/>
      <c r="E14" s="262"/>
      <c r="F14" s="262"/>
      <c r="G14" s="263" t="s">
        <v>2431</v>
      </c>
    </row>
    <row r="15" spans="1:8" s="258" customFormat="1" ht="13.5" hidden="1" customHeight="1">
      <c r="A15" s="271" t="s">
        <v>11</v>
      </c>
      <c r="B15" s="259" t="s">
        <v>2432</v>
      </c>
      <c r="C15" s="264"/>
      <c r="D15" s="1033"/>
      <c r="E15" s="262"/>
      <c r="F15" s="262"/>
      <c r="G15" s="263" t="s">
        <v>2433</v>
      </c>
    </row>
    <row r="16" spans="1:8" s="258" customFormat="1" ht="13.5" hidden="1" customHeight="1">
      <c r="A16" s="271" t="s">
        <v>12</v>
      </c>
      <c r="B16" s="259" t="s">
        <v>2342</v>
      </c>
      <c r="C16" s="264"/>
      <c r="D16" s="1033"/>
      <c r="E16" s="262"/>
      <c r="F16" s="262"/>
      <c r="G16" s="263"/>
    </row>
    <row r="17" spans="1:7" s="258" customFormat="1" ht="13.5" hidden="1" customHeight="1">
      <c r="A17" s="271" t="s">
        <v>13</v>
      </c>
      <c r="B17" s="259" t="s">
        <v>2434</v>
      </c>
      <c r="C17" s="273"/>
      <c r="D17" s="1034"/>
      <c r="E17" s="273"/>
      <c r="F17" s="273"/>
      <c r="G17" s="263" t="s">
        <v>2433</v>
      </c>
    </row>
    <row r="18" spans="1:7" s="258" customFormat="1" ht="13.5" hidden="1" customHeight="1">
      <c r="A18" s="271" t="s">
        <v>14</v>
      </c>
      <c r="B18" s="259" t="s">
        <v>2435</v>
      </c>
      <c r="C18" s="264">
        <v>0</v>
      </c>
      <c r="D18" s="1033"/>
      <c r="E18" s="262"/>
      <c r="F18" s="265">
        <v>3.0499999999999999E-2</v>
      </c>
      <c r="G18" s="263" t="s">
        <v>2436</v>
      </c>
    </row>
    <row r="19" spans="1:7" s="267" customFormat="1" ht="13.5" customHeight="1">
      <c r="A19" s="299" t="s">
        <v>2437</v>
      </c>
      <c r="B19" s="254" t="s">
        <v>2438</v>
      </c>
      <c r="C19" s="255">
        <f ca="1">IF(G19="已包含在土地取得成本中","0",ROUND(D19*E19,0))</f>
        <v>5954594</v>
      </c>
      <c r="D19" s="1035">
        <f ca="1">D9+D10</f>
        <v>39697.29</v>
      </c>
      <c r="E19" s="255">
        <f>'数据-取费表'!B31</f>
        <v>150</v>
      </c>
      <c r="F19" s="275"/>
      <c r="G19" s="2550"/>
    </row>
    <row r="20" spans="1:7" s="258" customFormat="1" ht="13.5" customHeight="1">
      <c r="A20" s="299" t="s">
        <v>2439</v>
      </c>
      <c r="B20" s="254" t="s">
        <v>2440</v>
      </c>
      <c r="C20" s="276">
        <f ca="1">ROUND((C5+C19)*F20,0)</f>
        <v>238184</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1169556</v>
      </c>
      <c r="D22" s="279">
        <f ca="1">C26</f>
        <v>1E-3</v>
      </c>
      <c r="E22" s="280" t="s">
        <v>2444</v>
      </c>
      <c r="F22" s="281">
        <f ca="1">'数据-取费表'!B40</f>
        <v>4.7500000000000001E-2</v>
      </c>
      <c r="G22" s="278" t="str">
        <f>IF('数据-取费表'!B22&lt;=1,"单利计息","复利计息")</f>
        <v>复利计息</v>
      </c>
    </row>
    <row r="23" spans="1:7" s="258" customFormat="1" ht="13.5" customHeight="1">
      <c r="A23" s="950" t="s">
        <v>2337</v>
      </c>
      <c r="B23" s="259" t="s">
        <v>2448</v>
      </c>
      <c r="C23" s="1380">
        <f ca="1">ROUND(IF('数据-取费表'!B22&lt;=1,C5*F22*'数据-取费表'!B22,C5*(POWER((1+F22),'数据-取费表'!B22)-1)),0)</f>
        <v>579121</v>
      </c>
      <c r="D23" s="282"/>
      <c r="E23" s="282"/>
      <c r="F23" s="283"/>
      <c r="G23" s="284" t="s">
        <v>2449</v>
      </c>
    </row>
    <row r="24" spans="1:7" s="258" customFormat="1" ht="13.5" customHeight="1">
      <c r="A24" s="950" t="s">
        <v>2339</v>
      </c>
      <c r="B24" s="259" t="s">
        <v>2450</v>
      </c>
      <c r="C24" s="1380">
        <f ca="1">ROUND(IF('数据-取费表'!B22&lt;=1,C19*F22*('数据-取费表'!B19/2+'数据-取费表'!B20),C19*(POWER((1+F22),('数据-取费表'!B19/2+'数据-取费表'!B20))-1)),0)</f>
        <v>579121</v>
      </c>
      <c r="D24" s="282"/>
      <c r="E24" s="282"/>
      <c r="F24" s="283"/>
      <c r="G24" s="284" t="s">
        <v>2451</v>
      </c>
    </row>
    <row r="25" spans="1:7" s="258" customFormat="1" ht="24">
      <c r="A25" s="950" t="s">
        <v>2341</v>
      </c>
      <c r="B25" s="259" t="s">
        <v>2452</v>
      </c>
      <c r="C25" s="1380">
        <f ca="1">ROUND(IF('数据-取费表'!B22&lt;=1,C20*F22*'数据-取费表'!B22/2,C20*(POWER((1+F22),'数据-取费表'!B22/2)-1)),0)</f>
        <v>11314</v>
      </c>
      <c r="D25" s="282"/>
      <c r="E25" s="285"/>
      <c r="F25" s="283"/>
      <c r="G25" s="286" t="s">
        <v>2453</v>
      </c>
    </row>
    <row r="26" spans="1:7" s="258" customFormat="1">
      <c r="A26" s="950"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1822106</v>
      </c>
      <c r="D27" s="279">
        <f ca="1">C29</f>
        <v>3.0000000000000001E-3</v>
      </c>
      <c r="E27" s="280" t="s">
        <v>2379</v>
      </c>
      <c r="F27" s="290">
        <f ca="1">IF(B1="",'数据-取费表'!Q16,INDIRECT("'数据-取费表'!q"&amp;$G$1))</f>
        <v>0.15</v>
      </c>
      <c r="G27" s="291" t="s">
        <v>2380</v>
      </c>
    </row>
    <row r="28" spans="1:7" s="258" customFormat="1" ht="13.5" customHeight="1">
      <c r="A28" s="950" t="s">
        <v>791</v>
      </c>
      <c r="B28" s="292" t="s">
        <v>2381</v>
      </c>
      <c r="C28" s="293">
        <f ca="1">ROUND((C5+C19+C20)*F27,0)</f>
        <v>1822106</v>
      </c>
      <c r="D28" s="279"/>
      <c r="E28" s="280"/>
      <c r="F28" s="290"/>
      <c r="G28" s="291"/>
    </row>
    <row r="29" spans="1:7" s="258" customFormat="1" ht="13.5" customHeight="1">
      <c r="A29" s="950"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16407320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50368401</v>
      </c>
      <c r="D33" s="276"/>
      <c r="E33" s="256"/>
      <c r="F33" s="285"/>
      <c r="G33" s="278"/>
    </row>
    <row r="34" spans="1:7" s="302" customFormat="1" ht="13.5" customHeight="1">
      <c r="A34" s="950" t="s">
        <v>791</v>
      </c>
      <c r="B34" s="259" t="s">
        <v>2390</v>
      </c>
      <c r="C34" s="264">
        <f ca="1">ROUND(IF(B1="",SUMPRODUCT('数据-取费表'!K6:K14,'数据-取费表'!L6:L14),INDIRECT("'数据-取费表'!l"&amp;$G$1)*INDIRECT("'数据-取费表'!k"&amp;$G$1)+'数据-取费表'!L14*INDIRECT("'数据-取费表'!S"&amp;$G$1)),0)</f>
        <v>42501250</v>
      </c>
      <c r="D34" s="261"/>
      <c r="E34" s="264"/>
      <c r="F34" s="301"/>
      <c r="G34" s="263"/>
    </row>
    <row r="35" spans="1:7" ht="13.5" customHeight="1">
      <c r="A35" s="950" t="s">
        <v>796</v>
      </c>
      <c r="B35" s="259" t="s">
        <v>2392</v>
      </c>
      <c r="C35" s="264">
        <f ca="1">ROUND(C34*F35,0)</f>
        <v>1275038</v>
      </c>
      <c r="D35" s="264"/>
      <c r="E35" s="264"/>
      <c r="F35" s="303">
        <f>'数据-取费表'!B33</f>
        <v>0.03</v>
      </c>
      <c r="G35" s="263" t="s">
        <v>2393</v>
      </c>
    </row>
    <row r="36" spans="1:7" ht="24">
      <c r="A36" s="950" t="s">
        <v>797</v>
      </c>
      <c r="B36" s="259" t="s">
        <v>2394</v>
      </c>
      <c r="C36" s="264">
        <f ca="1">ROUND(IF(B1="",SUM('数据-取费表'!AP6:AP13)*F36,IF(INDIRECT("'数据-取费表'!c"&amp;$G$1)="住宅",INDIRECT("'数据-取费表'!k"&amp;$G$1)*INDIRECT("'数据-取费表'!l"&amp;$G$1)*F36,0)),0)</f>
        <v>0</v>
      </c>
      <c r="D36" s="264"/>
      <c r="E36" s="264"/>
      <c r="F36" s="303">
        <f>'数据-取费表'!B34</f>
        <v>0.02</v>
      </c>
      <c r="G36" s="304" t="s">
        <v>2395</v>
      </c>
    </row>
    <row r="37" spans="1:7" s="302" customFormat="1" ht="13.5" customHeight="1">
      <c r="A37" s="950" t="s">
        <v>798</v>
      </c>
      <c r="B37" s="259" t="s">
        <v>2396</v>
      </c>
      <c r="C37" s="293">
        <f ca="1">ROUND(E37*D37,0)</f>
        <v>5954594</v>
      </c>
      <c r="D37" s="261">
        <f ca="1">D19</f>
        <v>39697.29</v>
      </c>
      <c r="E37" s="293">
        <f>'数据-取费表'!B35</f>
        <v>150</v>
      </c>
      <c r="F37" s="303"/>
      <c r="G37" s="305"/>
    </row>
    <row r="38" spans="1:7" ht="13.5" customHeight="1">
      <c r="A38" s="950" t="s">
        <v>799</v>
      </c>
      <c r="B38" s="259" t="s">
        <v>2398</v>
      </c>
      <c r="C38" s="264">
        <f ca="1">ROUND(C34*F38,0)</f>
        <v>637519</v>
      </c>
      <c r="D38" s="264"/>
      <c r="E38" s="264"/>
      <c r="F38" s="303">
        <f>'数据-取费表'!B36</f>
        <v>1.4999999999999999E-2</v>
      </c>
      <c r="G38" s="263" t="s">
        <v>2393</v>
      </c>
    </row>
    <row r="39" spans="1:7" s="258" customFormat="1" ht="13.5" customHeight="1">
      <c r="A39" s="299" t="s">
        <v>2399</v>
      </c>
      <c r="B39" s="254" t="s">
        <v>2400</v>
      </c>
      <c r="C39" s="276">
        <f ca="1">ROUND(C33*F20,0)</f>
        <v>1007368</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2440349</v>
      </c>
      <c r="D41" s="279">
        <f ca="1">C44</f>
        <v>1E-3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ROUND(IF('数据-取费表'!B22&lt;=1,C33*F22*'数据-取费表'!B20/2,C33*(POWER((1+F22),'数据-取费表'!B20/2)-1)),0)</f>
        <v>2392499</v>
      </c>
      <c r="D42" s="282"/>
      <c r="E42" s="282"/>
      <c r="F42" s="283"/>
      <c r="G42" s="3185" t="s">
        <v>2456</v>
      </c>
    </row>
    <row r="43" spans="1:7" ht="13.5" customHeight="1">
      <c r="A43" s="950" t="s">
        <v>792</v>
      </c>
      <c r="B43" s="259" t="s">
        <v>2410</v>
      </c>
      <c r="C43" s="282">
        <f ca="1">ROUND(IF('数据-取费表'!B22&lt;=1,C39*F22*'数据-取费表'!B20/2,C39*(POWER((1+F22),'数据-取费表'!B20/2)-1)),0)</f>
        <v>47850</v>
      </c>
      <c r="D43" s="282"/>
      <c r="E43" s="282"/>
      <c r="F43" s="283"/>
      <c r="G43" s="3186"/>
    </row>
    <row r="44" spans="1:7" ht="13.5" customHeight="1">
      <c r="A44" s="950" t="s">
        <v>793</v>
      </c>
      <c r="B44" s="259" t="s">
        <v>2411</v>
      </c>
      <c r="C44" s="282">
        <f ca="1">ROUND(IF('数据-取费表'!B22&lt;=1,C40*F22*'数据-取费表'!B20/2,C40*(POWER((1+F22),'数据-取费表'!B20/2)-1)),4)</f>
        <v>1E-3</v>
      </c>
      <c r="D44" s="282"/>
      <c r="E44" s="282"/>
      <c r="F44" s="283"/>
      <c r="G44" s="3187"/>
    </row>
    <row r="45" spans="1:7" s="258" customFormat="1" ht="13.5" customHeight="1">
      <c r="A45" s="299" t="s">
        <v>2412</v>
      </c>
      <c r="B45" s="288" t="s">
        <v>2378</v>
      </c>
      <c r="C45" s="289">
        <f ca="1">C46</f>
        <v>7706365</v>
      </c>
      <c r="D45" s="279">
        <f ca="1">C47</f>
        <v>3.0000000000000001E-3</v>
      </c>
      <c r="E45" s="280" t="s">
        <v>2404</v>
      </c>
      <c r="F45" s="290"/>
      <c r="G45" s="291" t="s">
        <v>2413</v>
      </c>
    </row>
    <row r="46" spans="1:7" s="258" customFormat="1" ht="13.5" customHeight="1">
      <c r="A46" s="950" t="s">
        <v>791</v>
      </c>
      <c r="B46" s="292" t="s">
        <v>2414</v>
      </c>
      <c r="C46" s="293">
        <f ca="1">ROUND((C33+C39)*F27,0)</f>
        <v>7706365</v>
      </c>
      <c r="D46" s="307"/>
      <c r="E46" s="280"/>
      <c r="F46" s="290"/>
      <c r="G46" s="291"/>
    </row>
    <row r="47" spans="1:7" s="258" customFormat="1" ht="13.5" customHeight="1">
      <c r="A47" s="950"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66676583</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64676286</v>
      </c>
      <c r="D51" s="276"/>
      <c r="E51" s="276"/>
      <c r="F51" s="308"/>
      <c r="G51" s="278" t="s">
        <v>2425</v>
      </c>
    </row>
    <row r="52" spans="1:7" s="252" customFormat="1" ht="16.5" thickBot="1">
      <c r="A52" s="309" t="s">
        <v>2426</v>
      </c>
      <c r="B52" s="310"/>
      <c r="C52" s="311">
        <f ca="1">C31+C51</f>
        <v>81083606</v>
      </c>
      <c r="D52" s="310"/>
      <c r="E52" s="310"/>
      <c r="F52" s="310"/>
      <c r="G52" s="312"/>
    </row>
    <row r="55" spans="1:7" ht="15">
      <c r="B55" s="314" t="s">
        <v>2427</v>
      </c>
      <c r="C55" s="315"/>
    </row>
    <row r="56" spans="1:7">
      <c r="B56" s="317" t="s">
        <v>1508</v>
      </c>
      <c r="C56" s="319">
        <f ca="1">1-C57</f>
        <v>0.20199999999999996</v>
      </c>
    </row>
    <row r="57" spans="1:7">
      <c r="B57" s="317" t="s">
        <v>1509</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9" t="str">
        <f>项目基本情况!B1</f>
        <v>房地产抵押价值预评估</v>
      </c>
      <c r="C37" s="2999"/>
      <c r="D37" s="2999"/>
      <c r="E37" s="2999"/>
      <c r="F37" s="2999"/>
      <c r="G37" s="2999"/>
      <c r="H37" s="2999"/>
      <c r="I37" s="2999"/>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-678</v>
      </c>
      <c r="C2" s="320" t="s">
        <v>2460</v>
      </c>
      <c r="D2" s="320"/>
      <c r="E2" s="320"/>
      <c r="F2" s="320"/>
      <c r="G2" s="320"/>
      <c r="H2" s="320"/>
      <c r="I2" s="320"/>
      <c r="J2" s="320"/>
      <c r="K2" s="320"/>
    </row>
    <row r="3" spans="1:33" ht="18" customHeight="1" thickBot="1">
      <c r="A3" s="247" t="s">
        <v>2329</v>
      </c>
      <c r="B3" s="248">
        <f ca="1">ROUND(B2*10000/IF(C1="",'数据-汇总表'!E3,INDIRECT("'数据-取费表'!K"&amp;$K$1)),0)</f>
        <v>-171</v>
      </c>
      <c r="C3" s="320" t="s">
        <v>2461</v>
      </c>
      <c r="D3" s="320"/>
      <c r="E3" s="320"/>
      <c r="F3" s="320"/>
      <c r="G3" s="320"/>
      <c r="H3" s="320"/>
      <c r="I3" s="320"/>
      <c r="J3" s="320"/>
      <c r="K3" s="320"/>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4" t="s">
        <v>2465</v>
      </c>
      <c r="D5" s="2554" t="s">
        <v>2466</v>
      </c>
      <c r="E5" s="2554" t="s">
        <v>2467</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2471</v>
      </c>
      <c r="B8" s="177"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2481</v>
      </c>
      <c r="C12" s="24">
        <f ca="1">ROUND(C11*F12,0)</f>
        <v>0</v>
      </c>
      <c r="D12" s="972"/>
      <c r="E12" s="375"/>
      <c r="F12" s="975">
        <f>'数据-取费表'!B33</f>
        <v>0.03</v>
      </c>
      <c r="G12" s="8" t="s">
        <v>2482</v>
      </c>
      <c r="H12" s="967"/>
      <c r="I12" s="967"/>
      <c r="J12" s="967"/>
      <c r="K12" s="968"/>
    </row>
    <row r="13" spans="1:33" s="974" customFormat="1" ht="13.5" customHeight="1">
      <c r="A13" s="970" t="s">
        <v>1332</v>
      </c>
      <c r="B13" s="971" t="s">
        <v>2483</v>
      </c>
      <c r="C13" s="24">
        <f ca="1">ROUND(IF(C1="",SUMIF('数据-取费表'!C:C,"住宅",'数据-取费表'!P:P)*F13,IF(INDIRECT("'数据-取费表'!c"&amp;$K$1)="住宅",INDIRECT("'数据-取费表'!P"&amp;$K$1)*F13,0)),0)</f>
        <v>0</v>
      </c>
      <c r="D13" s="1032"/>
      <c r="E13" s="375"/>
      <c r="F13" s="975">
        <f>'数据-取费表'!B34</f>
        <v>0.02</v>
      </c>
      <c r="G13" s="8" t="s">
        <v>2484</v>
      </c>
      <c r="H13" s="967"/>
      <c r="I13" s="967"/>
      <c r="J13" s="967"/>
      <c r="K13" s="968"/>
    </row>
    <row r="14" spans="1:33" s="976" customFormat="1" ht="13.5" customHeight="1">
      <c r="A14" s="970" t="s">
        <v>1333</v>
      </c>
      <c r="B14" s="971" t="s">
        <v>2485</v>
      </c>
      <c r="C14" s="24">
        <f ca="1">ROUND(D14*E14*F11/10000,0)</f>
        <v>0</v>
      </c>
      <c r="D14" s="1032">
        <f ca="1">IF(C1="",'数据-汇总表'!E3,INDIRECT("'数据-取费表'!K"&amp;$K$1)+INDIRECT("'数据-取费表'!S"&amp;$K$1))</f>
        <v>39697.29</v>
      </c>
      <c r="E14" s="24">
        <f>'数据-取费表'!B35</f>
        <v>150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0</v>
      </c>
      <c r="D15" s="977"/>
      <c r="E15" s="982"/>
      <c r="F15" s="983">
        <f>'数据-取费表'!B36</f>
        <v>1.4999999999999999E-2</v>
      </c>
      <c r="G15" s="140"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39697.29</v>
      </c>
      <c r="E17" s="24">
        <f>'数据-取费表'!B32</f>
        <v>0</v>
      </c>
      <c r="F17" s="977"/>
      <c r="G17" s="140"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4">
        <f ca="1">C19+C20-IF(C1="",'数据-取费表'!B29,IF(G18="已全部缴纳",C19+C20,H18))</f>
        <v>595</v>
      </c>
      <c r="D18" s="1032"/>
      <c r="E18" s="24"/>
      <c r="F18" s="975"/>
      <c r="G18" s="2556"/>
      <c r="H18" s="1576"/>
      <c r="I18" s="2557"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2495</v>
      </c>
      <c r="C20" s="24">
        <f ca="1">ROUND(D20*E20/10000,0)</f>
        <v>595</v>
      </c>
      <c r="D20" s="1032">
        <f ca="1">IF(C1="",'数据-汇总表'!E6,IF(INDIRECT("'数据-取费表'!c"&amp;$K$1)="住宅",INDIRECT("'数据-取费表'!s"&amp;$K$1),INDIRECT("'数据-取费表'!k"&amp;$K$1)+INDIRECT("'数据-取费表'!s"&amp;$K$1)))</f>
        <v>39697.29</v>
      </c>
      <c r="E20" s="24">
        <f>'数据-取费表'!B28</f>
        <v>150</v>
      </c>
      <c r="F20" s="975"/>
      <c r="G20" s="15"/>
      <c r="H20" s="980"/>
      <c r="I20" s="980"/>
      <c r="J20" s="980"/>
      <c r="K20" s="981"/>
    </row>
    <row r="21" spans="1:33" s="974" customFormat="1" ht="13.5" customHeight="1">
      <c r="A21" s="960" t="s">
        <v>802</v>
      </c>
      <c r="B21" s="984" t="s">
        <v>2496</v>
      </c>
      <c r="C21" s="985">
        <f ca="1">C16+C17+C18</f>
        <v>595</v>
      </c>
      <c r="D21" s="986"/>
      <c r="E21" s="325"/>
      <c r="F21" s="325"/>
      <c r="G21" s="140" t="s">
        <v>2497</v>
      </c>
      <c r="H21" s="978"/>
      <c r="I21" s="978"/>
      <c r="J21" s="978"/>
      <c r="K21" s="979"/>
    </row>
    <row r="22" spans="1:33" s="974" customFormat="1" ht="13.5" customHeight="1">
      <c r="A22" s="960" t="s">
        <v>2469</v>
      </c>
      <c r="B22" s="984" t="s">
        <v>2498</v>
      </c>
      <c r="C22" s="985">
        <f ca="1">ROUND(C21*F22,0)</f>
        <v>12</v>
      </c>
      <c r="D22" s="325"/>
      <c r="E22" s="325"/>
      <c r="F22" s="987">
        <f>'数据-取费表'!B37</f>
        <v>0.02</v>
      </c>
      <c r="G22" s="8" t="s">
        <v>2499</v>
      </c>
      <c r="H22" s="967"/>
      <c r="I22" s="967"/>
      <c r="J22" s="967"/>
      <c r="K22" s="968"/>
    </row>
    <row r="23" spans="1:33" s="974" customFormat="1" ht="13.5" customHeight="1">
      <c r="A23" s="960" t="s">
        <v>2471</v>
      </c>
      <c r="B23" s="984" t="s">
        <v>2500</v>
      </c>
      <c r="C23" s="985">
        <f ca="1">ROUND(C4*F23*F11,0)</f>
        <v>0</v>
      </c>
      <c r="D23" s="325"/>
      <c r="E23" s="325"/>
      <c r="F23" s="987">
        <f>'数据-取费表'!B38</f>
        <v>0.02</v>
      </c>
      <c r="G23" s="8" t="s">
        <v>2501</v>
      </c>
      <c r="H23" s="967"/>
      <c r="I23" s="967"/>
      <c r="J23" s="967"/>
      <c r="K23" s="968"/>
    </row>
    <row r="24" spans="1:33" s="974" customFormat="1" ht="13.5" customHeight="1">
      <c r="A24" s="960" t="s">
        <v>2502</v>
      </c>
      <c r="B24" s="984" t="s">
        <v>2503</v>
      </c>
      <c r="C24" s="324">
        <f>ROUND(F24/(1+'数据-取费表'!C42),4)</f>
        <v>2.9000000000000001E-2</v>
      </c>
      <c r="D24" s="325" t="s">
        <v>15</v>
      </c>
      <c r="E24" s="325"/>
      <c r="F24" s="987">
        <f>IF(项目基本情况!B8="出让",0,'数据-取费表'!B48+'数据-取费表'!B49)</f>
        <v>3.0499999999999999E-2</v>
      </c>
      <c r="G24" s="8" t="s">
        <v>2504</v>
      </c>
      <c r="H24" s="989"/>
      <c r="I24" s="989"/>
      <c r="J24" s="989"/>
      <c r="K24" s="990"/>
    </row>
    <row r="25" spans="1:33" s="974" customFormat="1" ht="13.5" customHeight="1">
      <c r="A25" s="960" t="s">
        <v>2505</v>
      </c>
      <c r="B25" s="986"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2509</v>
      </c>
      <c r="B28" s="2559" t="s">
        <v>2510</v>
      </c>
      <c r="C28" s="331">
        <f ca="1">C30</f>
        <v>91</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2511</v>
      </c>
      <c r="C29" s="328">
        <f ca="1">ROUND((1+C24)*F28*'数据-取费表'!B24/'数据-取费表'!B20,4)</f>
        <v>0</v>
      </c>
      <c r="D29" s="328"/>
      <c r="E29" s="329"/>
      <c r="F29" s="334"/>
      <c r="G29" s="140" t="s">
        <v>2512</v>
      </c>
      <c r="H29" s="978"/>
      <c r="I29" s="978"/>
      <c r="J29" s="978"/>
      <c r="K29" s="979"/>
    </row>
    <row r="30" spans="1:33" s="335" customFormat="1" ht="13.5" customHeight="1">
      <c r="A30" s="970" t="s">
        <v>804</v>
      </c>
      <c r="B30" s="993" t="s">
        <v>2513</v>
      </c>
      <c r="C30" s="336">
        <f ca="1">ROUND((C21+C22+C23)*F28,0)</f>
        <v>91</v>
      </c>
      <c r="D30" s="328"/>
      <c r="E30" s="329"/>
      <c r="F30" s="334"/>
      <c r="G30" s="140"/>
      <c r="H30" s="978"/>
      <c r="I30" s="978"/>
      <c r="J30" s="978"/>
      <c r="K30" s="979"/>
    </row>
    <row r="31" spans="1:33" s="974" customFormat="1" ht="13.5" customHeight="1" thickBot="1">
      <c r="A31" s="2560" t="s">
        <v>2514</v>
      </c>
      <c r="B31" s="1004" t="s">
        <v>2515</v>
      </c>
      <c r="C31" s="1005">
        <f>ROUND(C4*F31/(1+'数据-取费表'!C42),0)</f>
        <v>0</v>
      </c>
      <c r="D31" s="1006"/>
      <c r="E31" s="1007"/>
      <c r="F31" s="1008">
        <f>'数据-取费表'!B41</f>
        <v>5.6000000000000001E-2</v>
      </c>
      <c r="G31" s="1009" t="s">
        <v>2516</v>
      </c>
      <c r="H31" s="1010"/>
      <c r="I31" s="1010"/>
      <c r="J31" s="1010"/>
      <c r="K31" s="1011"/>
    </row>
    <row r="32" spans="1:33" s="969" customFormat="1" ht="13.5" customHeight="1" thickBot="1">
      <c r="A32" s="999" t="s">
        <v>2517</v>
      </c>
      <c r="B32" s="1000"/>
      <c r="C32" s="1001">
        <f ca="1">ROUND((C4-C21-C22-C23-C25-C28-C31)/(1+C24+D25+D28),0)</f>
        <v>-678</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t="s">
        <v>1373</v>
      </c>
      <c r="D1" s="1819" t="s">
        <v>70</v>
      </c>
      <c r="E1" s="1820" t="s">
        <v>1382</v>
      </c>
      <c r="F1" s="1282">
        <f ca="1">J53</f>
        <v>34.36</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21892</v>
      </c>
      <c r="C2" s="1844" t="s">
        <v>1511</v>
      </c>
      <c r="D2" s="1844"/>
      <c r="E2" s="1845"/>
      <c r="F2" s="1846"/>
      <c r="G2" s="1847"/>
      <c r="H2" s="1839"/>
      <c r="I2" s="1839"/>
      <c r="J2" s="1839"/>
      <c r="K2" s="1840"/>
      <c r="L2" s="1839"/>
      <c r="M2" s="1839"/>
    </row>
    <row r="3" spans="1:37" ht="18" customHeight="1" thickBot="1">
      <c r="A3" s="1848" t="s">
        <v>1512</v>
      </c>
      <c r="B3" s="1849">
        <f ca="1">IF(ISERROR(B2*10000/F43),0,ROUND(B2*10000/F43,0))</f>
        <v>11332</v>
      </c>
      <c r="C3" s="1844" t="s">
        <v>1513</v>
      </c>
      <c r="D3" s="1844"/>
      <c r="E3" s="1845"/>
      <c r="F3" s="1846"/>
      <c r="G3" s="1847"/>
      <c r="H3" s="743"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1335</v>
      </c>
      <c r="D5" s="1821" t="s">
        <v>1397</v>
      </c>
      <c r="E5" s="1292"/>
      <c r="F5" s="1293"/>
      <c r="G5" s="1850"/>
      <c r="H5" s="344">
        <v>1</v>
      </c>
      <c r="I5" s="345" t="s">
        <v>1396</v>
      </c>
      <c r="J5" s="1291">
        <f ca="1">J6+J10+J12</f>
        <v>0</v>
      </c>
      <c r="K5" s="1821" t="s">
        <v>1397</v>
      </c>
      <c r="L5" s="1292"/>
      <c r="M5" s="1293"/>
    </row>
    <row r="6" spans="1:37" ht="18" customHeight="1">
      <c r="A6" s="1290" t="s">
        <v>1032</v>
      </c>
      <c r="B6" s="3190" t="s">
        <v>1398</v>
      </c>
      <c r="C6" s="1295">
        <f ca="1">ROUND(F6*F8*F7*(1-F9)/10000,0)</f>
        <v>1333</v>
      </c>
      <c r="D6" s="164" t="s">
        <v>3029</v>
      </c>
      <c r="E6" s="347" t="s">
        <v>1400</v>
      </c>
      <c r="F6" s="348">
        <f ca="1">INDIRECT("'数据-取费表'!u"&amp;$G$1)</f>
        <v>2.1</v>
      </c>
      <c r="G6" s="1850"/>
      <c r="H6" s="1290" t="s">
        <v>1032</v>
      </c>
      <c r="I6" s="3190" t="s">
        <v>1398</v>
      </c>
      <c r="J6" s="346">
        <f ca="1">ROUND(M6*M8*M7*(1-M9)/10000,0)</f>
        <v>0</v>
      </c>
      <c r="K6" s="164" t="s">
        <v>3028</v>
      </c>
      <c r="L6" s="347" t="s">
        <v>1400</v>
      </c>
      <c r="M6" s="348">
        <f ca="1">INDIRECT("'数据-取费表'!z"&amp;$G$1)</f>
        <v>0</v>
      </c>
    </row>
    <row r="7" spans="1:37" ht="18" customHeight="1">
      <c r="A7" s="1294"/>
      <c r="B7" s="3191"/>
      <c r="C7" s="1296"/>
      <c r="D7" s="352"/>
      <c r="E7" s="1297" t="s">
        <v>1401</v>
      </c>
      <c r="F7" s="348">
        <f ca="1">IF(INDIRECT("'数据-取费表'!ah"&amp;$G$1)="",INDIRECT("'数据-取费表'!k"&amp;$G$1),INDIRECT("'数据-取费表'!ah"&amp;$G$1))</f>
        <v>19318.75</v>
      </c>
      <c r="G7" s="1850"/>
      <c r="H7" s="349"/>
      <c r="I7" s="3191"/>
      <c r="J7" s="351"/>
      <c r="K7" s="352"/>
      <c r="L7" s="347" t="s">
        <v>1401</v>
      </c>
      <c r="M7" s="348">
        <f ca="1">F7</f>
        <v>19318.75</v>
      </c>
    </row>
    <row r="8" spans="1:37" ht="18" customHeight="1">
      <c r="A8" s="349"/>
      <c r="B8" s="3191"/>
      <c r="C8" s="351"/>
      <c r="D8" s="352"/>
      <c r="E8" s="347" t="s">
        <v>1402</v>
      </c>
      <c r="F8" s="348">
        <f ca="1">INDIRECT("'数据-取费表'!ai"&amp;$G$1)</f>
        <v>365</v>
      </c>
      <c r="G8" s="1850"/>
      <c r="H8" s="349"/>
      <c r="I8" s="3191"/>
      <c r="J8" s="351"/>
      <c r="K8" s="352"/>
      <c r="L8" s="347" t="s">
        <v>1402</v>
      </c>
      <c r="M8" s="348">
        <f ca="1">INDIRECT("'数据-取费表'!ai"&amp;$G$1)</f>
        <v>365</v>
      </c>
    </row>
    <row r="9" spans="1:37" ht="18" customHeight="1">
      <c r="A9" s="349"/>
      <c r="B9" s="3192"/>
      <c r="C9" s="351"/>
      <c r="D9" s="352"/>
      <c r="E9" s="347" t="s">
        <v>1403</v>
      </c>
      <c r="F9" s="357">
        <f ca="1">INDIRECT("'数据-取费表'!w"&amp;$G$1)</f>
        <v>0.1</v>
      </c>
      <c r="G9" s="1850"/>
      <c r="H9" s="349"/>
      <c r="I9" s="3192"/>
      <c r="J9" s="351"/>
      <c r="K9" s="352"/>
      <c r="L9" s="358" t="s">
        <v>1403</v>
      </c>
      <c r="M9" s="359">
        <f ca="1">INDIRECT("'数据-取费表'!ab"&amp;$G$1)</f>
        <v>0</v>
      </c>
    </row>
    <row r="10" spans="1:37" ht="18" customHeight="1">
      <c r="A10" s="1290" t="s">
        <v>1036</v>
      </c>
      <c r="B10" s="1822" t="s">
        <v>1404</v>
      </c>
      <c r="C10" s="361">
        <f ca="1">ROUND(IF(F10="押一",C6/12*F11,IF(F10="押二",C6/12*2*F11,IF(F10="押三",C6/12*3*F11,C11*F11))),0)</f>
        <v>2</v>
      </c>
      <c r="D10" s="1823" t="s">
        <v>3038</v>
      </c>
      <c r="E10" s="358" t="s">
        <v>1405</v>
      </c>
      <c r="F10" s="1365" t="s">
        <v>3186</v>
      </c>
      <c r="G10" s="1850"/>
      <c r="H10" s="1290" t="s">
        <v>1036</v>
      </c>
      <c r="I10" s="1822" t="s">
        <v>1404</v>
      </c>
      <c r="J10" s="346">
        <f ca="1">ROUND(IF(M10="押一",J6/12*M11,IF(M10="押二",J6/12*2*M11,IF(M10="押三",J6/12*3*M11,J11*M11))),0)</f>
        <v>0</v>
      </c>
      <c r="K10" s="1823" t="s">
        <v>3037</v>
      </c>
      <c r="L10" s="358" t="s">
        <v>1405</v>
      </c>
      <c r="M10" s="1365" t="s">
        <v>1406</v>
      </c>
    </row>
    <row r="11" spans="1:37" ht="18" customHeight="1">
      <c r="A11" s="353"/>
      <c r="B11" s="1824" t="s">
        <v>1383</v>
      </c>
      <c r="C11" s="1177"/>
      <c r="D11" s="1825"/>
      <c r="E11" s="358" t="s">
        <v>1407</v>
      </c>
      <c r="F11" s="359">
        <f ca="1">'数据-取费表'!B39</f>
        <v>1.4999999999999999E-2</v>
      </c>
      <c r="G11" s="1850"/>
      <c r="H11" s="1298"/>
      <c r="I11" s="1824" t="s">
        <v>1383</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6468</v>
      </c>
      <c r="D13" s="1330" t="s">
        <v>1410</v>
      </c>
      <c r="E13" s="1330" t="s">
        <v>1411</v>
      </c>
      <c r="F13" s="1331">
        <f ca="1">INDIRECT("'数据-取费表'!y"&amp;$G$1)</f>
        <v>0.97</v>
      </c>
      <c r="G13" s="1850"/>
      <c r="H13" s="1328">
        <v>2</v>
      </c>
      <c r="I13" s="1329" t="s">
        <v>1409</v>
      </c>
      <c r="J13" s="1289">
        <f ca="1">ROUND(J14*J15,0)</f>
        <v>0</v>
      </c>
      <c r="K13" s="1336" t="s">
        <v>1410</v>
      </c>
      <c r="L13" s="1851"/>
      <c r="M13" s="1852"/>
    </row>
    <row r="14" spans="1:37" ht="18" customHeight="1">
      <c r="A14" s="1200" t="s">
        <v>1031</v>
      </c>
      <c r="B14" s="347" t="s">
        <v>1412</v>
      </c>
      <c r="C14" s="363">
        <f ca="1">INDIRECT("'数据-取费表'!m"&amp;$G$1)+INDIRECT("'数据-取费表'!t"&amp;$G$1)</f>
        <v>4250</v>
      </c>
      <c r="D14" s="1799" t="s">
        <v>1413</v>
      </c>
      <c r="E14" s="1793"/>
      <c r="F14" s="364"/>
      <c r="G14" s="1850"/>
      <c r="H14" s="1200" t="s">
        <v>1032</v>
      </c>
      <c r="I14" s="347" t="s">
        <v>1414</v>
      </c>
      <c r="J14" s="24">
        <f ca="1">C29</f>
        <v>6668</v>
      </c>
      <c r="K14" s="15"/>
      <c r="L14" s="978"/>
      <c r="M14" s="979"/>
    </row>
    <row r="15" spans="1:37" s="1857" customFormat="1" ht="18" customHeight="1" thickBot="1">
      <c r="A15" s="1200" t="s">
        <v>1033</v>
      </c>
      <c r="B15" s="347" t="s">
        <v>1415</v>
      </c>
      <c r="C15" s="24">
        <f ca="1">ROUND(C14*F15,0)</f>
        <v>128</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156</v>
      </c>
      <c r="K16" s="1336" t="s">
        <v>1420</v>
      </c>
      <c r="L16" s="1337"/>
      <c r="M16" s="1293"/>
    </row>
    <row r="17" spans="1:37" s="1857" customFormat="1" ht="18" customHeight="1">
      <c r="A17" s="1200" t="s">
        <v>1385</v>
      </c>
      <c r="B17" s="347" t="s">
        <v>1421</v>
      </c>
      <c r="C17" s="24">
        <f ca="1">ROUND(F17*(F43+INDIRECT("'数据-取费表'!S"&amp;$G$1))/10000,0)</f>
        <v>595</v>
      </c>
      <c r="D17" s="347" t="s">
        <v>1422</v>
      </c>
      <c r="E17" s="347" t="s">
        <v>1423</v>
      </c>
      <c r="F17" s="26">
        <f>'数据-取费表'!B35</f>
        <v>150</v>
      </c>
      <c r="G17" s="1853"/>
      <c r="H17" s="1200" t="s">
        <v>1032</v>
      </c>
      <c r="I17" s="347" t="s">
        <v>1424</v>
      </c>
      <c r="J17" s="24">
        <f ca="1">ROUND(IF(项目基本情况!B11="自然人",J6*M17/(1+'数据-取费表'!C42),J18+J19+J20),1)</f>
        <v>56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64</v>
      </c>
      <c r="D18" s="347" t="s">
        <v>1416</v>
      </c>
      <c r="E18" s="347" t="s">
        <v>1417</v>
      </c>
      <c r="F18" s="367">
        <f>'数据-取费表'!B36</f>
        <v>1.4999999999999999E-2</v>
      </c>
      <c r="G18" s="1853"/>
      <c r="H18" s="1200"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5037</v>
      </c>
      <c r="D19" s="140" t="s">
        <v>1431</v>
      </c>
      <c r="E19" s="1817"/>
      <c r="F19" s="26"/>
      <c r="G19" s="1850"/>
      <c r="H19" s="1200" t="s">
        <v>1033</v>
      </c>
      <c r="I19" s="347" t="s">
        <v>1432</v>
      </c>
      <c r="J19" s="24">
        <f ca="1">IF(K19="按租金收入计税",ROUND(J6*M19/(1+'数据-取费表'!C42),2),ROUND(C29*M19*0.7,2))</f>
        <v>56.01</v>
      </c>
      <c r="K19" s="1827" t="s">
        <v>1433</v>
      </c>
      <c r="L19" s="347" t="s">
        <v>1417</v>
      </c>
      <c r="M19" s="367">
        <f>IF(K19="按租金收入计税",'数据-取费表'!B51,'数据-取费表'!B50)</f>
        <v>1.2E-2</v>
      </c>
    </row>
    <row r="20" spans="1:37" s="1857" customFormat="1" ht="18" customHeight="1">
      <c r="A20" s="1200" t="s">
        <v>1036</v>
      </c>
      <c r="B20" s="347" t="s">
        <v>1434</v>
      </c>
      <c r="C20" s="24">
        <f ca="1">ROUND(C19*F20,0)</f>
        <v>101</v>
      </c>
      <c r="D20" s="369" t="s">
        <v>1435</v>
      </c>
      <c r="E20" s="347" t="s">
        <v>1417</v>
      </c>
      <c r="F20" s="367">
        <f>'数据-取费表'!B37</f>
        <v>0.02</v>
      </c>
      <c r="G20" s="1853"/>
      <c r="H20" s="1200" t="s">
        <v>1384</v>
      </c>
      <c r="I20" s="164" t="s">
        <v>1436</v>
      </c>
      <c r="J20" s="25">
        <f ca="1">ROUND(M20*M21/10000,2)</f>
        <v>0</v>
      </c>
      <c r="K20" s="370" t="s">
        <v>1437</v>
      </c>
      <c r="L20" s="347" t="s">
        <v>1438</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ROUND(J14*M22,1)</f>
        <v>100</v>
      </c>
      <c r="K22" s="1797" t="s">
        <v>1445</v>
      </c>
      <c r="L22" s="347" t="s">
        <v>1417</v>
      </c>
      <c r="M22" s="374">
        <f ca="1">INDIRECT("'数据-取费表'!Ak"&amp;$G$1)</f>
        <v>1.4999999999999999E-2</v>
      </c>
    </row>
    <row r="23" spans="1:37" s="1857" customFormat="1" ht="18" customHeight="1">
      <c r="A23" s="1200" t="s">
        <v>1031</v>
      </c>
      <c r="B23" s="347" t="s">
        <v>1446</v>
      </c>
      <c r="C23" s="24">
        <f ca="1">IF('数据-取费表'!B22&lt;=1,ROUND(C19*F24*F23/2,0)+ROUND(C20*F24*F23/2,0),ROUND(C19*(POWER((1+F24),F23/2)-1),0)+ROUND(C20*(POWER((1+F24),F23/2)-1),0))</f>
        <v>244</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7" t="s">
        <v>1456</v>
      </c>
      <c r="C25" s="24"/>
      <c r="D25" s="140" t="s">
        <v>1457</v>
      </c>
      <c r="E25" s="1817"/>
      <c r="F25" s="26"/>
      <c r="G25" s="1850"/>
      <c r="H25" s="1328" t="s">
        <v>1028</v>
      </c>
      <c r="I25" s="1343" t="s">
        <v>1458</v>
      </c>
      <c r="J25" s="355">
        <f ca="1">J5-J16</f>
        <v>-156</v>
      </c>
      <c r="K25" s="1344" t="s">
        <v>1459</v>
      </c>
      <c r="L25" s="1345"/>
      <c r="M25" s="1346"/>
    </row>
    <row r="26" spans="1:37">
      <c r="A26" s="1200" t="s">
        <v>1031</v>
      </c>
      <c r="B26" s="347" t="s">
        <v>1460</v>
      </c>
      <c r="C26" s="24">
        <f ca="1">ROUND((C19+C20)*F26,0)</f>
        <v>771</v>
      </c>
      <c r="D26" s="369" t="s">
        <v>1461</v>
      </c>
      <c r="E26" s="358" t="s">
        <v>1462</v>
      </c>
      <c r="F26" s="357">
        <f ca="1">INDIRECT("'数据-取费表'!q"&amp;$G$1)</f>
        <v>0.15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6668</v>
      </c>
      <c r="D29" s="1341"/>
      <c r="E29" s="1339"/>
      <c r="F29" s="1342"/>
      <c r="G29" s="1853"/>
      <c r="H29" s="380" t="s">
        <v>1030</v>
      </c>
      <c r="I29" s="381" t="s">
        <v>1474</v>
      </c>
      <c r="J29" s="382">
        <f ca="1">ROUND(J26/(1+F40)^F41,0)</f>
        <v>0</v>
      </c>
      <c r="K29" s="383" t="s">
        <v>1475</v>
      </c>
      <c r="L29" s="384"/>
      <c r="M29" s="385">
        <f ca="1">INDIRECT("'数据-取费表'!k"&amp;$G$1)</f>
        <v>19318.75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360</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ROUND(IF(项目基本情况!B11="自然人",C6*F31/(1+'数据-取费表'!C42),C32+C33+C34),1)</f>
        <v>223.4</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IF(项目基本情况!B11="自然人","——",ROUND(C6*F32/(1+'数据-取费表'!C42),2))</f>
        <v>71.09</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152.34</v>
      </c>
      <c r="D33" s="1827" t="s">
        <v>3175</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5</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ROUND(C29*F36,1)</f>
        <v>100</v>
      </c>
      <c r="D36" s="1797" t="s">
        <v>1477</v>
      </c>
      <c r="E36" s="347" t="s">
        <v>1417</v>
      </c>
      <c r="F36" s="374">
        <f ca="1">INDIRECT("'数据-取费表'!Ak"&amp;$G$1)</f>
        <v>1.4999999999999999E-2</v>
      </c>
      <c r="G36" s="1850"/>
      <c r="H36" s="1858"/>
      <c r="I36" s="1859"/>
      <c r="J36" s="1860"/>
      <c r="K36" s="750"/>
      <c r="L36" s="1858"/>
      <c r="M36" s="1858"/>
    </row>
    <row r="37" spans="1:18" ht="18" customHeight="1">
      <c r="A37" s="1200" t="s">
        <v>1072</v>
      </c>
      <c r="B37" s="347" t="s">
        <v>1448</v>
      </c>
      <c r="C37" s="24">
        <f ca="1">ROUND(C13*F37,1)</f>
        <v>9.6999999999999993</v>
      </c>
      <c r="D37" s="1797" t="s">
        <v>1449</v>
      </c>
      <c r="E37" s="347" t="s">
        <v>1450</v>
      </c>
      <c r="F37" s="376">
        <f ca="1">INDIRECT("'数据-取费表'!Al"&amp;$G$1)</f>
        <v>1.5E-3</v>
      </c>
      <c r="G37" s="1850"/>
      <c r="H37" s="1858"/>
      <c r="I37" s="1859"/>
      <c r="J37" s="1860"/>
      <c r="K37" s="750"/>
      <c r="L37" s="1858"/>
      <c r="M37" s="1858"/>
    </row>
    <row r="38" spans="1:18" ht="18" customHeight="1" thickBot="1">
      <c r="A38" s="1338" t="s">
        <v>1388</v>
      </c>
      <c r="B38" s="1339" t="s">
        <v>1434</v>
      </c>
      <c r="C38" s="1340">
        <f ca="1">ROUND(C5*F38,1)</f>
        <v>26.7</v>
      </c>
      <c r="D38" s="1341" t="s">
        <v>1454</v>
      </c>
      <c r="E38" s="1339" t="s">
        <v>1450</v>
      </c>
      <c r="F38" s="1335">
        <f ca="1">INDIRECT("'数据-取费表'!Am"&amp;$G$1)</f>
        <v>0.02</v>
      </c>
      <c r="G38" s="1850"/>
      <c r="H38" s="1858"/>
      <c r="I38" s="1859"/>
      <c r="J38" s="1860"/>
      <c r="K38" s="1864"/>
      <c r="L38" s="1858"/>
      <c r="M38" s="1858"/>
    </row>
    <row r="39" spans="1:18" ht="24.6" customHeight="1" thickTop="1">
      <c r="A39" s="1328" t="s">
        <v>1028</v>
      </c>
      <c r="B39" s="1343" t="s">
        <v>1478</v>
      </c>
      <c r="C39" s="355">
        <f ca="1">C5-C30</f>
        <v>975</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21892</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34.36</v>
      </c>
      <c r="G41" s="1850"/>
      <c r="H41" s="731"/>
      <c r="I41" s="1859"/>
      <c r="J41" s="1860"/>
      <c r="K41" s="750"/>
      <c r="L41" s="731"/>
      <c r="M41" s="731"/>
    </row>
    <row r="42" spans="1:18" ht="18" customHeight="1">
      <c r="A42" s="353"/>
      <c r="B42" s="354"/>
      <c r="C42" s="355"/>
      <c r="D42" s="373"/>
      <c r="E42" s="347" t="s">
        <v>1472</v>
      </c>
      <c r="F42" s="357">
        <f ca="1">INDIRECT("'数据-取费表'!v"&amp;$G$1)</f>
        <v>0.03</v>
      </c>
      <c r="G42" s="1850"/>
      <c r="H42" s="731"/>
      <c r="I42" s="1859"/>
      <c r="J42" s="1860"/>
      <c r="K42" s="750"/>
      <c r="L42" s="731"/>
      <c r="M42" s="731"/>
    </row>
    <row r="43" spans="1:18" ht="18" customHeight="1" thickBot="1">
      <c r="A43" s="380" t="s">
        <v>1030</v>
      </c>
      <c r="B43" s="381" t="s">
        <v>1482</v>
      </c>
      <c r="C43" s="382">
        <f ca="1">ROUND(C40*10000/F43,0)</f>
        <v>11332</v>
      </c>
      <c r="D43" s="383" t="s">
        <v>1483</v>
      </c>
      <c r="E43" s="384" t="s">
        <v>1484</v>
      </c>
      <c r="F43" s="385">
        <f ca="1">INDIRECT("'数据-取费表'!k"&amp;$G$1)</f>
        <v>19318.75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-32138</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3174</v>
      </c>
      <c r="K47" s="1881" t="s">
        <v>1522</v>
      </c>
      <c r="L47" s="1882">
        <f ca="1">INDIRECT("'数据-取费表'!d"&amp;$G$1)</f>
        <v>40</v>
      </c>
      <c r="M47" s="1837" t="str">
        <f>IF(ISNUMBER(FIND("住宅",C1)),"住宅","非住宅")</f>
        <v>非住宅</v>
      </c>
      <c r="O47" s="1883" t="s">
        <v>1037</v>
      </c>
      <c r="P47" s="1884" t="s">
        <v>1523</v>
      </c>
      <c r="Q47" s="1885">
        <f ca="1">C40+J29</f>
        <v>21892</v>
      </c>
      <c r="R47" s="1885" t="s">
        <v>1524</v>
      </c>
    </row>
    <row r="48" spans="1:18" s="1841" customFormat="1" ht="28.5" thickBot="1">
      <c r="A48" s="1359" t="s">
        <v>1132</v>
      </c>
      <c r="B48" s="345" t="s">
        <v>1396</v>
      </c>
      <c r="C48" s="1816">
        <f ca="1">C49+C53+C55</f>
        <v>0</v>
      </c>
      <c r="D48" s="1361"/>
      <c r="E48" s="1362"/>
      <c r="F48" s="1180"/>
      <c r="G48" s="791"/>
      <c r="H48" s="792"/>
      <c r="I48" s="1886" t="s">
        <v>1525</v>
      </c>
      <c r="J48" s="1887" t="s">
        <v>3063</v>
      </c>
      <c r="K48" s="1888" t="s">
        <v>1526</v>
      </c>
      <c r="L48" s="1889">
        <f ca="1">INDIRECT("'数据-取费表'!f"&amp;$G$1)</f>
        <v>34.36</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3030</v>
      </c>
      <c r="E49" s="1829" t="s">
        <v>1486</v>
      </c>
      <c r="F49" s="1280"/>
      <c r="G49" s="1890"/>
      <c r="H49" s="792"/>
      <c r="I49" s="1886" t="s">
        <v>1529</v>
      </c>
      <c r="J49" s="1891">
        <v>2017</v>
      </c>
      <c r="K49" s="1888" t="s">
        <v>1530</v>
      </c>
      <c r="L49" s="1892"/>
      <c r="O49" s="1893" t="s">
        <v>1039</v>
      </c>
      <c r="P49" s="1884" t="s">
        <v>1531</v>
      </c>
      <c r="Q49" s="1885">
        <f ca="1">C29</f>
        <v>6668</v>
      </c>
      <c r="R49" s="1885" t="s">
        <v>1524</v>
      </c>
    </row>
    <row r="50" spans="1:18" s="1841" customFormat="1" ht="13.5" thickBot="1">
      <c r="A50" s="1194"/>
      <c r="B50" s="1197"/>
      <c r="C50" s="1367"/>
      <c r="D50" s="1171"/>
      <c r="E50" s="1276" t="s">
        <v>1401</v>
      </c>
      <c r="F50" s="1277">
        <f ca="1">F7</f>
        <v>19318.75</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8">
        <f ca="1">F8</f>
        <v>365</v>
      </c>
      <c r="I51" s="1897" t="s">
        <v>1535</v>
      </c>
      <c r="J51" s="1898">
        <f>IF(J49="",J50,J49+J50-YEAR('数据-取费表'!B2))</f>
        <v>58</v>
      </c>
      <c r="K51" s="1899" t="s">
        <v>1536</v>
      </c>
      <c r="L51" s="1900">
        <f ca="1">ROUND(-PV(INDIRECT("'数据-取费表'!h"&amp;$G$1),L48,(C39-C13*C76),0),0)</f>
        <v>7440</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34.36</v>
      </c>
      <c r="R52" s="1885" t="s">
        <v>1541</v>
      </c>
    </row>
    <row r="53" spans="1:18" s="1841" customFormat="1" ht="24.75" thickBot="1">
      <c r="A53" s="1404" t="s">
        <v>1134</v>
      </c>
      <c r="B53" s="1830" t="s">
        <v>1404</v>
      </c>
      <c r="C53" s="361">
        <f ca="1">ROUND(IF(F53="押一",C49/12*F11,IF(F53="押二",C49/12*2*F11,IF(F53="押三",C49/12*3*F11,C54*F11))),0)</f>
        <v>0</v>
      </c>
      <c r="D53" s="1823" t="s">
        <v>3037</v>
      </c>
      <c r="E53" s="358" t="s">
        <v>1405</v>
      </c>
      <c r="F53" s="1365"/>
      <c r="I53" s="1904" t="s">
        <v>1542</v>
      </c>
      <c r="J53" s="2950">
        <f ca="1">IF(M47="住宅",IF(D1="——",MAX(J51,L48),MAX(J51,L48-'数据-取费表'!B24)),IF(D1="——",MIN(J51,L48),MIN(J51,L48-'数据-取费表'!B24)))</f>
        <v>34.36</v>
      </c>
      <c r="K53" s="3188" t="s">
        <v>1543</v>
      </c>
      <c r="L53" s="3189"/>
      <c r="O53" s="1883" t="s">
        <v>1043</v>
      </c>
      <c r="P53" s="1884" t="s">
        <v>1544</v>
      </c>
      <c r="Q53" s="1885">
        <f ca="1">Q47+Q48</f>
        <v>21892</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6">
        <f ca="1">C13</f>
        <v>6468</v>
      </c>
      <c r="D56" s="1912"/>
      <c r="E56" s="1913"/>
      <c r="F56" s="1905"/>
      <c r="I56" s="1914" t="s">
        <v>1549</v>
      </c>
      <c r="J56" s="1915" t="s">
        <v>3060</v>
      </c>
      <c r="K56" s="1886" t="s">
        <v>1550</v>
      </c>
      <c r="L56" s="1889" t="str">
        <f ca="1">IF(L48&lt;J51,"——",L48-J53)</f>
        <v>——</v>
      </c>
      <c r="O56" s="1883" t="s">
        <v>1037</v>
      </c>
      <c r="P56" s="1884" t="s">
        <v>1523</v>
      </c>
      <c r="Q56" s="1885">
        <f ca="1">C40+J29</f>
        <v>21892</v>
      </c>
      <c r="R56" s="1885" t="s">
        <v>1524</v>
      </c>
    </row>
    <row r="57" spans="1:18" s="1841" customFormat="1" ht="24.75" thickBot="1">
      <c r="A57" s="1916"/>
      <c r="B57" s="1168" t="s">
        <v>1473</v>
      </c>
      <c r="C57" s="282">
        <f ca="1">C29</f>
        <v>6668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6" t="s">
        <v>1419</v>
      </c>
      <c r="C58" s="361">
        <f ca="1">ROUND(C59+C64+C65+C66,0)</f>
        <v>670</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ROUND(IF(项目基本情况!B11="自然人",C48*F59,C60+C61+C62),1)</f>
        <v>560.1</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IF(项目基本情况!B11="自然人","——",IF(D61="按租金收入计税",ROUND(C48*F61,2),IF(D61="按房产原值计税",ROUND(C57*F61*0.7,2),INDIRECT("'数据-取费表'!Aj"&amp;$G$1))))</f>
        <v>560.11</v>
      </c>
      <c r="D61" s="1827" t="s">
        <v>1433</v>
      </c>
      <c r="E61" s="1168"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5">
        <f ca="1">IF(项目基本情况!B11="自然人","——",ROUND(F62*F63/10000,2))</f>
        <v>0</v>
      </c>
      <c r="D62" s="1183" t="s">
        <v>1492</v>
      </c>
      <c r="E62" s="1168" t="s">
        <v>1493</v>
      </c>
      <c r="F62" s="371">
        <f t="shared" si="0"/>
        <v>5</v>
      </c>
      <c r="I62" s="1927" t="s">
        <v>1565</v>
      </c>
      <c r="J62" s="1928" t="s">
        <v>1566</v>
      </c>
      <c r="K62" s="1928" t="s">
        <v>1567</v>
      </c>
      <c r="L62" s="1928" t="s">
        <v>1568</v>
      </c>
      <c r="M62" s="1929" t="s">
        <v>1569</v>
      </c>
      <c r="O62" s="1883" t="s">
        <v>1043</v>
      </c>
      <c r="P62" s="1884" t="s">
        <v>1570</v>
      </c>
      <c r="Q62" s="1885">
        <f ca="1">Q56+Q57</f>
        <v>21892</v>
      </c>
      <c r="R62" s="1885" t="s">
        <v>1044</v>
      </c>
    </row>
    <row r="63" spans="1:18" s="1841" customFormat="1" ht="13.5"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ROUND(C57*F64,1)</f>
        <v>100</v>
      </c>
      <c r="D64" s="1182" t="s">
        <v>1497</v>
      </c>
      <c r="E64" s="1168"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ROUND(C56*F65,1)</f>
        <v>9.6999999999999993</v>
      </c>
      <c r="D65" s="1182" t="s">
        <v>1449</v>
      </c>
      <c r="E65" s="1168" t="s">
        <v>1450</v>
      </c>
      <c r="F65" s="376">
        <f t="shared" ca="1" si="0"/>
        <v>1.5E-3</v>
      </c>
      <c r="I65" s="1927" t="s">
        <v>1574</v>
      </c>
      <c r="J65" s="1928">
        <v>40</v>
      </c>
      <c r="K65" s="1928">
        <v>30</v>
      </c>
      <c r="L65" s="1928">
        <v>50</v>
      </c>
      <c r="M65" s="1930">
        <v>0.02</v>
      </c>
      <c r="O65" s="1883" t="s">
        <v>1037</v>
      </c>
      <c r="P65" s="1884" t="s">
        <v>1575</v>
      </c>
      <c r="Q65" s="1885">
        <f ca="1">C40+J29</f>
        <v>21892</v>
      </c>
      <c r="R65" s="1885" t="s">
        <v>1524</v>
      </c>
    </row>
    <row r="66" spans="1:18" s="1841" customFormat="1" ht="16.5" thickBot="1">
      <c r="A66" s="1200" t="s">
        <v>1499</v>
      </c>
      <c r="B66" s="1168" t="s">
        <v>1434</v>
      </c>
      <c r="C66" s="24">
        <f ca="1">ROUND(C48*F66,1)</f>
        <v>0</v>
      </c>
      <c r="D66" s="1182" t="s">
        <v>1500</v>
      </c>
      <c r="E66" s="1168" t="s">
        <v>1417</v>
      </c>
      <c r="F66" s="357">
        <f t="shared" ca="1" si="0"/>
        <v>0.02</v>
      </c>
      <c r="O66" s="1883" t="s">
        <v>1038</v>
      </c>
      <c r="P66" s="1884" t="s">
        <v>1553</v>
      </c>
      <c r="Q66" s="1885">
        <f ca="1">L60</f>
        <v>0</v>
      </c>
      <c r="R66" s="1885" t="s">
        <v>1576</v>
      </c>
    </row>
    <row r="67" spans="1:18" s="1841" customFormat="1" ht="16.5" thickBot="1">
      <c r="A67" s="1175" t="s">
        <v>1028</v>
      </c>
      <c r="B67" s="1185" t="s">
        <v>1458</v>
      </c>
      <c r="C67" s="361">
        <f ca="1">C48-C58</f>
        <v>-670</v>
      </c>
      <c r="D67" s="1181" t="s">
        <v>1459</v>
      </c>
      <c r="E67" s="1186"/>
      <c r="F67" s="1187"/>
      <c r="O67" s="1893" t="s">
        <v>1039</v>
      </c>
      <c r="P67" s="1884" t="s">
        <v>1557</v>
      </c>
      <c r="Q67" s="1931">
        <f ca="1">L51</f>
        <v>7440</v>
      </c>
      <c r="R67" s="1885" t="s">
        <v>1577</v>
      </c>
    </row>
    <row r="68" spans="1:18" s="1841" customFormat="1" ht="16.5" thickBot="1">
      <c r="A68" s="1165" t="s">
        <v>1029</v>
      </c>
      <c r="B68" s="1166" t="s">
        <v>1480</v>
      </c>
      <c r="C68" s="346">
        <f ca="1">ROUND(C67*(1-((1+F70)/(1+F68))^F69)/(F68-F70),0)</f>
        <v>-10246</v>
      </c>
      <c r="D68" s="1183" t="s">
        <v>1464</v>
      </c>
      <c r="E68" s="1168" t="s">
        <v>1465</v>
      </c>
      <c r="F68" s="357">
        <f ca="1">F40</f>
        <v>5.5E-2</v>
      </c>
      <c r="O68" s="1893" t="s">
        <v>1040</v>
      </c>
      <c r="P68" s="1932" t="s">
        <v>1578</v>
      </c>
      <c r="Q68" s="1885">
        <f ca="1">ROUND(Q69-Q70*Q71,0)</f>
        <v>458</v>
      </c>
      <c r="R68" s="1885" t="s">
        <v>1048</v>
      </c>
    </row>
    <row r="69" spans="1:18" s="1841" customFormat="1" ht="13.5" thickBot="1">
      <c r="A69" s="1169"/>
      <c r="B69" s="1170"/>
      <c r="C69" s="351"/>
      <c r="D69" s="1188" t="s">
        <v>1468</v>
      </c>
      <c r="E69" s="1168" t="s">
        <v>1469</v>
      </c>
      <c r="F69" s="379">
        <f ca="1">F41</f>
        <v>34.36</v>
      </c>
      <c r="O69" s="1893" t="s">
        <v>1045</v>
      </c>
      <c r="P69" s="1932" t="s">
        <v>1579</v>
      </c>
      <c r="Q69" s="1885">
        <f ca="1">C39</f>
        <v>975</v>
      </c>
      <c r="R69" s="1885" t="s">
        <v>1524</v>
      </c>
    </row>
    <row r="70" spans="1:18" s="1841" customFormat="1" ht="13.5" thickBot="1">
      <c r="A70" s="1172"/>
      <c r="B70" s="1173"/>
      <c r="C70" s="355"/>
      <c r="D70" s="1184"/>
      <c r="E70" s="1168" t="s">
        <v>1472</v>
      </c>
      <c r="F70" s="1274"/>
      <c r="O70" s="1893" t="s">
        <v>1046</v>
      </c>
      <c r="P70" s="1932" t="s">
        <v>1580</v>
      </c>
      <c r="Q70" s="1885">
        <f ca="1">C13</f>
        <v>6468</v>
      </c>
      <c r="R70" s="1885" t="s">
        <v>1524</v>
      </c>
    </row>
    <row r="71" spans="1:18" s="1841" customFormat="1" ht="13.5" thickBot="1">
      <c r="A71" s="1189" t="s">
        <v>1030</v>
      </c>
      <c r="B71" s="1190" t="s">
        <v>1482</v>
      </c>
      <c r="C71" s="382">
        <f ca="1">ROUND(C68*10000/F71,0)</f>
        <v>-5304</v>
      </c>
      <c r="D71" s="1191" t="s">
        <v>1483</v>
      </c>
      <c r="E71" s="1192" t="s">
        <v>1484</v>
      </c>
      <c r="F71" s="385">
        <f ca="1">F43</f>
        <v>19318.75</v>
      </c>
      <c r="O71" s="1893" t="s">
        <v>1047</v>
      </c>
      <c r="P71" s="1932" t="s">
        <v>1581</v>
      </c>
      <c r="Q71" s="1896">
        <f ca="1">C76</f>
        <v>0.08</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517</v>
      </c>
      <c r="D75" s="1841"/>
      <c r="E75" s="1841"/>
      <c r="F75" s="1841"/>
      <c r="K75" s="1867"/>
      <c r="L75" s="1841"/>
      <c r="O75" s="1883" t="s">
        <v>1043</v>
      </c>
      <c r="P75" s="1884" t="s">
        <v>1544</v>
      </c>
      <c r="Q75" s="1885">
        <f ca="1">Q65+Q66</f>
        <v>21892</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0.47</v>
      </c>
    </row>
    <row r="80" spans="1:18">
      <c r="B80" s="386" t="s">
        <v>1506</v>
      </c>
      <c r="C80" s="318">
        <f ca="1">ROUND(C75/C39,3)</f>
        <v>0.53</v>
      </c>
    </row>
    <row r="81" spans="2:3">
      <c r="B81" s="314" t="s">
        <v>1507</v>
      </c>
      <c r="C81" s="282"/>
    </row>
    <row r="82" spans="2:3">
      <c r="B82" s="317" t="s">
        <v>1508</v>
      </c>
      <c r="C82" s="319">
        <f ca="1">1-C83</f>
        <v>0.70500000000000007</v>
      </c>
    </row>
    <row r="83" spans="2:3">
      <c r="B83" s="317" t="s">
        <v>1509</v>
      </c>
      <c r="C83" s="318">
        <f ca="1">ROUND(C13/C40,3)</f>
        <v>0.29499999999999998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1"/>
      <c r="C1" s="1836"/>
      <c r="D1" s="1819"/>
      <c r="E1" s="1820" t="s">
        <v>1382</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190" t="s">
        <v>1398</v>
      </c>
      <c r="C6" s="1295">
        <f ca="1">ROUND(F6*F8*F7*(1-F9),0)</f>
        <v>0</v>
      </c>
      <c r="D6" s="164" t="s">
        <v>3026</v>
      </c>
      <c r="E6" s="347" t="s">
        <v>1400</v>
      </c>
      <c r="F6" s="348">
        <f ca="1">INDIRECT("'数据-取费表'!u"&amp;$G$1)</f>
        <v>0</v>
      </c>
      <c r="G6" s="1850"/>
      <c r="H6" s="1290" t="s">
        <v>1032</v>
      </c>
      <c r="I6" s="3190" t="s">
        <v>1398</v>
      </c>
      <c r="J6" s="346">
        <f ca="1">ROUND(M6*M8*M7*(1-M9),0)</f>
        <v>0</v>
      </c>
      <c r="K6" s="1833" t="s">
        <v>3027</v>
      </c>
      <c r="L6" s="347" t="s">
        <v>1400</v>
      </c>
      <c r="M6" s="348">
        <f ca="1">INDIRECT("'数据-取费表'!z"&amp;$G$1)</f>
        <v>0</v>
      </c>
    </row>
    <row r="7" spans="1:37" ht="18" customHeight="1">
      <c r="A7" s="1294"/>
      <c r="B7" s="3191"/>
      <c r="C7" s="1296"/>
      <c r="D7" s="352"/>
      <c r="E7" s="1297" t="s">
        <v>1401</v>
      </c>
      <c r="F7" s="348">
        <f ca="1">IF(INDIRECT("'数据-取费表'!ah"&amp;$G$1)="",INDIRECT("'数据-取费表'!k"&amp;$G$1),INDIRECT("'数据-取费表'!ah"&amp;$G$1))</f>
        <v>0</v>
      </c>
      <c r="G7" s="1850"/>
      <c r="H7" s="349"/>
      <c r="I7" s="3191"/>
      <c r="J7" s="351"/>
      <c r="K7" s="352"/>
      <c r="L7" s="347" t="s">
        <v>1401</v>
      </c>
      <c r="M7" s="348">
        <f ca="1">F7</f>
        <v>0</v>
      </c>
    </row>
    <row r="8" spans="1:37" ht="18" customHeight="1">
      <c r="A8" s="349"/>
      <c r="B8" s="3191"/>
      <c r="C8" s="351"/>
      <c r="D8" s="352"/>
      <c r="E8" s="347" t="s">
        <v>1402</v>
      </c>
      <c r="F8" s="348">
        <f ca="1">INDIRECT("'数据-取费表'!ai"&amp;$G$1)</f>
        <v>0</v>
      </c>
      <c r="G8" s="1850"/>
      <c r="H8" s="349"/>
      <c r="I8" s="3191"/>
      <c r="J8" s="351"/>
      <c r="K8" s="352"/>
      <c r="L8" s="347" t="s">
        <v>1402</v>
      </c>
      <c r="M8" s="348">
        <f ca="1">INDIRECT("'数据-取费表'!ai"&amp;$G$1)</f>
        <v>0</v>
      </c>
    </row>
    <row r="9" spans="1:37" ht="18" customHeight="1">
      <c r="A9" s="349"/>
      <c r="B9" s="3192"/>
      <c r="C9" s="351"/>
      <c r="D9" s="352"/>
      <c r="E9" s="347" t="s">
        <v>1403</v>
      </c>
      <c r="F9" s="357">
        <f ca="1">INDIRECT("'数据-取费表'!w"&amp;$G$1)</f>
        <v>0</v>
      </c>
      <c r="G9" s="1850"/>
      <c r="H9" s="349"/>
      <c r="I9" s="3192"/>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3037</v>
      </c>
      <c r="E10" s="358" t="s">
        <v>1405</v>
      </c>
      <c r="F10" s="1365"/>
      <c r="G10" s="1850"/>
      <c r="H10" s="1290" t="s">
        <v>1036</v>
      </c>
      <c r="I10" s="1822" t="s">
        <v>1404</v>
      </c>
      <c r="J10" s="346">
        <f ca="1">ROUND(IF(M10="押一",J6/12*M11,IF(M10="押二",J6/12*2*M11,IF(M10="押三",J6/12*3*M11,J11*M11))),0)</f>
        <v>0</v>
      </c>
      <c r="K10" s="1834" t="s">
        <v>3039</v>
      </c>
      <c r="L10" s="358" t="s">
        <v>1405</v>
      </c>
      <c r="M10" s="1365"/>
    </row>
    <row r="11" spans="1:37" ht="18" customHeight="1">
      <c r="A11" s="353"/>
      <c r="B11" s="1824" t="s">
        <v>1597</v>
      </c>
      <c r="C11" s="1177"/>
      <c r="D11" s="352"/>
      <c r="E11" s="358" t="s">
        <v>1407</v>
      </c>
      <c r="F11" s="359">
        <f ca="1">'数据-取费表'!B39</f>
        <v>1.4999999999999999E-2</v>
      </c>
      <c r="G11" s="1850"/>
      <c r="H11" s="1298"/>
      <c r="I11" s="1824" t="s">
        <v>1598</v>
      </c>
      <c r="J11" s="1177"/>
      <c r="K11" s="747"/>
      <c r="L11" s="358"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7" t="s">
        <v>1412</v>
      </c>
      <c r="C14" s="363">
        <f ca="1">ROUND(INDIRECT("'数据-取费表'!l"&amp;$G$1)*F43+'数据-取费表'!L14*INDIRECT("'数据-取费表'!S"&amp;$G$1),0)</f>
        <v>0</v>
      </c>
      <c r="D14" s="1799" t="s">
        <v>1413</v>
      </c>
      <c r="E14" s="1793"/>
      <c r="F14" s="364"/>
      <c r="G14" s="1850"/>
      <c r="H14" s="1200" t="s">
        <v>1032</v>
      </c>
      <c r="I14" s="347" t="s">
        <v>1414</v>
      </c>
      <c r="J14" s="24">
        <f ca="1">C29</f>
        <v>0</v>
      </c>
      <c r="K14" s="15"/>
      <c r="L14" s="978"/>
      <c r="M14" s="979"/>
    </row>
    <row r="15" spans="1:37" s="1857" customFormat="1" ht="18" customHeight="1" thickBot="1">
      <c r="A15" s="1200"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0" t="s">
        <v>1385</v>
      </c>
      <c r="B17" s="347" t="s">
        <v>1421</v>
      </c>
      <c r="C17" s="24">
        <f ca="1">ROUND(F17*(F43+INDIRECT("'数据-取费表'!S"&amp;$G$1)),0)</f>
        <v>0</v>
      </c>
      <c r="D17" s="347" t="s">
        <v>1422</v>
      </c>
      <c r="E17" s="347" t="s">
        <v>1423</v>
      </c>
      <c r="F17" s="26">
        <f>'数据-取费表'!B35</f>
        <v>150</v>
      </c>
      <c r="G17" s="1853"/>
      <c r="H17" s="1200"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7" t="s">
        <v>1427</v>
      </c>
      <c r="C18" s="24">
        <f ca="1">ROUND(C14*F18,0)</f>
        <v>0</v>
      </c>
      <c r="D18" s="347" t="s">
        <v>1416</v>
      </c>
      <c r="E18" s="347" t="s">
        <v>1417</v>
      </c>
      <c r="F18" s="367">
        <f>'数据-取费表'!B36</f>
        <v>1.4999999999999999E-2</v>
      </c>
      <c r="G18" s="1853"/>
      <c r="H18" s="1200"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1430</v>
      </c>
      <c r="C19" s="24">
        <f ca="1">SUM(C14:C18)</f>
        <v>0</v>
      </c>
      <c r="D19" s="140" t="s">
        <v>1431</v>
      </c>
      <c r="E19" s="1817"/>
      <c r="F19" s="26"/>
      <c r="G19" s="1850"/>
      <c r="H19" s="1200"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0" t="s">
        <v>1036</v>
      </c>
      <c r="B20" s="347" t="s">
        <v>1434</v>
      </c>
      <c r="C20" s="24">
        <f ca="1">ROUND(C19*F20,0)</f>
        <v>0</v>
      </c>
      <c r="D20" s="369" t="s">
        <v>1435</v>
      </c>
      <c r="E20" s="347" t="s">
        <v>1417</v>
      </c>
      <c r="F20" s="367">
        <f>'数据-取费表'!B37</f>
        <v>0.02</v>
      </c>
      <c r="G20" s="1853"/>
      <c r="H20" s="1200" t="s">
        <v>1384</v>
      </c>
      <c r="I20" s="164" t="s">
        <v>1436</v>
      </c>
      <c r="J20" s="25">
        <f ca="1">ROUND(M20*M21,0)</f>
        <v>0</v>
      </c>
      <c r="K20" s="370" t="s">
        <v>1437</v>
      </c>
      <c r="L20" s="347" t="s">
        <v>1438</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7"/>
      <c r="F22" s="26"/>
      <c r="G22" s="1850"/>
      <c r="H22" s="1200" t="s">
        <v>1036</v>
      </c>
      <c r="I22" s="347" t="s">
        <v>1444</v>
      </c>
      <c r="J22" s="24">
        <f ca="1">ROUND(J14*M22,0)</f>
        <v>0</v>
      </c>
      <c r="K22" s="1797" t="s">
        <v>1445</v>
      </c>
      <c r="L22" s="347" t="s">
        <v>1417</v>
      </c>
      <c r="M22" s="374">
        <f ca="1">INDIRECT("'数据-取费表'!Ak"&amp;$G$1)</f>
        <v>0</v>
      </c>
    </row>
    <row r="23" spans="1:37" s="1857"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0"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0"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4"/>
      <c r="I30" s="745"/>
      <c r="J30" s="746"/>
      <c r="K30" s="747"/>
      <c r="L30" s="748"/>
      <c r="M30" s="749"/>
    </row>
    <row r="31" spans="1:37" ht="18" customHeight="1">
      <c r="A31" s="1200"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1428</v>
      </c>
      <c r="C32" s="24">
        <f ca="1">IF(项目基本情况!B11="自然人","——",ROUND(C6*F32/(1+'数据-取费表'!C42),0))</f>
        <v>0</v>
      </c>
      <c r="D32" s="1797" t="s">
        <v>1429</v>
      </c>
      <c r="E32" s="347" t="s">
        <v>1417</v>
      </c>
      <c r="F32" s="377">
        <f>'数据-取费表'!B41</f>
        <v>5.6000000000000001E-2</v>
      </c>
      <c r="G32" s="1850"/>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5</v>
      </c>
      <c r="G34" s="1850"/>
      <c r="H34" s="744"/>
      <c r="I34" s="1859"/>
      <c r="J34" s="1860"/>
      <c r="K34" s="1862"/>
      <c r="L34" s="1863"/>
      <c r="M34" s="1863"/>
    </row>
    <row r="35" spans="1:18" ht="18" customHeight="1">
      <c r="A35" s="1352"/>
      <c r="B35" s="1350"/>
      <c r="C35" s="29"/>
      <c r="D35" s="373"/>
      <c r="E35" s="347" t="s">
        <v>1442</v>
      </c>
      <c r="F35" s="348">
        <f ca="1">INDIRECT("'数据-取费表'!r"&amp;$G$1)</f>
        <v>0</v>
      </c>
      <c r="G35" s="1850"/>
      <c r="H35" s="744"/>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0"/>
      <c r="L36" s="1858"/>
      <c r="M36" s="1858"/>
    </row>
    <row r="37" spans="1:18" ht="18" customHeight="1">
      <c r="A37" s="1200" t="s">
        <v>1072</v>
      </c>
      <c r="B37" s="347" t="s">
        <v>1448</v>
      </c>
      <c r="C37" s="24">
        <f ca="1">ROUND(C13*F37,0)</f>
        <v>0</v>
      </c>
      <c r="D37" s="1797" t="s">
        <v>1449</v>
      </c>
      <c r="E37" s="347" t="s">
        <v>1450</v>
      </c>
      <c r="F37" s="376">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1472</v>
      </c>
      <c r="F42" s="357">
        <f ca="1">INDIRECT("'数据-取费表'!v"&amp;$G$1)</f>
        <v>0</v>
      </c>
      <c r="G42" s="1850"/>
      <c r="H42" s="731"/>
      <c r="I42" s="1859"/>
      <c r="J42" s="1860"/>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9" t="s">
        <v>1404</v>
      </c>
      <c r="C53" s="361">
        <f ca="1">ROUND(IF(F53="押一",C49/12*F11,IF(F53="押二",C49/12*2*F11,IF(F53="押三",C49/12*3*F11,C54*F11))),0)</f>
        <v>0</v>
      </c>
      <c r="D53" s="1823" t="s">
        <v>3040</v>
      </c>
      <c r="E53" s="358" t="s">
        <v>1405</v>
      </c>
      <c r="F53" s="1365"/>
      <c r="I53" s="1904" t="s">
        <v>1542</v>
      </c>
      <c r="J53" s="2950">
        <f ca="1">IF(M47="住宅",IF(D1="——",MAX(J51,L48),MAX(J51,L48-'数据-取费表'!B24)),IF(D1="——",MIN(J51,L48),MIN(J51,L48-'数据-取费表'!B24)))</f>
        <v>0</v>
      </c>
      <c r="K53" s="3188" t="s">
        <v>1543</v>
      </c>
      <c r="L53" s="3189"/>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6" t="s">
        <v>1419</v>
      </c>
      <c r="C58" s="361">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5">
        <f ca="1">IF(项目基本情况!B11="自然人","——",ROUND(F62*F63,0))</f>
        <v>0</v>
      </c>
      <c r="D62" s="1183" t="s">
        <v>1492</v>
      </c>
      <c r="E62" s="1168" t="s">
        <v>1493</v>
      </c>
      <c r="F62" s="371">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4"/>
      <c r="C63" s="29"/>
      <c r="D63" s="1184"/>
      <c r="E63" s="1168"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4">
        <f ca="1">ROUND(C57*F64,0)</f>
        <v>0</v>
      </c>
      <c r="D64" s="1182" t="s">
        <v>1497</v>
      </c>
      <c r="E64" s="1168"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4">
        <f ca="1">ROUND(C48*F66,0)</f>
        <v>0</v>
      </c>
      <c r="D66" s="1182" t="s">
        <v>1500</v>
      </c>
      <c r="E66" s="1168" t="s">
        <v>1417</v>
      </c>
      <c r="F66" s="357">
        <f t="shared" ca="1" si="0"/>
        <v>0</v>
      </c>
      <c r="O66" s="1883" t="s">
        <v>1038</v>
      </c>
      <c r="P66" s="1884" t="s">
        <v>1553</v>
      </c>
      <c r="Q66" s="1885" t="e">
        <f ca="1">L60</f>
        <v>#DIV/0!</v>
      </c>
      <c r="R66" s="1885" t="s">
        <v>1576</v>
      </c>
    </row>
    <row r="67" spans="1:18" s="1841" customFormat="1" ht="16.5" thickBot="1">
      <c r="A67" s="1175" t="s">
        <v>1028</v>
      </c>
      <c r="B67" s="1185" t="s">
        <v>1458</v>
      </c>
      <c r="C67" s="361">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6" t="e">
        <f ca="1">ROUND(C67*(1-((1+F70)/(1+F68))^F69)/(F68-F70),0)</f>
        <v>#DIV/0!</v>
      </c>
      <c r="D68" s="1183" t="s">
        <v>1464</v>
      </c>
      <c r="E68" s="1168" t="s">
        <v>1465</v>
      </c>
      <c r="F68" s="357">
        <f ca="1">F40</f>
        <v>0</v>
      </c>
      <c r="O68" s="1893" t="s">
        <v>1040</v>
      </c>
      <c r="P68" s="1932" t="s">
        <v>1578</v>
      </c>
      <c r="Q68" s="1885">
        <f ca="1">ROUND(Q69-Q70*Q71,0)</f>
        <v>0</v>
      </c>
      <c r="R68" s="1885" t="s">
        <v>1048</v>
      </c>
    </row>
    <row r="69" spans="1:18" s="1841" customFormat="1" ht="13.5" thickBot="1">
      <c r="A69" s="1169"/>
      <c r="B69" s="1170"/>
      <c r="C69" s="351"/>
      <c r="D69" s="1188" t="s">
        <v>1468</v>
      </c>
      <c r="E69" s="1168" t="s">
        <v>1469</v>
      </c>
      <c r="F69" s="379">
        <f ca="1">F41</f>
        <v>0</v>
      </c>
      <c r="O69" s="1893" t="s">
        <v>1045</v>
      </c>
      <c r="P69" s="1932" t="s">
        <v>1579</v>
      </c>
      <c r="Q69" s="1885">
        <f ca="1">C39</f>
        <v>0</v>
      </c>
      <c r="R69" s="1885" t="s">
        <v>1524</v>
      </c>
    </row>
    <row r="70" spans="1:18" s="1841" customFormat="1" ht="13.5" thickBot="1">
      <c r="A70" s="1172"/>
      <c r="B70" s="1173"/>
      <c r="C70" s="355"/>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2" t="e">
        <f ca="1">ROUND(C68/F71,0)</f>
        <v>#DIV/0!</v>
      </c>
      <c r="D71" s="1191" t="s">
        <v>1483</v>
      </c>
      <c r="E71" s="1192" t="s">
        <v>1484</v>
      </c>
      <c r="F71" s="385">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2526</v>
      </c>
      <c r="B1" s="2562"/>
      <c r="C1" s="2562"/>
      <c r="D1" s="2562"/>
      <c r="E1" s="2563"/>
    </row>
    <row r="2" spans="1:6" ht="15.75">
      <c r="A2" s="2564" t="s">
        <v>2327</v>
      </c>
      <c r="B2" s="2565">
        <f ca="1">SUMIF(B6:B13,"&lt;&gt;#ref!",B6:B13)</f>
        <v>21892</v>
      </c>
      <c r="C2" s="2566" t="s">
        <v>2519</v>
      </c>
      <c r="D2" s="2567" t="s">
        <v>2520</v>
      </c>
      <c r="E2" s="2568">
        <f>SUM(E6:E13)</f>
        <v>39697.29</v>
      </c>
    </row>
    <row r="3" spans="1:6" ht="15.75">
      <c r="A3" s="2564" t="s">
        <v>1390</v>
      </c>
      <c r="B3" s="2565">
        <f ca="1">ROUND(B2*10000/E2,0)</f>
        <v>5515</v>
      </c>
      <c r="C3" s="2566" t="s">
        <v>2527</v>
      </c>
      <c r="D3" s="2569"/>
      <c r="E3" s="2570"/>
    </row>
    <row r="4" spans="1:6" ht="15.75">
      <c r="A4" s="2571"/>
      <c r="B4" s="2569"/>
      <c r="C4" s="2569"/>
      <c r="D4" s="2569"/>
      <c r="E4" s="2570"/>
    </row>
    <row r="5" spans="1:6" ht="15">
      <c r="A5" s="2572" t="s">
        <v>2521</v>
      </c>
      <c r="B5" s="3193" t="s">
        <v>2522</v>
      </c>
      <c r="C5" s="3193"/>
      <c r="D5" s="2573"/>
      <c r="E5" s="2574" t="s">
        <v>2523</v>
      </c>
      <c r="F5" s="2575" t="s">
        <v>2524</v>
      </c>
    </row>
    <row r="6" spans="1:6">
      <c r="A6" s="2576" t="str">
        <f>'数据-取费表'!AN6</f>
        <v>收益法</v>
      </c>
      <c r="B6" s="2575">
        <f ca="1">IF(F6="是",'数据-取费表'!AO6,0)</f>
        <v>21892</v>
      </c>
      <c r="C6" s="2566" t="s">
        <v>2519</v>
      </c>
      <c r="D6" s="2569"/>
      <c r="E6" s="2577">
        <f>IF(OR(A6=0,F6="否"),0,'数据-取费表'!K6+'数据-取费表'!S6)</f>
        <v>39697.29</v>
      </c>
      <c r="F6" s="2578" t="s">
        <v>2525</v>
      </c>
    </row>
    <row r="7" spans="1:6">
      <c r="A7" s="2576">
        <f>'数据-取费表'!AN7</f>
        <v>0</v>
      </c>
      <c r="B7" s="2575" t="e">
        <f ca="1">IF(F7="是",'数据-取费表'!AO7,0)</f>
        <v>#REF!</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1073</v>
      </c>
      <c r="B1" s="3195"/>
      <c r="C1" s="3196"/>
      <c r="D1" s="3197">
        <f>SUM(I10,I15,I20,I21,I23)</f>
        <v>0</v>
      </c>
      <c r="E1" s="3197"/>
      <c r="F1" s="3197"/>
      <c r="G1" s="3197"/>
      <c r="H1" s="3197"/>
      <c r="I1" s="3198"/>
    </row>
    <row r="2" spans="1:9">
      <c r="A2" s="3199" t="s">
        <v>1074</v>
      </c>
      <c r="B2" s="3200" t="s">
        <v>1075</v>
      </c>
      <c r="C2" s="3200"/>
      <c r="D2" s="1300" t="s">
        <v>1076</v>
      </c>
      <c r="E2" s="1300" t="s">
        <v>1077</v>
      </c>
      <c r="F2" s="1300" t="s">
        <v>1078</v>
      </c>
      <c r="G2" s="1300" t="s">
        <v>1079</v>
      </c>
      <c r="H2" s="1300" t="s">
        <v>1080</v>
      </c>
      <c r="I2" s="1301" t="s">
        <v>1081</v>
      </c>
    </row>
    <row r="3" spans="1:9">
      <c r="A3" s="3199"/>
      <c r="B3" s="3200" t="s">
        <v>1082</v>
      </c>
      <c r="C3" s="3200"/>
      <c r="D3" s="1302"/>
      <c r="E3" s="1300"/>
      <c r="F3" s="1303"/>
      <c r="G3" s="1303"/>
      <c r="H3" s="1304"/>
      <c r="I3" s="1305">
        <f>ROUND(D3*E3*F3*G3*H3/10000,0)</f>
        <v>0</v>
      </c>
    </row>
    <row r="4" spans="1:9">
      <c r="A4" s="3199"/>
      <c r="B4" s="3200" t="s">
        <v>1083</v>
      </c>
      <c r="C4" s="3200"/>
      <c r="D4" s="1302"/>
      <c r="E4" s="1300"/>
      <c r="F4" s="1303"/>
      <c r="G4" s="1303"/>
      <c r="H4" s="1304"/>
      <c r="I4" s="1305">
        <f t="shared" ref="I4:I9" si="0">ROUND(D4*E4*F4*G4*H4/10000,0)</f>
        <v>0</v>
      </c>
    </row>
    <row r="5" spans="1:9">
      <c r="A5" s="3199"/>
      <c r="B5" s="3200" t="s">
        <v>1084</v>
      </c>
      <c r="C5" s="3200"/>
      <c r="D5" s="1302"/>
      <c r="E5" s="1300"/>
      <c r="F5" s="1303"/>
      <c r="G5" s="1303"/>
      <c r="H5" s="1304"/>
      <c r="I5" s="1305">
        <f t="shared" si="0"/>
        <v>0</v>
      </c>
    </row>
    <row r="6" spans="1:9">
      <c r="A6" s="3199"/>
      <c r="B6" s="3200" t="s">
        <v>1085</v>
      </c>
      <c r="C6" s="3200"/>
      <c r="D6" s="1302"/>
      <c r="E6" s="1300"/>
      <c r="F6" s="1303"/>
      <c r="G6" s="1303"/>
      <c r="H6" s="1304"/>
      <c r="I6" s="1305">
        <f t="shared" si="0"/>
        <v>0</v>
      </c>
    </row>
    <row r="7" spans="1:9">
      <c r="A7" s="3199"/>
      <c r="B7" s="3200" t="s">
        <v>1086</v>
      </c>
      <c r="C7" s="3200"/>
      <c r="D7" s="1302"/>
      <c r="E7" s="1300"/>
      <c r="F7" s="1303"/>
      <c r="G7" s="1303"/>
      <c r="H7" s="1304"/>
      <c r="I7" s="1305">
        <f t="shared" si="0"/>
        <v>0</v>
      </c>
    </row>
    <row r="8" spans="1:9">
      <c r="A8" s="3199"/>
      <c r="B8" s="3200" t="s">
        <v>1087</v>
      </c>
      <c r="C8" s="3200"/>
      <c r="D8" s="1302"/>
      <c r="E8" s="1300"/>
      <c r="F8" s="1303"/>
      <c r="G8" s="1303"/>
      <c r="H8" s="1304"/>
      <c r="I8" s="1305">
        <f t="shared" si="0"/>
        <v>0</v>
      </c>
    </row>
    <row r="9" spans="1:9">
      <c r="A9" s="3199"/>
      <c r="B9" s="3200" t="s">
        <v>1088</v>
      </c>
      <c r="C9" s="3200"/>
      <c r="D9" s="1302"/>
      <c r="E9" s="1300"/>
      <c r="F9" s="1303"/>
      <c r="G9" s="1303"/>
      <c r="H9" s="1304"/>
      <c r="I9" s="1305">
        <f t="shared" si="0"/>
        <v>0</v>
      </c>
    </row>
    <row r="10" spans="1:9">
      <c r="A10" s="3199"/>
      <c r="B10" s="3201" t="s">
        <v>1089</v>
      </c>
      <c r="C10" s="3201"/>
      <c r="D10" s="1306"/>
      <c r="E10" s="1306" t="e">
        <f>ROUND(D1*10000/D10/H9,0)</f>
        <v>#DIV/0!</v>
      </c>
      <c r="F10" s="1307"/>
      <c r="G10" s="1307"/>
      <c r="H10" s="1308"/>
      <c r="I10" s="1309">
        <f>SUM(I3:I9)</f>
        <v>0</v>
      </c>
    </row>
    <row r="11" spans="1:9" ht="14.25">
      <c r="A11" s="3199" t="s">
        <v>1090</v>
      </c>
      <c r="B11" s="3200" t="s">
        <v>1091</v>
      </c>
      <c r="C11" s="3200"/>
      <c r="D11" s="1302" t="s">
        <v>1092</v>
      </c>
      <c r="E11" s="1302" t="s">
        <v>1093</v>
      </c>
      <c r="F11" s="1303" t="s">
        <v>1094</v>
      </c>
      <c r="G11" s="1303" t="s">
        <v>1080</v>
      </c>
      <c r="H11" s="1310" t="s">
        <v>1095</v>
      </c>
      <c r="I11" s="1301" t="s">
        <v>1081</v>
      </c>
    </row>
    <row r="12" spans="1:9">
      <c r="A12" s="3199"/>
      <c r="B12" s="3200" t="s">
        <v>1096</v>
      </c>
      <c r="C12" s="3200"/>
      <c r="D12" s="1302"/>
      <c r="E12" s="1302"/>
      <c r="F12" s="1303"/>
      <c r="G12" s="1304"/>
      <c r="H12" s="1311"/>
      <c r="I12" s="1301">
        <f>ROUND(D12*E12*F12*G12/10000,0)</f>
        <v>0</v>
      </c>
    </row>
    <row r="13" spans="1:9">
      <c r="A13" s="3199"/>
      <c r="B13" s="3200" t="s">
        <v>1097</v>
      </c>
      <c r="C13" s="3200"/>
      <c r="D13" s="1302"/>
      <c r="E13" s="1302"/>
      <c r="F13" s="1303"/>
      <c r="G13" s="1304"/>
      <c r="H13" s="1311"/>
      <c r="I13" s="1301">
        <f>ROUND(D13*E13*F13*G13/10000,0)</f>
        <v>0</v>
      </c>
    </row>
    <row r="14" spans="1:9">
      <c r="A14" s="3199"/>
      <c r="B14" s="3200" t="s">
        <v>1098</v>
      </c>
      <c r="C14" s="3200"/>
      <c r="D14" s="1302"/>
      <c r="E14" s="1302"/>
      <c r="F14" s="1303"/>
      <c r="G14" s="1304"/>
      <c r="H14" s="1311"/>
      <c r="I14" s="1301">
        <f>ROUND(D14*E14*F14*G14/10000,0)</f>
        <v>0</v>
      </c>
    </row>
    <row r="15" spans="1:9">
      <c r="A15" s="3199"/>
      <c r="B15" s="3201" t="s">
        <v>1089</v>
      </c>
      <c r="C15" s="3201"/>
      <c r="D15" s="1306"/>
      <c r="E15" s="1306">
        <f>SUM(E12:E14)</f>
        <v>0</v>
      </c>
      <c r="F15" s="1307"/>
      <c r="G15" s="1304"/>
      <c r="H15" s="1311"/>
      <c r="I15" s="1312">
        <f>SUM(I12:I14)</f>
        <v>0</v>
      </c>
    </row>
    <row r="16" spans="1:9" ht="24">
      <c r="A16" s="3199" t="s">
        <v>1099</v>
      </c>
      <c r="B16" s="3200" t="s">
        <v>1100</v>
      </c>
      <c r="C16" s="3200"/>
      <c r="D16" s="1302" t="s">
        <v>1076</v>
      </c>
      <c r="E16" s="1313" t="s">
        <v>1101</v>
      </c>
      <c r="F16" s="1303" t="s">
        <v>1102</v>
      </c>
      <c r="G16" s="1304" t="s">
        <v>1080</v>
      </c>
      <c r="H16" s="1310" t="s">
        <v>1095</v>
      </c>
      <c r="I16" s="1301" t="s">
        <v>1081</v>
      </c>
    </row>
    <row r="17" spans="1:9" ht="14.25">
      <c r="A17" s="3199"/>
      <c r="B17" s="3200" t="s">
        <v>1103</v>
      </c>
      <c r="C17" s="3200"/>
      <c r="D17" s="1302"/>
      <c r="E17" s="1302"/>
      <c r="F17" s="1303"/>
      <c r="G17" s="1304"/>
      <c r="H17" s="1314"/>
      <c r="I17" s="1315">
        <f>ROUND(D17*E17*F17*G17/10000,0)</f>
        <v>0</v>
      </c>
    </row>
    <row r="18" spans="1:9" ht="14.25">
      <c r="A18" s="3199"/>
      <c r="B18" s="3200" t="s">
        <v>1104</v>
      </c>
      <c r="C18" s="3200"/>
      <c r="D18" s="1302"/>
      <c r="E18" s="1302"/>
      <c r="F18" s="1303"/>
      <c r="G18" s="1304"/>
      <c r="H18" s="1314"/>
      <c r="I18" s="1315">
        <f>ROUND(D18*E18*F18*G18/10000,0)</f>
        <v>0</v>
      </c>
    </row>
    <row r="19" spans="1:9" ht="14.25">
      <c r="A19" s="3199"/>
      <c r="B19" s="3200" t="s">
        <v>1105</v>
      </c>
      <c r="C19" s="3200"/>
      <c r="D19" s="1302"/>
      <c r="E19" s="1302"/>
      <c r="F19" s="1303"/>
      <c r="G19" s="1304"/>
      <c r="H19" s="1314"/>
      <c r="I19" s="1315">
        <f>ROUND(D19*E19*F19*G19/10000,0)</f>
        <v>0</v>
      </c>
    </row>
    <row r="20" spans="1:9">
      <c r="A20" s="3199"/>
      <c r="B20" s="3201" t="s">
        <v>1089</v>
      </c>
      <c r="C20" s="3201"/>
      <c r="D20" s="1306">
        <f>SUM(D17:D19)</f>
        <v>0</v>
      </c>
      <c r="E20" s="1306"/>
      <c r="F20" s="1307"/>
      <c r="G20" s="1304"/>
      <c r="H20" s="1311"/>
      <c r="I20" s="1312">
        <f>SUM(I17:I19)</f>
        <v>0</v>
      </c>
    </row>
    <row r="21" spans="1:9">
      <c r="A21" s="3199" t="s">
        <v>1106</v>
      </c>
      <c r="B21" s="3203"/>
      <c r="C21" s="3203"/>
      <c r="D21" s="3203"/>
      <c r="E21" s="3203"/>
      <c r="F21" s="3203"/>
      <c r="G21" s="3203"/>
      <c r="H21" s="1764">
        <v>0.1</v>
      </c>
      <c r="I21" s="1309">
        <f>ROUND(I10*H21,0)</f>
        <v>0</v>
      </c>
    </row>
    <row r="22" spans="1:9" ht="14.25">
      <c r="A22" s="3204" t="s">
        <v>1107</v>
      </c>
      <c r="B22" s="3205"/>
      <c r="C22" s="3206"/>
      <c r="D22" s="1316" t="s">
        <v>1108</v>
      </c>
      <c r="E22" s="1316" t="s">
        <v>1109</v>
      </c>
      <c r="F22" s="1317" t="s">
        <v>1110</v>
      </c>
      <c r="G22" s="1317" t="s">
        <v>1111</v>
      </c>
      <c r="H22" s="1310" t="s">
        <v>1112</v>
      </c>
      <c r="I22" s="1301" t="s">
        <v>1113</v>
      </c>
    </row>
    <row r="23" spans="1:9" ht="14.25" thickBot="1">
      <c r="A23" s="3207"/>
      <c r="B23" s="3208"/>
      <c r="C23" s="3209"/>
      <c r="D23" s="1318"/>
      <c r="E23" s="1318"/>
      <c r="F23" s="1318"/>
      <c r="G23" s="1319"/>
      <c r="H23" s="1320"/>
      <c r="I23" s="1321">
        <f>ROUND(E23*D23*F23*(1-G23)/10000,0)</f>
        <v>0</v>
      </c>
    </row>
    <row r="26" spans="1:9">
      <c r="A26" s="1322" t="s">
        <v>1114</v>
      </c>
      <c r="B26" s="1322"/>
      <c r="C26" s="1322"/>
      <c r="D26" s="1322"/>
      <c r="E26" s="3210">
        <f>C27-C30-C31-C32</f>
        <v>0</v>
      </c>
      <c r="F26" s="3210"/>
      <c r="G26" s="3210"/>
      <c r="H26" s="1736" t="s">
        <v>1336</v>
      </c>
    </row>
    <row r="27" spans="1:9">
      <c r="A27" s="1323">
        <v>1</v>
      </c>
      <c r="B27" s="1324" t="s">
        <v>1115</v>
      </c>
      <c r="C27" s="1324">
        <f>C28+C29</f>
        <v>0</v>
      </c>
      <c r="D27" s="1324"/>
      <c r="E27" s="3211"/>
      <c r="F27" s="3211"/>
      <c r="G27" s="3211"/>
    </row>
    <row r="28" spans="1:9">
      <c r="A28" s="1325" t="s">
        <v>1116</v>
      </c>
      <c r="B28" s="1324" t="s">
        <v>1117</v>
      </c>
      <c r="C28" s="1324"/>
      <c r="D28" s="1324"/>
      <c r="E28" s="3211"/>
      <c r="F28" s="3211"/>
      <c r="G28" s="321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02"/>
      <c r="F32" s="3202"/>
      <c r="G32" s="3202"/>
    </row>
    <row r="33" spans="1:7" hidden="1">
      <c r="A33" s="3212" t="s">
        <v>1126</v>
      </c>
      <c r="B33" s="3213"/>
      <c r="C33" s="3213"/>
      <c r="D33" s="3214"/>
      <c r="E33" s="3210"/>
      <c r="F33" s="3210"/>
      <c r="G33" s="3210"/>
    </row>
    <row r="34" spans="1:7" hidden="1">
      <c r="A34" s="1327">
        <v>1</v>
      </c>
      <c r="B34" s="1324" t="s">
        <v>1127</v>
      </c>
      <c r="C34" s="1324"/>
      <c r="D34" s="1324"/>
      <c r="E34" s="3211"/>
      <c r="F34" s="3211"/>
      <c r="G34" s="3211"/>
    </row>
    <row r="35" spans="1:7" hidden="1">
      <c r="A35" s="1327">
        <v>2</v>
      </c>
      <c r="B35" s="1324" t="s">
        <v>1128</v>
      </c>
      <c r="C35" s="1324"/>
      <c r="D35" s="1324"/>
      <c r="E35" s="3211"/>
      <c r="F35" s="3211"/>
      <c r="G35" s="3211"/>
    </row>
    <row r="36" spans="1:7" hidden="1">
      <c r="A36" s="1327">
        <v>3</v>
      </c>
      <c r="B36" s="1324" t="s">
        <v>1129</v>
      </c>
      <c r="C36" s="1324"/>
      <c r="D36" s="1324"/>
      <c r="E36" s="3211"/>
      <c r="F36" s="3211"/>
      <c r="G36" s="3211"/>
    </row>
    <row r="37" spans="1:7" hidden="1">
      <c r="A37" s="1327">
        <v>4</v>
      </c>
      <c r="B37" s="1324" t="s">
        <v>1130</v>
      </c>
      <c r="C37" s="1324"/>
      <c r="D37" s="1324"/>
      <c r="E37" s="3211"/>
      <c r="F37" s="3211"/>
      <c r="G37" s="3211"/>
    </row>
    <row r="38" spans="1:7" hidden="1">
      <c r="A38" s="3212" t="s">
        <v>1131</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2529</v>
      </c>
      <c r="C1" s="1633" t="s">
        <v>2530</v>
      </c>
      <c r="D1" s="1620"/>
      <c r="E1" s="2583"/>
      <c r="F1" s="2584" t="s">
        <v>2531</v>
      </c>
      <c r="G1" s="1630" t="s">
        <v>2532</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6"/>
      <c r="D2" s="1364" t="e">
        <f ca="1">SUMIF(INDIRECT("'"&amp;F2&amp;"'"&amp;"!A:A"),"承租人权益价值",INDIRECT("'"&amp;F2&amp;"'"&amp;"!c:c"))</f>
        <v>#REF!</v>
      </c>
      <c r="E2" s="2587" t="s">
        <v>2533</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2534</v>
      </c>
      <c r="D3" s="399">
        <f>IF(D1="",'数据-汇总表'!E3,SUMIF('数据-汇总表'!$C19:$C33,D1,'数据-汇总表'!$E19:$E33))</f>
        <v>39697.29</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2535</v>
      </c>
      <c r="B4" s="402"/>
      <c r="C4" s="3233" t="s">
        <v>2536</v>
      </c>
      <c r="D4" s="3234"/>
      <c r="E4" s="3235" t="s">
        <v>2537</v>
      </c>
      <c r="F4" s="3236"/>
      <c r="G4" s="3233" t="s">
        <v>2538</v>
      </c>
      <c r="H4" s="3234"/>
      <c r="I4" s="3233" t="s">
        <v>2539</v>
      </c>
      <c r="J4" s="3234"/>
      <c r="K4" s="2596" t="s">
        <v>2540</v>
      </c>
      <c r="L4" s="1129"/>
      <c r="M4" s="1130"/>
      <c r="N4" s="1130"/>
      <c r="O4" s="1130"/>
      <c r="P4" s="3237" t="s">
        <v>2541</v>
      </c>
      <c r="Q4" s="3238"/>
      <c r="R4" s="3220" t="s">
        <v>2537</v>
      </c>
      <c r="S4" s="3221"/>
      <c r="T4" s="3220" t="s">
        <v>2538</v>
      </c>
      <c r="U4" s="3221"/>
      <c r="V4" s="3245" t="s">
        <v>2539</v>
      </c>
      <c r="W4" s="3245"/>
      <c r="X4" s="1812"/>
      <c r="Y4" s="3220" t="s">
        <v>2541</v>
      </c>
      <c r="Z4" s="3221"/>
      <c r="AA4" s="3215" t="s">
        <v>2537</v>
      </c>
      <c r="AB4" s="3215" t="s">
        <v>2538</v>
      </c>
      <c r="AC4" s="3215" t="s">
        <v>2539</v>
      </c>
    </row>
    <row r="5" spans="1:29" ht="15">
      <c r="A5" s="404"/>
      <c r="B5" s="405"/>
      <c r="C5" s="3226" t="s">
        <v>2542</v>
      </c>
      <c r="D5" s="3227"/>
      <c r="E5" s="3224" t="s">
        <v>2543</v>
      </c>
      <c r="F5" s="3225"/>
      <c r="G5" s="3226" t="s">
        <v>2544</v>
      </c>
      <c r="H5" s="3227"/>
      <c r="I5" s="3226" t="s">
        <v>2545</v>
      </c>
      <c r="J5" s="3227"/>
      <c r="K5" s="2597"/>
      <c r="L5" s="1129"/>
      <c r="M5" s="1130"/>
      <c r="N5" s="1130"/>
      <c r="O5" s="1130"/>
      <c r="P5" s="3239"/>
      <c r="Q5" s="3240"/>
      <c r="R5" s="3222"/>
      <c r="S5" s="3223"/>
      <c r="T5" s="3222"/>
      <c r="U5" s="3223"/>
      <c r="V5" s="3245"/>
      <c r="W5" s="3245"/>
      <c r="X5" s="1812"/>
      <c r="Y5" s="3222"/>
      <c r="Z5" s="3223"/>
      <c r="AA5" s="3216"/>
      <c r="AB5" s="3216"/>
      <c r="AC5" s="3216"/>
    </row>
    <row r="6" spans="1:29" ht="15.75" thickBot="1">
      <c r="A6" s="406"/>
      <c r="B6" s="407"/>
      <c r="C6" s="3228" t="s">
        <v>2546</v>
      </c>
      <c r="D6" s="3229"/>
      <c r="E6" s="3230" t="s">
        <v>2546</v>
      </c>
      <c r="F6" s="3231"/>
      <c r="G6" s="3228" t="s">
        <v>2546</v>
      </c>
      <c r="H6" s="3229"/>
      <c r="I6" s="3228" t="s">
        <v>2546</v>
      </c>
      <c r="J6" s="3229"/>
      <c r="K6" s="2597" t="s">
        <v>2547</v>
      </c>
      <c r="L6" s="1129"/>
      <c r="M6" s="1130"/>
      <c r="N6" s="1130"/>
      <c r="O6" s="1130"/>
      <c r="P6" s="3241"/>
      <c r="Q6" s="3242"/>
      <c r="R6" s="3222"/>
      <c r="S6" s="3223"/>
      <c r="T6" s="3243"/>
      <c r="U6" s="3244"/>
      <c r="V6" s="3245"/>
      <c r="W6" s="3245"/>
      <c r="X6" s="1812"/>
      <c r="Y6" s="3243"/>
      <c r="Z6" s="3244"/>
      <c r="AA6" s="3217"/>
      <c r="AB6" s="3217"/>
      <c r="AC6" s="3217"/>
    </row>
    <row r="7" spans="1:29" s="117" customFormat="1" ht="15.75" thickBot="1">
      <c r="A7" s="408" t="s">
        <v>2548</v>
      </c>
      <c r="B7" s="409"/>
      <c r="C7" s="410">
        <f>'数据-取费表'!B2</f>
        <v>43761</v>
      </c>
      <c r="D7" s="411">
        <v>100</v>
      </c>
      <c r="E7" s="412"/>
      <c r="F7" s="413">
        <f>SUMIF(58:58,YEAR(E7)&amp;"-"&amp;MONTH(E7),59:59)</f>
        <v>0</v>
      </c>
      <c r="G7" s="412"/>
      <c r="H7" s="411">
        <f>SUMIF(58:58,YEAR(G7)&amp;"-"&amp;MONTH(G7),59:59)</f>
        <v>0</v>
      </c>
      <c r="I7" s="412"/>
      <c r="J7" s="411">
        <f>SUMIF(58:58,YEAR(I7)&amp;"-"&amp;MONTH(I7),59:59)</f>
        <v>0</v>
      </c>
      <c r="K7" s="2598"/>
      <c r="L7" s="1131"/>
      <c r="M7" s="1132"/>
      <c r="N7" s="1132"/>
      <c r="O7" s="1132"/>
      <c r="P7" s="3218" t="s">
        <v>2549</v>
      </c>
      <c r="Q7" s="3246"/>
      <c r="R7" s="769" t="s">
        <v>23</v>
      </c>
      <c r="S7" s="770">
        <f t="shared" ref="S7:S15" si="0">F7</f>
        <v>0</v>
      </c>
      <c r="T7" s="769" t="s">
        <v>23</v>
      </c>
      <c r="U7" s="770">
        <f t="shared" ref="U7:U15" si="1">H7</f>
        <v>0</v>
      </c>
      <c r="V7" s="769" t="s">
        <v>23</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1"/>
      <c r="M8" s="1132"/>
      <c r="N8" s="1132"/>
      <c r="O8" s="1132"/>
      <c r="P8" s="3218" t="s">
        <v>2552</v>
      </c>
      <c r="Q8" s="3219"/>
      <c r="R8" s="769" t="s">
        <v>23</v>
      </c>
      <c r="S8" s="770">
        <f t="shared" si="0"/>
        <v>0</v>
      </c>
      <c r="T8" s="769" t="s">
        <v>23</v>
      </c>
      <c r="U8" s="770">
        <f t="shared" si="1"/>
        <v>0</v>
      </c>
      <c r="V8" s="769" t="s">
        <v>23</v>
      </c>
      <c r="W8" s="770">
        <f t="shared" si="2"/>
        <v>0</v>
      </c>
      <c r="X8" s="771"/>
      <c r="Y8" s="3218" t="s">
        <v>2552</v>
      </c>
      <c r="Z8" s="3219"/>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1"/>
      <c r="M9" s="1132"/>
      <c r="N9" s="1132"/>
      <c r="O9" s="1132"/>
      <c r="P9" s="3232" t="s">
        <v>2555</v>
      </c>
      <c r="Q9" s="1794" t="str">
        <f t="shared" ref="Q9:Q15" si="6">B9</f>
        <v>用途</v>
      </c>
      <c r="R9" s="769" t="s">
        <v>17</v>
      </c>
      <c r="S9" s="770">
        <f t="shared" si="0"/>
        <v>100</v>
      </c>
      <c r="T9" s="769" t="s">
        <v>17</v>
      </c>
      <c r="U9" s="770">
        <f t="shared" si="1"/>
        <v>100</v>
      </c>
      <c r="V9" s="769" t="s">
        <v>17</v>
      </c>
      <c r="W9" s="770">
        <f t="shared" si="2"/>
        <v>100</v>
      </c>
      <c r="X9" s="771"/>
      <c r="Y9" s="3065"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2"/>
      <c r="Q10" s="1794"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2"/>
      <c r="Q11" s="1794" t="str">
        <f t="shared" si="6"/>
        <v>容积率</v>
      </c>
      <c r="R11" s="769" t="s">
        <v>21</v>
      </c>
      <c r="S11" s="770" t="e">
        <f t="shared" si="0"/>
        <v>#N/A</v>
      </c>
      <c r="T11" s="769" t="s">
        <v>21</v>
      </c>
      <c r="U11" s="770" t="e">
        <f t="shared" si="1"/>
        <v>#N/A</v>
      </c>
      <c r="V11" s="769" t="s">
        <v>21</v>
      </c>
      <c r="W11" s="770" t="e">
        <f t="shared" si="2"/>
        <v>#N/A</v>
      </c>
      <c r="X11" s="771"/>
      <c r="Y11" s="3065"/>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232"/>
      <c r="Q12" s="1794">
        <f t="shared" si="6"/>
        <v>111</v>
      </c>
      <c r="R12" s="769" t="s">
        <v>21</v>
      </c>
      <c r="S12" s="770">
        <f t="shared" si="0"/>
        <v>100</v>
      </c>
      <c r="T12" s="769" t="s">
        <v>21</v>
      </c>
      <c r="U12" s="770">
        <f t="shared" si="1"/>
        <v>100</v>
      </c>
      <c r="V12" s="769" t="s">
        <v>21</v>
      </c>
      <c r="W12" s="770">
        <f t="shared" si="2"/>
        <v>100</v>
      </c>
      <c r="X12" s="771"/>
      <c r="Y12" s="306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32"/>
      <c r="Q13" s="1794">
        <f t="shared" si="6"/>
        <v>111</v>
      </c>
      <c r="R13" s="769" t="s">
        <v>21</v>
      </c>
      <c r="S13" s="770">
        <f t="shared" si="0"/>
        <v>100</v>
      </c>
      <c r="T13" s="769" t="s">
        <v>21</v>
      </c>
      <c r="U13" s="770">
        <f t="shared" si="1"/>
        <v>100</v>
      </c>
      <c r="V13" s="769" t="s">
        <v>21</v>
      </c>
      <c r="W13" s="770">
        <f t="shared" si="2"/>
        <v>100</v>
      </c>
      <c r="X13" s="771"/>
      <c r="Y13" s="3065"/>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32"/>
      <c r="Q14" s="1794">
        <f t="shared" si="6"/>
        <v>111</v>
      </c>
      <c r="R14" s="769" t="s">
        <v>21</v>
      </c>
      <c r="S14" s="770">
        <f t="shared" si="0"/>
        <v>100</v>
      </c>
      <c r="T14" s="769" t="s">
        <v>21</v>
      </c>
      <c r="U14" s="770">
        <f t="shared" si="1"/>
        <v>100</v>
      </c>
      <c r="V14" s="769" t="s">
        <v>21</v>
      </c>
      <c r="W14" s="770">
        <f t="shared" si="2"/>
        <v>100</v>
      </c>
      <c r="X14" s="771"/>
      <c r="Y14" s="3065"/>
      <c r="Z14" s="55">
        <f t="shared" si="7"/>
        <v>111</v>
      </c>
      <c r="AA14" s="772">
        <f t="shared" si="3"/>
        <v>1</v>
      </c>
      <c r="AB14" s="772">
        <f t="shared" si="4"/>
        <v>1</v>
      </c>
      <c r="AC14" s="772">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59" t="s">
        <v>2560</v>
      </c>
      <c r="Q15" s="1809" t="str">
        <f t="shared" si="6"/>
        <v>居住社区成熟度</v>
      </c>
      <c r="R15" s="773" t="s">
        <v>21</v>
      </c>
      <c r="S15" s="774">
        <f t="shared" si="0"/>
        <v>100</v>
      </c>
      <c r="T15" s="773" t="s">
        <v>21</v>
      </c>
      <c r="U15" s="774">
        <f t="shared" si="1"/>
        <v>100</v>
      </c>
      <c r="V15" s="773" t="s">
        <v>21</v>
      </c>
      <c r="W15" s="774">
        <f t="shared" si="2"/>
        <v>100</v>
      </c>
      <c r="X15" s="1812"/>
      <c r="Y15" s="3252" t="s">
        <v>2560</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39"/>
      <c r="M16" s="1130"/>
      <c r="N16" s="1130"/>
      <c r="O16" s="1130"/>
      <c r="P16" s="3260"/>
      <c r="Q16" s="1809"/>
      <c r="R16" s="773"/>
      <c r="S16" s="774"/>
      <c r="T16" s="773"/>
      <c r="U16" s="774"/>
      <c r="V16" s="773"/>
      <c r="W16" s="774"/>
      <c r="X16" s="1812"/>
      <c r="Y16" s="3253"/>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0"/>
      <c r="Q17" s="1809" t="str">
        <f>B17</f>
        <v>交通便捷度</v>
      </c>
      <c r="R17" s="773" t="s">
        <v>21</v>
      </c>
      <c r="S17" s="774">
        <f>F17</f>
        <v>100</v>
      </c>
      <c r="T17" s="773" t="s">
        <v>21</v>
      </c>
      <c r="U17" s="774">
        <f>H17</f>
        <v>100</v>
      </c>
      <c r="V17" s="773" t="s">
        <v>21</v>
      </c>
      <c r="W17" s="774">
        <f>J17</f>
        <v>100</v>
      </c>
      <c r="X17" s="1812"/>
      <c r="Y17" s="3253"/>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39"/>
      <c r="M18" s="1130"/>
      <c r="N18" s="1130"/>
      <c r="O18" s="1130"/>
      <c r="P18" s="3260"/>
      <c r="Q18" s="1809"/>
      <c r="R18" s="773"/>
      <c r="S18" s="774"/>
      <c r="T18" s="773"/>
      <c r="U18" s="774"/>
      <c r="V18" s="773"/>
      <c r="W18" s="774"/>
      <c r="X18" s="1812"/>
      <c r="Y18" s="3253"/>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0"/>
      <c r="Q19" s="1809" t="str">
        <f>B19</f>
        <v>公共配套设施</v>
      </c>
      <c r="R19" s="773" t="s">
        <v>21</v>
      </c>
      <c r="S19" s="774">
        <f>F19</f>
        <v>100</v>
      </c>
      <c r="T19" s="773" t="s">
        <v>21</v>
      </c>
      <c r="U19" s="774">
        <f>H19</f>
        <v>100</v>
      </c>
      <c r="V19" s="773" t="s">
        <v>21</v>
      </c>
      <c r="W19" s="774">
        <f>J19</f>
        <v>100</v>
      </c>
      <c r="X19" s="1812"/>
      <c r="Y19" s="3253"/>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39"/>
      <c r="M20" s="1130"/>
      <c r="N20" s="1130"/>
      <c r="O20" s="1130"/>
      <c r="P20" s="3260"/>
      <c r="Q20" s="1809"/>
      <c r="R20" s="773"/>
      <c r="S20" s="774"/>
      <c r="T20" s="773"/>
      <c r="U20" s="774"/>
      <c r="V20" s="773"/>
      <c r="W20" s="774"/>
      <c r="X20" s="1812"/>
      <c r="Y20" s="3253"/>
      <c r="Z20" s="1813"/>
      <c r="AA20" s="1810">
        <v>1</v>
      </c>
      <c r="AB20" s="1810">
        <v>1</v>
      </c>
      <c r="AC20" s="1810">
        <v>1</v>
      </c>
    </row>
    <row r="21" spans="1:29" ht="28.5">
      <c r="A21" s="428"/>
      <c r="B21" s="1383"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0"/>
      <c r="Q21" s="1809" t="str">
        <f>B21</f>
        <v>基础设施水平</v>
      </c>
      <c r="R21" s="773" t="s">
        <v>17</v>
      </c>
      <c r="S21" s="774">
        <f>F21</f>
        <v>100</v>
      </c>
      <c r="T21" s="773" t="s">
        <v>17</v>
      </c>
      <c r="U21" s="774">
        <f>H21</f>
        <v>100</v>
      </c>
      <c r="V21" s="773" t="s">
        <v>17</v>
      </c>
      <c r="W21" s="774">
        <f>J21</f>
        <v>100</v>
      </c>
      <c r="X21" s="1812"/>
      <c r="Y21" s="3253"/>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39"/>
      <c r="M22" s="1130"/>
      <c r="N22" s="1130"/>
      <c r="O22" s="1130"/>
      <c r="P22" s="3260"/>
      <c r="Q22" s="1809"/>
      <c r="R22" s="773"/>
      <c r="S22" s="774"/>
      <c r="T22" s="773"/>
      <c r="U22" s="774"/>
      <c r="V22" s="773"/>
      <c r="W22" s="774"/>
      <c r="X22" s="1812"/>
      <c r="Y22" s="3253"/>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0"/>
      <c r="Q23" s="1809" t="str">
        <f>B23</f>
        <v>自然及人文环境</v>
      </c>
      <c r="R23" s="773" t="s">
        <v>21</v>
      </c>
      <c r="S23" s="774">
        <f>F23</f>
        <v>100</v>
      </c>
      <c r="T23" s="773" t="s">
        <v>21</v>
      </c>
      <c r="U23" s="774">
        <f>H23</f>
        <v>100</v>
      </c>
      <c r="V23" s="773" t="s">
        <v>21</v>
      </c>
      <c r="W23" s="774">
        <f>J23</f>
        <v>100</v>
      </c>
      <c r="X23" s="1812"/>
      <c r="Y23" s="3253"/>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39"/>
      <c r="M24" s="1130"/>
      <c r="N24" s="1130"/>
      <c r="O24" s="1130"/>
      <c r="P24" s="3260"/>
      <c r="Q24" s="1809"/>
      <c r="R24" s="773"/>
      <c r="S24" s="774"/>
      <c r="T24" s="773"/>
      <c r="U24" s="774"/>
      <c r="V24" s="773"/>
      <c r="W24" s="774"/>
      <c r="X24" s="1812"/>
      <c r="Y24" s="3253"/>
      <c r="Z24" s="1813"/>
      <c r="AA24" s="1810">
        <v>1</v>
      </c>
      <c r="AB24" s="1810">
        <v>1</v>
      </c>
      <c r="AC24" s="1810">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39"/>
      <c r="M25" s="1130"/>
      <c r="N25" s="1130"/>
      <c r="O25" s="1130"/>
      <c r="P25" s="326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3"/>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39"/>
      <c r="M26" s="1130"/>
      <c r="N26" s="1130"/>
      <c r="O26" s="1130"/>
      <c r="P26" s="3260"/>
      <c r="Q26" s="1809" t="str">
        <f t="shared" si="11"/>
        <v>朝向</v>
      </c>
      <c r="R26" s="773" t="s">
        <v>21</v>
      </c>
      <c r="S26" s="774">
        <f t="shared" si="12"/>
        <v>100</v>
      </c>
      <c r="T26" s="773" t="s">
        <v>21</v>
      </c>
      <c r="U26" s="774">
        <f t="shared" si="13"/>
        <v>100</v>
      </c>
      <c r="V26" s="773" t="s">
        <v>21</v>
      </c>
      <c r="W26" s="774">
        <f t="shared" si="14"/>
        <v>100</v>
      </c>
      <c r="X26" s="1812"/>
      <c r="Y26" s="325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260"/>
      <c r="Q27" s="1794">
        <f t="shared" si="11"/>
        <v>111</v>
      </c>
      <c r="R27" s="769" t="s">
        <v>21</v>
      </c>
      <c r="S27" s="770">
        <f t="shared" si="12"/>
        <v>100</v>
      </c>
      <c r="T27" s="769" t="s">
        <v>21</v>
      </c>
      <c r="U27" s="770">
        <f t="shared" si="13"/>
        <v>100</v>
      </c>
      <c r="V27" s="769" t="s">
        <v>21</v>
      </c>
      <c r="W27" s="770">
        <f t="shared" si="14"/>
        <v>100</v>
      </c>
      <c r="X27" s="771"/>
      <c r="Y27" s="325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60"/>
      <c r="Q28" s="1809">
        <f t="shared" si="11"/>
        <v>111</v>
      </c>
      <c r="R28" s="773" t="s">
        <v>21</v>
      </c>
      <c r="S28" s="774">
        <f t="shared" si="12"/>
        <v>100</v>
      </c>
      <c r="T28" s="773" t="s">
        <v>21</v>
      </c>
      <c r="U28" s="774">
        <f t="shared" si="13"/>
        <v>100</v>
      </c>
      <c r="V28" s="773" t="s">
        <v>21</v>
      </c>
      <c r="W28" s="774">
        <f t="shared" si="14"/>
        <v>100</v>
      </c>
      <c r="X28" s="1812"/>
      <c r="Y28" s="325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60"/>
      <c r="Q29" s="1809">
        <f t="shared" si="11"/>
        <v>111</v>
      </c>
      <c r="R29" s="773" t="s">
        <v>21</v>
      </c>
      <c r="S29" s="774">
        <f t="shared" si="12"/>
        <v>100</v>
      </c>
      <c r="T29" s="773" t="s">
        <v>21</v>
      </c>
      <c r="U29" s="774">
        <f t="shared" si="13"/>
        <v>100</v>
      </c>
      <c r="V29" s="773" t="s">
        <v>21</v>
      </c>
      <c r="W29" s="774">
        <f t="shared" si="14"/>
        <v>100</v>
      </c>
      <c r="X29" s="1812"/>
      <c r="Y29" s="325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60"/>
      <c r="Q30" s="1809">
        <f t="shared" si="11"/>
        <v>111</v>
      </c>
      <c r="R30" s="773" t="s">
        <v>21</v>
      </c>
      <c r="S30" s="774">
        <f t="shared" si="12"/>
        <v>100</v>
      </c>
      <c r="T30" s="773" t="s">
        <v>21</v>
      </c>
      <c r="U30" s="774">
        <f t="shared" si="13"/>
        <v>100</v>
      </c>
      <c r="V30" s="773" t="s">
        <v>21</v>
      </c>
      <c r="W30" s="774">
        <f t="shared" si="14"/>
        <v>100</v>
      </c>
      <c r="X30" s="1812"/>
      <c r="Y30" s="325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60"/>
      <c r="Q31" s="1809">
        <f t="shared" si="11"/>
        <v>111</v>
      </c>
      <c r="R31" s="773" t="s">
        <v>21</v>
      </c>
      <c r="S31" s="774">
        <f t="shared" si="12"/>
        <v>100</v>
      </c>
      <c r="T31" s="773" t="s">
        <v>21</v>
      </c>
      <c r="U31" s="774">
        <f t="shared" si="13"/>
        <v>100</v>
      </c>
      <c r="V31" s="773" t="s">
        <v>21</v>
      </c>
      <c r="W31" s="774">
        <f t="shared" si="14"/>
        <v>100</v>
      </c>
      <c r="X31" s="1812"/>
      <c r="Y31" s="3253"/>
      <c r="Z31" s="1813">
        <f t="shared" si="18"/>
        <v>111</v>
      </c>
      <c r="AA31" s="1810">
        <f t="shared" si="15"/>
        <v>1</v>
      </c>
      <c r="AB31" s="1810">
        <f t="shared" si="16"/>
        <v>1</v>
      </c>
      <c r="AC31" s="1810">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9"/>
      <c r="M32" s="1130"/>
      <c r="N32" s="1130"/>
      <c r="O32" s="1130"/>
      <c r="P32" s="3254" t="s">
        <v>2565</v>
      </c>
      <c r="Q32" s="1809" t="str">
        <f t="shared" si="11"/>
        <v>建筑类型</v>
      </c>
      <c r="R32" s="773" t="s">
        <v>21</v>
      </c>
      <c r="S32" s="774">
        <f t="shared" si="12"/>
        <v>100</v>
      </c>
      <c r="T32" s="773" t="s">
        <v>21</v>
      </c>
      <c r="U32" s="774">
        <f t="shared" si="13"/>
        <v>100</v>
      </c>
      <c r="V32" s="773" t="s">
        <v>21</v>
      </c>
      <c r="W32" s="774">
        <f t="shared" si="14"/>
        <v>100</v>
      </c>
      <c r="X32" s="1812"/>
      <c r="Y32" s="3257"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7"/>
      <c r="M33" s="1140"/>
      <c r="N33" s="1140"/>
      <c r="O33" s="1140"/>
      <c r="P33" s="3255"/>
      <c r="Q33" s="775" t="str">
        <f t="shared" si="11"/>
        <v>项目建筑规模</v>
      </c>
      <c r="R33" s="776" t="s">
        <v>21</v>
      </c>
      <c r="S33" s="777" t="e">
        <f t="shared" si="12"/>
        <v>#N/A</v>
      </c>
      <c r="T33" s="776" t="s">
        <v>21</v>
      </c>
      <c r="U33" s="777" t="e">
        <f t="shared" si="13"/>
        <v>#N/A</v>
      </c>
      <c r="V33" s="776" t="s">
        <v>21</v>
      </c>
      <c r="W33" s="777" t="e">
        <f t="shared" si="14"/>
        <v>#N/A</v>
      </c>
      <c r="X33" s="778"/>
      <c r="Y33" s="3257"/>
      <c r="Z33" s="779" t="str">
        <f t="shared" si="18"/>
        <v>项目建筑规模</v>
      </c>
      <c r="AA33" s="1810" t="e">
        <f t="shared" si="15"/>
        <v>#N/A</v>
      </c>
      <c r="AB33" s="1810" t="e">
        <f t="shared" si="16"/>
        <v>#N/A</v>
      </c>
      <c r="AC33" s="1810" t="e">
        <f t="shared" si="17"/>
        <v>#N/A</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9"/>
      <c r="M34" s="1130"/>
      <c r="N34" s="1130"/>
      <c r="O34" s="1130"/>
      <c r="P34" s="3255"/>
      <c r="Q34" s="1809" t="str">
        <f t="shared" si="11"/>
        <v>建筑结构</v>
      </c>
      <c r="R34" s="773" t="s">
        <v>21</v>
      </c>
      <c r="S34" s="774">
        <f t="shared" si="12"/>
        <v>100</v>
      </c>
      <c r="T34" s="773" t="s">
        <v>21</v>
      </c>
      <c r="U34" s="774">
        <f t="shared" si="13"/>
        <v>100</v>
      </c>
      <c r="V34" s="773" t="s">
        <v>21</v>
      </c>
      <c r="W34" s="774">
        <f t="shared" si="14"/>
        <v>100</v>
      </c>
      <c r="X34" s="1812"/>
      <c r="Y34" s="3257"/>
      <c r="Z34" s="1813" t="str">
        <f t="shared" si="18"/>
        <v>建筑结构</v>
      </c>
      <c r="AA34" s="1810">
        <f t="shared" si="15"/>
        <v>1</v>
      </c>
      <c r="AB34" s="1810">
        <f t="shared" si="16"/>
        <v>1</v>
      </c>
      <c r="AC34" s="1810">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55"/>
      <c r="Q35" s="1809" t="str">
        <f t="shared" si="11"/>
        <v>建筑品质</v>
      </c>
      <c r="R35" s="773" t="s">
        <v>21</v>
      </c>
      <c r="S35" s="774">
        <f t="shared" si="12"/>
        <v>100</v>
      </c>
      <c r="T35" s="773" t="s">
        <v>21</v>
      </c>
      <c r="U35" s="774">
        <f t="shared" si="13"/>
        <v>100</v>
      </c>
      <c r="V35" s="773" t="s">
        <v>21</v>
      </c>
      <c r="W35" s="774">
        <f t="shared" si="14"/>
        <v>100</v>
      </c>
      <c r="X35" s="1812"/>
      <c r="Y35" s="3257"/>
      <c r="Z35" s="1813" t="str">
        <f t="shared" si="18"/>
        <v>建筑品质</v>
      </c>
      <c r="AA35" s="1810">
        <f t="shared" si="15"/>
        <v>1</v>
      </c>
      <c r="AB35" s="1810">
        <f t="shared" si="16"/>
        <v>1</v>
      </c>
      <c r="AC35" s="1810">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55"/>
      <c r="Q36" s="1809" t="str">
        <f t="shared" si="11"/>
        <v>公共部分装修</v>
      </c>
      <c r="R36" s="773" t="s">
        <v>21</v>
      </c>
      <c r="S36" s="774">
        <f t="shared" si="12"/>
        <v>100</v>
      </c>
      <c r="T36" s="773" t="s">
        <v>21</v>
      </c>
      <c r="U36" s="774">
        <f t="shared" si="13"/>
        <v>100</v>
      </c>
      <c r="V36" s="773" t="s">
        <v>21</v>
      </c>
      <c r="W36" s="774">
        <f t="shared" si="14"/>
        <v>100</v>
      </c>
      <c r="X36" s="1812"/>
      <c r="Y36" s="3257"/>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55"/>
      <c r="Q37" s="1794" t="str">
        <f t="shared" si="11"/>
        <v>成新度</v>
      </c>
      <c r="R37" s="769" t="s">
        <v>21</v>
      </c>
      <c r="S37" s="770" t="e">
        <f t="shared" si="12"/>
        <v>#N/A</v>
      </c>
      <c r="T37" s="769" t="s">
        <v>21</v>
      </c>
      <c r="U37" s="770" t="e">
        <f t="shared" si="13"/>
        <v>#N/A</v>
      </c>
      <c r="V37" s="769" t="s">
        <v>21</v>
      </c>
      <c r="W37" s="770" t="e">
        <f t="shared" si="14"/>
        <v>#N/A</v>
      </c>
      <c r="X37" s="771"/>
      <c r="Y37" s="3257"/>
      <c r="Z37" s="55" t="str">
        <f t="shared" si="18"/>
        <v>成新度</v>
      </c>
      <c r="AA37" s="772" t="e">
        <f t="shared" si="15"/>
        <v>#N/A</v>
      </c>
      <c r="AB37" s="772" t="e">
        <f t="shared" si="16"/>
        <v>#N/A</v>
      </c>
      <c r="AC37" s="772"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9"/>
      <c r="M38" s="1130"/>
      <c r="N38" s="1130"/>
      <c r="O38" s="1130"/>
      <c r="P38" s="3255" t="s">
        <v>2565</v>
      </c>
      <c r="Q38" s="1809" t="str">
        <f t="shared" si="11"/>
        <v>物业管理</v>
      </c>
      <c r="R38" s="773" t="s">
        <v>21</v>
      </c>
      <c r="S38" s="774">
        <f t="shared" si="12"/>
        <v>100</v>
      </c>
      <c r="T38" s="773" t="s">
        <v>21</v>
      </c>
      <c r="U38" s="774">
        <f t="shared" si="13"/>
        <v>100</v>
      </c>
      <c r="V38" s="773" t="s">
        <v>21</v>
      </c>
      <c r="W38" s="774">
        <f t="shared" si="14"/>
        <v>100</v>
      </c>
      <c r="X38" s="1812"/>
      <c r="Y38" s="3257" t="s">
        <v>2565</v>
      </c>
      <c r="Z38" s="1813" t="str">
        <f t="shared" si="18"/>
        <v>物业管理</v>
      </c>
      <c r="AA38" s="1810">
        <f t="shared" si="15"/>
        <v>1</v>
      </c>
      <c r="AB38" s="1810">
        <f t="shared" si="16"/>
        <v>1</v>
      </c>
      <c r="AC38" s="1810">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9"/>
      <c r="M39" s="1130"/>
      <c r="N39" s="1130"/>
      <c r="O39" s="1130"/>
      <c r="P39" s="3255"/>
      <c r="Q39" s="1809" t="str">
        <f t="shared" si="11"/>
        <v>市政基础设施</v>
      </c>
      <c r="R39" s="773" t="s">
        <v>21</v>
      </c>
      <c r="S39" s="774">
        <f t="shared" si="12"/>
        <v>100</v>
      </c>
      <c r="T39" s="773" t="s">
        <v>21</v>
      </c>
      <c r="U39" s="774">
        <f t="shared" si="13"/>
        <v>100</v>
      </c>
      <c r="V39" s="773" t="s">
        <v>21</v>
      </c>
      <c r="W39" s="774">
        <f t="shared" si="14"/>
        <v>100</v>
      </c>
      <c r="X39" s="1812"/>
      <c r="Y39" s="3257"/>
      <c r="Z39" s="1813" t="str">
        <f t="shared" si="18"/>
        <v>市政基础设施</v>
      </c>
      <c r="AA39" s="1810">
        <f t="shared" si="15"/>
        <v>1</v>
      </c>
      <c r="AB39" s="1810">
        <f t="shared" si="16"/>
        <v>1</v>
      </c>
      <c r="AC39" s="1810">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9"/>
      <c r="M40" s="1130"/>
      <c r="N40" s="1130"/>
      <c r="O40" s="1130"/>
      <c r="P40" s="3255"/>
      <c r="Q40" s="1809" t="str">
        <f t="shared" si="11"/>
        <v>房型</v>
      </c>
      <c r="R40" s="773" t="s">
        <v>21</v>
      </c>
      <c r="S40" s="774">
        <f t="shared" si="12"/>
        <v>100</v>
      </c>
      <c r="T40" s="773" t="s">
        <v>21</v>
      </c>
      <c r="U40" s="774">
        <f t="shared" si="13"/>
        <v>100</v>
      </c>
      <c r="V40" s="773" t="s">
        <v>21</v>
      </c>
      <c r="W40" s="774">
        <f t="shared" si="14"/>
        <v>100</v>
      </c>
      <c r="X40" s="1812"/>
      <c r="Y40" s="3257"/>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7"/>
      <c r="M41" s="1140"/>
      <c r="N41" s="1140"/>
      <c r="O41" s="1140"/>
      <c r="P41" s="3255"/>
      <c r="Q41" s="775" t="str">
        <f t="shared" si="11"/>
        <v>单套/主力户型建筑面积</v>
      </c>
      <c r="R41" s="776" t="s">
        <v>21</v>
      </c>
      <c r="S41" s="777">
        <f t="shared" si="12"/>
        <v>100</v>
      </c>
      <c r="T41" s="776" t="s">
        <v>21</v>
      </c>
      <c r="U41" s="777">
        <f t="shared" si="13"/>
        <v>100</v>
      </c>
      <c r="V41" s="776" t="s">
        <v>21</v>
      </c>
      <c r="W41" s="777">
        <f t="shared" si="14"/>
        <v>100</v>
      </c>
      <c r="X41" s="778"/>
      <c r="Y41" s="3257"/>
      <c r="Z41" s="779" t="str">
        <f t="shared" si="18"/>
        <v>单套/主力户型建筑面积</v>
      </c>
      <c r="AA41" s="1810">
        <f t="shared" si="15"/>
        <v>1</v>
      </c>
      <c r="AB41" s="1810">
        <f t="shared" si="16"/>
        <v>1</v>
      </c>
      <c r="AC41" s="1810">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9"/>
      <c r="M42" s="1130"/>
      <c r="N42" s="1130"/>
      <c r="O42" s="1130"/>
      <c r="P42" s="3255"/>
      <c r="Q42" s="1809" t="str">
        <f t="shared" si="11"/>
        <v>内部装修</v>
      </c>
      <c r="R42" s="773" t="s">
        <v>21</v>
      </c>
      <c r="S42" s="774">
        <f t="shared" si="12"/>
        <v>100</v>
      </c>
      <c r="T42" s="773" t="s">
        <v>21</v>
      </c>
      <c r="U42" s="774">
        <f t="shared" si="13"/>
        <v>100</v>
      </c>
      <c r="V42" s="773" t="s">
        <v>21</v>
      </c>
      <c r="W42" s="774">
        <f t="shared" si="14"/>
        <v>100</v>
      </c>
      <c r="X42" s="1812"/>
      <c r="Y42" s="3257"/>
      <c r="Z42" s="1813" t="str">
        <f t="shared" si="18"/>
        <v>内部装修</v>
      </c>
      <c r="AA42" s="1810">
        <f t="shared" si="15"/>
        <v>1</v>
      </c>
      <c r="AB42" s="1810">
        <f t="shared" si="16"/>
        <v>1</v>
      </c>
      <c r="AC42" s="1810">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9"/>
      <c r="M43" s="1130"/>
      <c r="N43" s="1130"/>
      <c r="O43" s="1130"/>
      <c r="P43" s="3255"/>
      <c r="Q43" s="1809" t="str">
        <f t="shared" si="11"/>
        <v>内部装修维护情况</v>
      </c>
      <c r="R43" s="773" t="s">
        <v>21</v>
      </c>
      <c r="S43" s="774">
        <f t="shared" si="12"/>
        <v>100</v>
      </c>
      <c r="T43" s="773" t="s">
        <v>21</v>
      </c>
      <c r="U43" s="774">
        <f t="shared" si="13"/>
        <v>100</v>
      </c>
      <c r="V43" s="773" t="s">
        <v>21</v>
      </c>
      <c r="W43" s="774">
        <f t="shared" si="14"/>
        <v>100</v>
      </c>
      <c r="X43" s="1812"/>
      <c r="Y43" s="325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55"/>
      <c r="Q44" s="1794">
        <f t="shared" si="11"/>
        <v>111</v>
      </c>
      <c r="R44" s="769" t="s">
        <v>21</v>
      </c>
      <c r="S44" s="770">
        <f t="shared" si="12"/>
        <v>100</v>
      </c>
      <c r="T44" s="769" t="s">
        <v>21</v>
      </c>
      <c r="U44" s="770">
        <f t="shared" si="13"/>
        <v>100</v>
      </c>
      <c r="V44" s="769" t="s">
        <v>21</v>
      </c>
      <c r="W44" s="770">
        <f t="shared" si="14"/>
        <v>100</v>
      </c>
      <c r="X44" s="771"/>
      <c r="Y44" s="3257"/>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55"/>
      <c r="Q45" s="1809">
        <f t="shared" si="11"/>
        <v>111</v>
      </c>
      <c r="R45" s="773" t="s">
        <v>21</v>
      </c>
      <c r="S45" s="774">
        <f t="shared" si="12"/>
        <v>100</v>
      </c>
      <c r="T45" s="773" t="s">
        <v>21</v>
      </c>
      <c r="U45" s="774">
        <f t="shared" si="13"/>
        <v>100</v>
      </c>
      <c r="V45" s="773" t="s">
        <v>21</v>
      </c>
      <c r="W45" s="774">
        <f t="shared" si="14"/>
        <v>100</v>
      </c>
      <c r="X45" s="1812"/>
      <c r="Y45" s="3257"/>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56"/>
      <c r="Q46" s="1809">
        <f t="shared" si="11"/>
        <v>111</v>
      </c>
      <c r="R46" s="773" t="s">
        <v>20</v>
      </c>
      <c r="S46" s="774">
        <f t="shared" si="12"/>
        <v>100</v>
      </c>
      <c r="T46" s="773" t="s">
        <v>20</v>
      </c>
      <c r="U46" s="774">
        <f t="shared" si="13"/>
        <v>100</v>
      </c>
      <c r="V46" s="773" t="s">
        <v>20</v>
      </c>
      <c r="W46" s="774">
        <f t="shared" si="14"/>
        <v>100</v>
      </c>
      <c r="X46" s="1812"/>
      <c r="Y46" s="3258"/>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1"/>
      <c r="L47" s="1142"/>
      <c r="M47" s="1143"/>
      <c r="N47" s="1130"/>
      <c r="O47" s="1143"/>
      <c r="P47" s="3250" t="str">
        <f>A47</f>
        <v>成交单价（元/平方米）</v>
      </c>
      <c r="Q47" s="3250"/>
      <c r="R47" s="3251">
        <f>E47</f>
        <v>0</v>
      </c>
      <c r="S47" s="3251"/>
      <c r="T47" s="3251">
        <f>G47</f>
        <v>0</v>
      </c>
      <c r="U47" s="3251"/>
      <c r="V47" s="3251">
        <f>I47</f>
        <v>0</v>
      </c>
      <c r="W47" s="3251"/>
      <c r="X47" s="758"/>
      <c r="Y47" s="780"/>
      <c r="Z47" s="758"/>
      <c r="AA47" s="758"/>
      <c r="AB47" s="758"/>
      <c r="AC47" s="758"/>
    </row>
    <row r="48" spans="1:29" ht="15.75" thickBot="1">
      <c r="A48" s="486" t="s">
        <v>2578</v>
      </c>
      <c r="B48" s="487"/>
      <c r="C48" s="1412" t="e">
        <f>R49</f>
        <v>#DIV/0!</v>
      </c>
      <c r="D48" s="1413"/>
      <c r="E48" s="1414" t="e">
        <f>R48</f>
        <v>#DIV/0!</v>
      </c>
      <c r="F48" s="1414"/>
      <c r="G48" s="1412" t="e">
        <f>T48</f>
        <v>#DIV/0!</v>
      </c>
      <c r="H48" s="1413"/>
      <c r="I48" s="1414" t="e">
        <f>V48</f>
        <v>#DIV/0!</v>
      </c>
      <c r="J48" s="1413"/>
      <c r="K48" s="2622"/>
      <c r="L48" s="1142"/>
      <c r="M48" s="1143"/>
      <c r="N48" s="1143"/>
      <c r="O48" s="1143"/>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8"/>
      <c r="Y48" s="758"/>
      <c r="Z48" s="758"/>
      <c r="AA48" s="758"/>
      <c r="AB48" s="758"/>
      <c r="AC48" s="758"/>
    </row>
    <row r="49" spans="1:29" ht="15.75" thickBot="1">
      <c r="A49" s="492" t="s">
        <v>2579</v>
      </c>
      <c r="B49" s="493"/>
      <c r="C49" s="1415" t="e">
        <f>R49</f>
        <v>#DIV/0!</v>
      </c>
      <c r="D49" s="1416"/>
      <c r="E49" s="1416"/>
      <c r="F49" s="1416"/>
      <c r="G49" s="1416"/>
      <c r="H49" s="1416"/>
      <c r="I49" s="1416"/>
      <c r="J49" s="1416"/>
      <c r="K49" s="2623"/>
      <c r="L49" s="1142"/>
      <c r="M49" s="1143"/>
      <c r="N49" s="1143"/>
      <c r="O49" s="1143"/>
      <c r="P49" s="3247" t="str">
        <f>A49</f>
        <v>估价对象XX用房的比较价值（楼面单价，元/平方米）</v>
      </c>
      <c r="Q49" s="3248"/>
      <c r="R49" s="3249" t="e">
        <f>IF(F1="售价",ROUND(AVERAGE(R48:V48),0),ROUND(AVERAGE(R48:V48),1))</f>
        <v>#DIV/0!</v>
      </c>
      <c r="S49" s="3249"/>
      <c r="T49" s="3249"/>
      <c r="U49" s="3249"/>
      <c r="V49" s="3249"/>
      <c r="W49" s="324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6"/>
      <c r="Q57" s="504"/>
    </row>
    <row r="58" spans="1:29" s="508" customFormat="1" ht="15">
      <c r="A58" s="505" t="s">
        <v>2584</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2588</v>
      </c>
      <c r="B63" s="528" t="s">
        <v>2554</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2"/>
      <c r="O82" s="1152"/>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2610</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2611</v>
      </c>
      <c r="C88" s="554"/>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2563</v>
      </c>
      <c r="B100" s="528" t="s">
        <v>2612</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1"/>
      <c r="Q104" s="559"/>
    </row>
    <row r="105" spans="1:17" ht="15" thickTop="1">
      <c r="A105" s="599"/>
      <c r="B105" s="538" t="s">
        <v>2614</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2615</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2616</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2617</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2618</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2619</v>
      </c>
      <c r="C118" s="583"/>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0"/>
      <c r="Q119" s="504"/>
    </row>
    <row r="120" spans="1:17" s="471" customFormat="1" ht="28.5" thickTop="1">
      <c r="A120" s="593"/>
      <c r="B120" s="538" t="s">
        <v>2574</v>
      </c>
      <c r="C120" s="554"/>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1"/>
      <c r="Q121" s="559"/>
    </row>
    <row r="122" spans="1:17" ht="15" thickTop="1">
      <c r="A122" s="599"/>
      <c r="B122" s="538" t="s">
        <v>2620</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3">
        <v>6</v>
      </c>
      <c r="C139" s="1084">
        <v>96</v>
      </c>
      <c r="D139" s="2648" t="s">
        <v>2631</v>
      </c>
      <c r="E139" s="1085">
        <v>100</v>
      </c>
      <c r="F139" s="1086">
        <v>102.5</v>
      </c>
      <c r="G139" s="2648" t="s">
        <v>2631</v>
      </c>
      <c r="H139" s="1087">
        <v>105</v>
      </c>
      <c r="I139" s="2649" t="s">
        <v>2632</v>
      </c>
      <c r="J139" s="1084">
        <v>20</v>
      </c>
      <c r="K139" s="1088">
        <f>C145/(J139-2)</f>
        <v>4.0555555555555553E-3</v>
      </c>
    </row>
    <row r="140" spans="1:17" ht="15">
      <c r="B140" s="1089">
        <v>5</v>
      </c>
      <c r="C140" s="1090">
        <v>100</v>
      </c>
      <c r="D140" s="1090"/>
      <c r="E140" s="1091"/>
      <c r="F140" s="1092">
        <v>102</v>
      </c>
      <c r="G140" s="1090"/>
      <c r="H140" s="1093"/>
      <c r="I140" s="2650" t="s">
        <v>2633</v>
      </c>
      <c r="J140" s="315">
        <f>ROUNDUP((J139-1)/2,0)</f>
        <v>10</v>
      </c>
      <c r="K140" s="1094">
        <v>100</v>
      </c>
    </row>
    <row r="141" spans="1:17" ht="15">
      <c r="B141" s="1089">
        <v>4</v>
      </c>
      <c r="C141" s="1090">
        <v>102</v>
      </c>
      <c r="D141" s="1090"/>
      <c r="E141" s="1091"/>
      <c r="F141" s="1092">
        <v>101.5</v>
      </c>
      <c r="G141" s="1090"/>
      <c r="H141" s="1093"/>
      <c r="I141" s="2650" t="s">
        <v>2634</v>
      </c>
      <c r="J141" s="315">
        <v>1</v>
      </c>
      <c r="K141" s="1095">
        <f>ROUND(100+(J141-J140)*K139*100,1)</f>
        <v>96.4</v>
      </c>
    </row>
    <row r="142" spans="1:17" ht="15">
      <c r="B142" s="1089">
        <v>3</v>
      </c>
      <c r="C142" s="1090">
        <v>103</v>
      </c>
      <c r="D142" s="1090"/>
      <c r="E142" s="1091"/>
      <c r="F142" s="1092">
        <v>101</v>
      </c>
      <c r="G142" s="1090"/>
      <c r="H142" s="1093"/>
      <c r="I142" s="2650" t="s">
        <v>2635</v>
      </c>
      <c r="J142" s="315">
        <f>J139</f>
        <v>20</v>
      </c>
      <c r="K142" s="1096">
        <v>95</v>
      </c>
    </row>
    <row r="143" spans="1:17" ht="15">
      <c r="B143" s="1089">
        <v>2</v>
      </c>
      <c r="C143" s="1090">
        <v>100</v>
      </c>
      <c r="D143" s="1090"/>
      <c r="E143" s="1091"/>
      <c r="F143" s="1092">
        <v>100.5</v>
      </c>
      <c r="G143" s="1090"/>
      <c r="H143" s="1093"/>
      <c r="I143" s="2650" t="s">
        <v>2636</v>
      </c>
      <c r="J143" s="1090">
        <v>15</v>
      </c>
      <c r="K143" s="1095">
        <f>ROUND(100+(J143-J140)*K139*100,1)</f>
        <v>102</v>
      </c>
    </row>
    <row r="144" spans="1:17" ht="15">
      <c r="B144" s="1089">
        <v>1</v>
      </c>
      <c r="C144" s="1090">
        <v>98</v>
      </c>
      <c r="D144" s="2651" t="s">
        <v>2637</v>
      </c>
      <c r="E144" s="1091">
        <v>102</v>
      </c>
      <c r="F144" s="1097">
        <v>100</v>
      </c>
      <c r="G144" s="2651" t="s">
        <v>2637</v>
      </c>
      <c r="H144" s="1093">
        <v>105</v>
      </c>
      <c r="I144" s="2650" t="s">
        <v>2636</v>
      </c>
      <c r="J144" s="1090">
        <v>18</v>
      </c>
      <c r="K144" s="1095">
        <f>ROUND(100+(J144-J140)*K139*100,1)</f>
        <v>103.2</v>
      </c>
    </row>
    <row r="145" spans="2:11" ht="15.75" thickBot="1">
      <c r="B145" s="2652" t="s">
        <v>2638</v>
      </c>
      <c r="C145" s="1098">
        <f>ROUND(MAX(C139:C144)/MIN(C139:C144)-1,3)</f>
        <v>7.2999999999999995E-2</v>
      </c>
      <c r="D145" s="1099"/>
      <c r="E145" s="1099"/>
      <c r="F145" s="2653" t="s">
        <v>2639</v>
      </c>
      <c r="G145" s="2654"/>
      <c r="H145" s="2655"/>
      <c r="I145" s="2656" t="s">
        <v>2636</v>
      </c>
      <c r="J145" s="1100">
        <v>8</v>
      </c>
      <c r="K145" s="1101">
        <f>ROUND(100+(J145-J140)*K139*100,1)</f>
        <v>99.2</v>
      </c>
    </row>
    <row r="147" spans="2:11">
      <c r="B147" s="2637" t="s">
        <v>2640</v>
      </c>
    </row>
    <row r="148" spans="2:11">
      <c r="B148" s="263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K15" sqref="K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2642</v>
      </c>
      <c r="C1" s="1633" t="s">
        <v>2530</v>
      </c>
      <c r="D1" s="1620" t="s">
        <v>1373</v>
      </c>
      <c r="E1" s="2657"/>
      <c r="F1" s="2584"/>
      <c r="G1" s="1630" t="s">
        <v>2643</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7">
        <f>IF(C2="——",ROUND(C49*D3/10000,0),ROUND(C49*D3/10000,0)-D2)</f>
        <v>47331</v>
      </c>
      <c r="C2" s="2586" t="s">
        <v>70</v>
      </c>
      <c r="D2" s="1364" t="e">
        <f ca="1">SUMIF(INDIRECT("'"&amp;F2&amp;"'"&amp;"!A:A"),"承租人权益价值",INDIRECT("'"&amp;F2&amp;"'"&amp;"!c:c"))</f>
        <v>#REF!</v>
      </c>
      <c r="E2" s="2587" t="s">
        <v>2328</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2329</v>
      </c>
      <c r="B3" s="609">
        <f>IF(C2="——",C49,ROUND(B2*10000/D3,0))</f>
        <v>24500</v>
      </c>
      <c r="C3" s="400" t="s">
        <v>2644</v>
      </c>
      <c r="D3" s="399">
        <f>IF(D1="",'数据-汇总表'!E3,SUMIF('数据-汇总表'!$C19:$C33,D1,'数据-汇总表'!$E19:$E33))</f>
        <v>19318.75</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2645</v>
      </c>
      <c r="B4" s="402"/>
      <c r="C4" s="3233" t="s">
        <v>2646</v>
      </c>
      <c r="D4" s="3234"/>
      <c r="E4" s="3235" t="s">
        <v>2647</v>
      </c>
      <c r="F4" s="3236"/>
      <c r="G4" s="3233" t="s">
        <v>2648</v>
      </c>
      <c r="H4" s="3234"/>
      <c r="I4" s="3233" t="s">
        <v>2649</v>
      </c>
      <c r="J4" s="3234"/>
      <c r="K4" s="610" t="s">
        <v>2650</v>
      </c>
      <c r="L4" s="1129"/>
      <c r="M4" s="1130"/>
      <c r="N4" s="1130"/>
      <c r="O4" s="1130"/>
      <c r="P4" s="3237" t="s">
        <v>2651</v>
      </c>
      <c r="Q4" s="3238"/>
      <c r="R4" s="3220" t="s">
        <v>2647</v>
      </c>
      <c r="S4" s="3221"/>
      <c r="T4" s="3220" t="s">
        <v>2648</v>
      </c>
      <c r="U4" s="3221"/>
      <c r="V4" s="3245" t="s">
        <v>2649</v>
      </c>
      <c r="W4" s="3245"/>
      <c r="X4" s="1812"/>
      <c r="Y4" s="3220" t="s">
        <v>2651</v>
      </c>
      <c r="Z4" s="3221"/>
      <c r="AA4" s="3215" t="s">
        <v>2647</v>
      </c>
      <c r="AB4" s="3245" t="s">
        <v>2648</v>
      </c>
      <c r="AC4" s="3215" t="s">
        <v>2649</v>
      </c>
    </row>
    <row r="5" spans="1:29" ht="15">
      <c r="A5" s="404"/>
      <c r="B5" s="405"/>
      <c r="C5" s="3226" t="s">
        <v>2542</v>
      </c>
      <c r="D5" s="3227"/>
      <c r="E5" s="3224" t="s">
        <v>2543</v>
      </c>
      <c r="F5" s="3225"/>
      <c r="G5" s="3226" t="s">
        <v>2544</v>
      </c>
      <c r="H5" s="3227"/>
      <c r="I5" s="3226" t="s">
        <v>2545</v>
      </c>
      <c r="J5" s="3227"/>
      <c r="K5" s="610"/>
      <c r="L5" s="1129"/>
      <c r="M5" s="1130"/>
      <c r="N5" s="1130"/>
      <c r="O5" s="1130"/>
      <c r="P5" s="3239"/>
      <c r="Q5" s="3240"/>
      <c r="R5" s="3222"/>
      <c r="S5" s="3223"/>
      <c r="T5" s="3222"/>
      <c r="U5" s="3223"/>
      <c r="V5" s="3245"/>
      <c r="W5" s="3245"/>
      <c r="X5" s="1812"/>
      <c r="Y5" s="3222"/>
      <c r="Z5" s="3223"/>
      <c r="AA5" s="3216"/>
      <c r="AB5" s="3245"/>
      <c r="AC5" s="3216"/>
    </row>
    <row r="6" spans="1:29" ht="15.75" thickBot="1">
      <c r="A6" s="406"/>
      <c r="B6" s="407"/>
      <c r="C6" s="3228" t="s">
        <v>2546</v>
      </c>
      <c r="D6" s="3229"/>
      <c r="E6" s="3230" t="s">
        <v>2546</v>
      </c>
      <c r="F6" s="3231"/>
      <c r="G6" s="3228" t="s">
        <v>2546</v>
      </c>
      <c r="H6" s="3229"/>
      <c r="I6" s="3228" t="s">
        <v>2546</v>
      </c>
      <c r="J6" s="3229"/>
      <c r="K6" s="610" t="s">
        <v>2547</v>
      </c>
      <c r="L6" s="1129"/>
      <c r="M6" s="1130"/>
      <c r="N6" s="1130"/>
      <c r="O6" s="1130"/>
      <c r="P6" s="3241"/>
      <c r="Q6" s="3242"/>
      <c r="R6" s="3222"/>
      <c r="S6" s="3223"/>
      <c r="T6" s="3243"/>
      <c r="U6" s="3244"/>
      <c r="V6" s="3245"/>
      <c r="W6" s="3245"/>
      <c r="X6" s="1812"/>
      <c r="Y6" s="3243"/>
      <c r="Z6" s="3244"/>
      <c r="AA6" s="3217"/>
      <c r="AB6" s="3245"/>
      <c r="AC6" s="3217"/>
    </row>
    <row r="7" spans="1:29" s="117" customFormat="1" ht="15.75" thickBot="1">
      <c r="A7" s="408" t="s">
        <v>2548</v>
      </c>
      <c r="B7" s="409"/>
      <c r="C7" s="410">
        <f>'数据-取费表'!B2</f>
        <v>43761</v>
      </c>
      <c r="D7" s="411">
        <v>100</v>
      </c>
      <c r="E7" s="412">
        <f>C7</f>
        <v>43761</v>
      </c>
      <c r="F7" s="413">
        <f>SUMIF(58:58,YEAR(E7)&amp;"-"&amp;MONTH(E7),59:59)</f>
        <v>100</v>
      </c>
      <c r="G7" s="412">
        <f>C7</f>
        <v>43761</v>
      </c>
      <c r="H7" s="411">
        <f>SUMIF(58:58,YEAR(G7)&amp;"-"&amp;MONTH(G7),59:59)</f>
        <v>100</v>
      </c>
      <c r="I7" s="412">
        <f>C7</f>
        <v>43761</v>
      </c>
      <c r="J7" s="411">
        <f>SUMIF(58:58,YEAR(I7)&amp;"-"&amp;MONTH(I7),59:59)</f>
        <v>100</v>
      </c>
      <c r="K7" s="611"/>
      <c r="L7" s="1131"/>
      <c r="M7" s="1132"/>
      <c r="N7" s="1132"/>
      <c r="O7" s="1132"/>
      <c r="P7" s="3218" t="s">
        <v>2549</v>
      </c>
      <c r="Q7" s="3246"/>
      <c r="R7" s="769" t="s">
        <v>17</v>
      </c>
      <c r="S7" s="770">
        <f t="shared" ref="S7:S15" si="0">F7</f>
        <v>100</v>
      </c>
      <c r="T7" s="769" t="s">
        <v>17</v>
      </c>
      <c r="U7" s="770">
        <f t="shared" ref="U7:U15" si="1">H7</f>
        <v>100</v>
      </c>
      <c r="V7" s="769" t="s">
        <v>17</v>
      </c>
      <c r="W7" s="770">
        <f t="shared" ref="W7:W15" si="2">J7</f>
        <v>100</v>
      </c>
      <c r="X7" s="771"/>
      <c r="Y7" s="3218" t="s">
        <v>2549</v>
      </c>
      <c r="Z7" s="3219"/>
      <c r="AA7" s="772">
        <f>D7/F7</f>
        <v>1</v>
      </c>
      <c r="AB7" s="772">
        <f>D7/H7</f>
        <v>1</v>
      </c>
      <c r="AC7" s="772">
        <f>D7/J7</f>
        <v>1</v>
      </c>
    </row>
    <row r="8" spans="1:29" s="117" customFormat="1" ht="15.75" thickBot="1">
      <c r="A8" s="408" t="s">
        <v>2550</v>
      </c>
      <c r="B8" s="409"/>
      <c r="C8" s="414" t="s">
        <v>2652</v>
      </c>
      <c r="D8" s="411">
        <v>100</v>
      </c>
      <c r="E8" s="414" t="s">
        <v>2652</v>
      </c>
      <c r="F8" s="413">
        <f>SUMIF(61:61,E8,62:62)-SUMIF(61:61,C8,62:62)+100</f>
        <v>100</v>
      </c>
      <c r="G8" s="414" t="s">
        <v>2652</v>
      </c>
      <c r="H8" s="411">
        <f>SUMIF(61:61,G8,62:62)-SUMIF(61:61,C8,62:62)+100</f>
        <v>100</v>
      </c>
      <c r="I8" s="414" t="s">
        <v>2652</v>
      </c>
      <c r="J8" s="411">
        <f>SUMIF(61:61,I8,62:62)-SUMIF(61:61,C8,62:62)+100</f>
        <v>100</v>
      </c>
      <c r="K8" s="611"/>
      <c r="L8" s="1131"/>
      <c r="M8" s="1132"/>
      <c r="N8" s="1132"/>
      <c r="O8" s="1132"/>
      <c r="P8" s="3218" t="s">
        <v>2552</v>
      </c>
      <c r="Q8" s="3219"/>
      <c r="R8" s="769" t="s">
        <v>17</v>
      </c>
      <c r="S8" s="770">
        <f t="shared" si="0"/>
        <v>100</v>
      </c>
      <c r="T8" s="769" t="s">
        <v>17</v>
      </c>
      <c r="U8" s="770">
        <f t="shared" si="1"/>
        <v>100</v>
      </c>
      <c r="V8" s="769" t="s">
        <v>17</v>
      </c>
      <c r="W8" s="770">
        <f t="shared" si="2"/>
        <v>100</v>
      </c>
      <c r="X8" s="771"/>
      <c r="Y8" s="3218" t="s">
        <v>2552</v>
      </c>
      <c r="Z8" s="3219"/>
      <c r="AA8" s="772">
        <f t="shared" ref="AA8:AA46" si="3">D8/F8</f>
        <v>1</v>
      </c>
      <c r="AB8" s="772">
        <f t="shared" ref="AB8:AB46" si="4">D8/H8</f>
        <v>1</v>
      </c>
      <c r="AC8" s="772">
        <f t="shared" ref="AC8:AC46" si="5">D8/J8</f>
        <v>1</v>
      </c>
    </row>
    <row r="9" spans="1:29" s="117" customFormat="1">
      <c r="A9" s="415" t="s">
        <v>2553</v>
      </c>
      <c r="B9" s="71" t="s">
        <v>2554</v>
      </c>
      <c r="C9" s="2994" t="s">
        <v>3179</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32" t="s">
        <v>2555</v>
      </c>
      <c r="Q9" s="1794" t="str">
        <f t="shared" ref="Q9:Q15" si="6">B9</f>
        <v>用途</v>
      </c>
      <c r="R9" s="769" t="s">
        <v>17</v>
      </c>
      <c r="S9" s="770">
        <f t="shared" si="0"/>
        <v>100</v>
      </c>
      <c r="T9" s="769" t="s">
        <v>17</v>
      </c>
      <c r="U9" s="770">
        <f t="shared" si="1"/>
        <v>100</v>
      </c>
      <c r="V9" s="769" t="s">
        <v>17</v>
      </c>
      <c r="W9" s="770">
        <f t="shared" si="2"/>
        <v>100</v>
      </c>
      <c r="X9" s="771"/>
      <c r="Y9" s="3065" t="s">
        <v>2556</v>
      </c>
      <c r="Z9" s="55" t="str">
        <f t="shared" ref="Z9:Z15" si="7">Q9</f>
        <v>用途</v>
      </c>
      <c r="AA9" s="772">
        <f t="shared" si="3"/>
        <v>1</v>
      </c>
      <c r="AB9" s="772">
        <f t="shared" si="4"/>
        <v>1</v>
      </c>
      <c r="AC9" s="772">
        <f t="shared" si="5"/>
        <v>1</v>
      </c>
    </row>
    <row r="10" spans="1:29" s="427" customFormat="1" ht="27">
      <c r="A10" s="421"/>
      <c r="B10" s="422" t="s">
        <v>2557</v>
      </c>
      <c r="C10" s="423" t="s">
        <v>3180</v>
      </c>
      <c r="D10" s="136">
        <v>100</v>
      </c>
      <c r="E10" s="424" t="s">
        <v>3180</v>
      </c>
      <c r="F10" s="425">
        <f>SUMIF(65:65,E10,66:66)-SUMIF(65:65,C10,66:66)+100</f>
        <v>100</v>
      </c>
      <c r="G10" s="423" t="s">
        <v>3180</v>
      </c>
      <c r="H10" s="136">
        <f>SUMIF(65:65,G10,66:66)-SUMIF(65:65,C10,66:66)+100</f>
        <v>100</v>
      </c>
      <c r="I10" s="423" t="s">
        <v>3180</v>
      </c>
      <c r="J10" s="136">
        <f>SUMIF(65:65,I10,66:66)-SUMIF(65:65,C10,66:66)+100</f>
        <v>100</v>
      </c>
      <c r="K10" s="612"/>
      <c r="L10" s="1134"/>
      <c r="M10" s="1135"/>
      <c r="N10" s="1135"/>
      <c r="O10" s="1135"/>
      <c r="P10" s="3232"/>
      <c r="Q10" s="1794"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8"/>
      <c r="B11" s="422" t="s">
        <v>2558</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0</v>
      </c>
      <c r="L11" s="1137"/>
      <c r="M11" s="1130"/>
      <c r="N11" s="1130"/>
      <c r="O11" s="1130"/>
      <c r="P11" s="3232"/>
      <c r="Q11" s="1794" t="str">
        <f t="shared" si="6"/>
        <v>容积率</v>
      </c>
      <c r="R11" s="769" t="s">
        <v>17</v>
      </c>
      <c r="S11" s="770">
        <f t="shared" si="0"/>
        <v>100</v>
      </c>
      <c r="T11" s="769" t="s">
        <v>17</v>
      </c>
      <c r="U11" s="770">
        <f t="shared" si="1"/>
        <v>100</v>
      </c>
      <c r="V11" s="769" t="s">
        <v>17</v>
      </c>
      <c r="W11" s="770">
        <f t="shared" si="2"/>
        <v>100</v>
      </c>
      <c r="X11" s="771"/>
      <c r="Y11" s="3065"/>
      <c r="Z11" s="55" t="str">
        <f t="shared" si="7"/>
        <v>容积率</v>
      </c>
      <c r="AA11" s="772">
        <f t="shared" si="3"/>
        <v>1</v>
      </c>
      <c r="AB11" s="772">
        <f t="shared" si="4"/>
        <v>1</v>
      </c>
      <c r="AC11" s="772">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2"/>
      <c r="Q12" s="1794">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2"/>
      <c r="Q13" s="1794">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2"/>
      <c r="Q14" s="1794">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772">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59" t="s">
        <v>2560</v>
      </c>
      <c r="Q15" s="1809" t="str">
        <f t="shared" si="6"/>
        <v>商业繁华度</v>
      </c>
      <c r="R15" s="773" t="s">
        <v>17</v>
      </c>
      <c r="S15" s="774">
        <f t="shared" si="0"/>
        <v>100</v>
      </c>
      <c r="T15" s="773" t="s">
        <v>17</v>
      </c>
      <c r="U15" s="774">
        <f t="shared" si="1"/>
        <v>100</v>
      </c>
      <c r="V15" s="773" t="s">
        <v>17</v>
      </c>
      <c r="W15" s="774">
        <f t="shared" si="2"/>
        <v>100</v>
      </c>
      <c r="X15" s="1812"/>
      <c r="Y15" s="3252"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60"/>
      <c r="Q16" s="1809"/>
      <c r="R16" s="773"/>
      <c r="S16" s="774"/>
      <c r="T16" s="773"/>
      <c r="U16" s="774"/>
      <c r="V16" s="773"/>
      <c r="W16" s="774"/>
      <c r="X16" s="1812"/>
      <c r="Y16" s="3253"/>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0"/>
      <c r="Q17" s="1809" t="str">
        <f>B17</f>
        <v>交通便捷度</v>
      </c>
      <c r="R17" s="773" t="s">
        <v>17</v>
      </c>
      <c r="S17" s="774">
        <f>F17</f>
        <v>100</v>
      </c>
      <c r="T17" s="773" t="s">
        <v>17</v>
      </c>
      <c r="U17" s="774">
        <f>H17</f>
        <v>100</v>
      </c>
      <c r="V17" s="773" t="s">
        <v>17</v>
      </c>
      <c r="W17" s="774">
        <f>J17</f>
        <v>100</v>
      </c>
      <c r="X17" s="1812"/>
      <c r="Y17" s="3253"/>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260"/>
      <c r="Q18" s="1809"/>
      <c r="R18" s="773"/>
      <c r="S18" s="774"/>
      <c r="T18" s="773"/>
      <c r="U18" s="774"/>
      <c r="V18" s="773"/>
      <c r="W18" s="774"/>
      <c r="X18" s="1812"/>
      <c r="Y18" s="3253"/>
      <c r="Z18" s="1813"/>
      <c r="AA18" s="1810">
        <v>1</v>
      </c>
      <c r="AB18" s="1810">
        <v>1</v>
      </c>
      <c r="AC18" s="1810">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0"/>
      <c r="Q19" s="1809" t="str">
        <f>B19</f>
        <v>公共配套设施</v>
      </c>
      <c r="R19" s="773" t="s">
        <v>17</v>
      </c>
      <c r="S19" s="774">
        <f>F19</f>
        <v>100</v>
      </c>
      <c r="T19" s="773" t="s">
        <v>17</v>
      </c>
      <c r="U19" s="774">
        <f>H19</f>
        <v>100</v>
      </c>
      <c r="V19" s="773" t="s">
        <v>17</v>
      </c>
      <c r="W19" s="774">
        <f>J19</f>
        <v>100</v>
      </c>
      <c r="X19" s="1812"/>
      <c r="Y19" s="3253"/>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260"/>
      <c r="Q20" s="1809"/>
      <c r="R20" s="773"/>
      <c r="S20" s="774"/>
      <c r="T20" s="773"/>
      <c r="U20" s="774"/>
      <c r="V20" s="773"/>
      <c r="W20" s="774"/>
      <c r="X20" s="1812"/>
      <c r="Y20" s="3253"/>
      <c r="Z20" s="1813"/>
      <c r="AA20" s="1810">
        <v>1</v>
      </c>
      <c r="AB20" s="1810">
        <v>1</v>
      </c>
      <c r="AC20" s="1810">
        <v>1</v>
      </c>
    </row>
    <row r="21" spans="1:29" ht="28.5">
      <c r="A21" s="428"/>
      <c r="B21" s="1383"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0"/>
      <c r="Q21" s="1809" t="str">
        <f>B21</f>
        <v>基础设施水平</v>
      </c>
      <c r="R21" s="773" t="s">
        <v>17</v>
      </c>
      <c r="S21" s="774">
        <f>F21</f>
        <v>100</v>
      </c>
      <c r="T21" s="773" t="s">
        <v>17</v>
      </c>
      <c r="U21" s="774">
        <f>H21</f>
        <v>100</v>
      </c>
      <c r="V21" s="773" t="s">
        <v>17</v>
      </c>
      <c r="W21" s="774">
        <f>J21</f>
        <v>100</v>
      </c>
      <c r="X21" s="1812"/>
      <c r="Y21" s="3253"/>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260"/>
      <c r="Q22" s="1809"/>
      <c r="R22" s="773"/>
      <c r="S22" s="774"/>
      <c r="T22" s="773"/>
      <c r="U22" s="774"/>
      <c r="V22" s="773"/>
      <c r="W22" s="774"/>
      <c r="X22" s="1812"/>
      <c r="Y22" s="3253"/>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0"/>
      <c r="Q23" s="1809" t="str">
        <f>B23</f>
        <v>自然及人文环境</v>
      </c>
      <c r="R23" s="773" t="s">
        <v>17</v>
      </c>
      <c r="S23" s="774">
        <f>F23</f>
        <v>100</v>
      </c>
      <c r="T23" s="773" t="s">
        <v>17</v>
      </c>
      <c r="U23" s="774">
        <f>H23</f>
        <v>100</v>
      </c>
      <c r="V23" s="773" t="s">
        <v>17</v>
      </c>
      <c r="W23" s="774">
        <f>J23</f>
        <v>100</v>
      </c>
      <c r="X23" s="1812"/>
      <c r="Y23" s="3253"/>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260"/>
      <c r="Q24" s="1809"/>
      <c r="R24" s="773"/>
      <c r="S24" s="774"/>
      <c r="T24" s="773"/>
      <c r="U24" s="774"/>
      <c r="V24" s="773"/>
      <c r="W24" s="774"/>
      <c r="X24" s="1812"/>
      <c r="Y24" s="3253"/>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0"/>
      <c r="Q25" s="1809" t="str">
        <f t="shared" ref="Q25:Q46" si="11">B25</f>
        <v>临街状况</v>
      </c>
      <c r="R25" s="773" t="s">
        <v>17</v>
      </c>
      <c r="S25" s="774">
        <f>F25</f>
        <v>100</v>
      </c>
      <c r="T25" s="773" t="s">
        <v>17</v>
      </c>
      <c r="U25" s="774">
        <f>H25</f>
        <v>100</v>
      </c>
      <c r="V25" s="773" t="s">
        <v>17</v>
      </c>
      <c r="W25" s="774">
        <f>J25</f>
        <v>100</v>
      </c>
      <c r="X25" s="1812"/>
      <c r="Y25" s="3253"/>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0"/>
      <c r="Q26" s="1809" t="str">
        <f t="shared" si="11"/>
        <v>平面位置/可视性</v>
      </c>
      <c r="R26" s="773" t="s">
        <v>17</v>
      </c>
      <c r="S26" s="774">
        <f>F26</f>
        <v>100</v>
      </c>
      <c r="T26" s="773" t="s">
        <v>17</v>
      </c>
      <c r="U26" s="774">
        <f>H26</f>
        <v>100</v>
      </c>
      <c r="V26" s="773" t="s">
        <v>17</v>
      </c>
      <c r="W26" s="774">
        <f>J26</f>
        <v>100</v>
      </c>
      <c r="X26" s="1812"/>
      <c r="Y26" s="3253"/>
      <c r="Z26" s="1813" t="str">
        <f>Q26</f>
        <v>平面位置/可视性</v>
      </c>
      <c r="AA26" s="1810">
        <f t="shared" si="3"/>
        <v>1</v>
      </c>
      <c r="AB26" s="1810">
        <f t="shared" si="4"/>
        <v>1</v>
      </c>
      <c r="AC26" s="1810">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260"/>
      <c r="Q27" s="1794" t="str">
        <f t="shared" si="11"/>
        <v>人流量</v>
      </c>
      <c r="R27" s="769" t="s">
        <v>17</v>
      </c>
      <c r="S27" s="770">
        <f>F27</f>
        <v>100</v>
      </c>
      <c r="T27" s="769" t="s">
        <v>17</v>
      </c>
      <c r="U27" s="770">
        <f>H27</f>
        <v>100</v>
      </c>
      <c r="V27" s="769" t="s">
        <v>17</v>
      </c>
      <c r="W27" s="770">
        <f>J27</f>
        <v>100</v>
      </c>
      <c r="X27" s="771"/>
      <c r="Y27" s="3253"/>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53"/>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0"/>
      <c r="Q29" s="1809">
        <f t="shared" si="11"/>
        <v>111</v>
      </c>
      <c r="R29" s="773" t="s">
        <v>17</v>
      </c>
      <c r="S29" s="774">
        <f t="shared" si="12"/>
        <v>100</v>
      </c>
      <c r="T29" s="773" t="s">
        <v>17</v>
      </c>
      <c r="U29" s="774">
        <f t="shared" si="13"/>
        <v>100</v>
      </c>
      <c r="V29" s="773" t="s">
        <v>17</v>
      </c>
      <c r="W29" s="774">
        <f t="shared" si="14"/>
        <v>100</v>
      </c>
      <c r="X29" s="1812"/>
      <c r="Y29" s="325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0"/>
      <c r="Q30" s="1809">
        <f t="shared" si="11"/>
        <v>111</v>
      </c>
      <c r="R30" s="773" t="s">
        <v>17</v>
      </c>
      <c r="S30" s="774">
        <f t="shared" si="12"/>
        <v>100</v>
      </c>
      <c r="T30" s="773" t="s">
        <v>17</v>
      </c>
      <c r="U30" s="774">
        <f t="shared" si="13"/>
        <v>100</v>
      </c>
      <c r="V30" s="773" t="s">
        <v>17</v>
      </c>
      <c r="W30" s="774">
        <f t="shared" si="14"/>
        <v>100</v>
      </c>
      <c r="X30" s="1812"/>
      <c r="Y30" s="325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0"/>
      <c r="Q31" s="1809">
        <f t="shared" si="11"/>
        <v>111</v>
      </c>
      <c r="R31" s="773" t="s">
        <v>17</v>
      </c>
      <c r="S31" s="774">
        <f t="shared" si="12"/>
        <v>100</v>
      </c>
      <c r="T31" s="773" t="s">
        <v>17</v>
      </c>
      <c r="U31" s="774">
        <f t="shared" si="13"/>
        <v>100</v>
      </c>
      <c r="V31" s="773" t="s">
        <v>17</v>
      </c>
      <c r="W31" s="774">
        <f t="shared" si="14"/>
        <v>100</v>
      </c>
      <c r="X31" s="1812"/>
      <c r="Y31" s="3253"/>
      <c r="Z31" s="1813">
        <f t="shared" si="15"/>
        <v>111</v>
      </c>
      <c r="AA31" s="1810">
        <f t="shared" si="3"/>
        <v>1</v>
      </c>
      <c r="AB31" s="1810">
        <f t="shared" si="4"/>
        <v>1</v>
      </c>
      <c r="AC31" s="1810">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254" t="s">
        <v>2565</v>
      </c>
      <c r="Q32" s="1809" t="str">
        <f t="shared" si="11"/>
        <v>商业类型</v>
      </c>
      <c r="R32" s="773" t="s">
        <v>17</v>
      </c>
      <c r="S32" s="774">
        <f t="shared" si="12"/>
        <v>100</v>
      </c>
      <c r="T32" s="773" t="s">
        <v>17</v>
      </c>
      <c r="U32" s="774">
        <f t="shared" si="13"/>
        <v>100</v>
      </c>
      <c r="V32" s="773" t="s">
        <v>17</v>
      </c>
      <c r="W32" s="774">
        <f t="shared" si="14"/>
        <v>100</v>
      </c>
      <c r="X32" s="1812"/>
      <c r="Y32" s="3257" t="s">
        <v>2565</v>
      </c>
      <c r="Z32" s="1813" t="str">
        <f t="shared" si="15"/>
        <v>商业类型</v>
      </c>
      <c r="AA32" s="1810">
        <f t="shared" si="3"/>
        <v>1</v>
      </c>
      <c r="AB32" s="1810">
        <f t="shared" si="4"/>
        <v>1</v>
      </c>
      <c r="AC32" s="1810">
        <f t="shared" si="5"/>
        <v>1</v>
      </c>
    </row>
    <row r="33" spans="1:29" s="471" customFormat="1" ht="15">
      <c r="A33" s="468"/>
      <c r="B33" s="422" t="s">
        <v>2566</v>
      </c>
      <c r="C33" s="469">
        <f>商业面积!C11</f>
        <v>3717.54</v>
      </c>
      <c r="D33" s="136">
        <v>100</v>
      </c>
      <c r="E33" s="430">
        <v>3500</v>
      </c>
      <c r="F33" s="425">
        <f>LOOKUP(E33,103:103,104:104)-LOOKUP(C33,103:103,104:104)+100</f>
        <v>100</v>
      </c>
      <c r="G33" s="429">
        <v>3500</v>
      </c>
      <c r="H33" s="136">
        <f>LOOKUP(G33,103:103,104:104)-LOOKUP(C33,103:103,104:104)+100</f>
        <v>100</v>
      </c>
      <c r="I33" s="429">
        <v>3500</v>
      </c>
      <c r="J33" s="136">
        <f>LOOKUP(I33,103:103,104:104)-LOOKUP(C33,103:103,104:104)+100</f>
        <v>100</v>
      </c>
      <c r="K33" s="613"/>
      <c r="L33" s="1137"/>
      <c r="M33" s="1140"/>
      <c r="N33" s="1140"/>
      <c r="O33" s="1140"/>
      <c r="P33" s="3255"/>
      <c r="Q33" s="775" t="str">
        <f t="shared" si="11"/>
        <v>项目建筑规模</v>
      </c>
      <c r="R33" s="776" t="s">
        <v>17</v>
      </c>
      <c r="S33" s="777">
        <f t="shared" si="12"/>
        <v>100</v>
      </c>
      <c r="T33" s="776" t="s">
        <v>17</v>
      </c>
      <c r="U33" s="777">
        <f t="shared" si="13"/>
        <v>100</v>
      </c>
      <c r="V33" s="776" t="s">
        <v>17</v>
      </c>
      <c r="W33" s="777">
        <f t="shared" si="14"/>
        <v>100</v>
      </c>
      <c r="X33" s="778"/>
      <c r="Y33" s="3257"/>
      <c r="Z33" s="779" t="str">
        <f t="shared" si="15"/>
        <v>项目建筑规模</v>
      </c>
      <c r="AA33" s="1810">
        <f t="shared" si="3"/>
        <v>1</v>
      </c>
      <c r="AB33" s="1810">
        <f t="shared" si="4"/>
        <v>1</v>
      </c>
      <c r="AC33" s="1810">
        <f t="shared" si="5"/>
        <v>1</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255"/>
      <c r="Q34" s="1809" t="str">
        <f t="shared" si="11"/>
        <v>建筑结构</v>
      </c>
      <c r="R34" s="773" t="s">
        <v>17</v>
      </c>
      <c r="S34" s="774">
        <f t="shared" si="12"/>
        <v>100</v>
      </c>
      <c r="T34" s="773" t="s">
        <v>17</v>
      </c>
      <c r="U34" s="774">
        <f t="shared" si="13"/>
        <v>100</v>
      </c>
      <c r="V34" s="773" t="s">
        <v>17</v>
      </c>
      <c r="W34" s="774">
        <f t="shared" si="14"/>
        <v>100</v>
      </c>
      <c r="X34" s="1812"/>
      <c r="Y34" s="3257"/>
      <c r="Z34" s="1813" t="str">
        <f t="shared" si="15"/>
        <v>建筑结构</v>
      </c>
      <c r="AA34" s="1810">
        <f t="shared" si="3"/>
        <v>1</v>
      </c>
      <c r="AB34" s="1810">
        <f t="shared" si="4"/>
        <v>1</v>
      </c>
      <c r="AC34" s="1810">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255"/>
      <c r="Q35" s="1809" t="str">
        <f t="shared" si="11"/>
        <v>公共部分装修</v>
      </c>
      <c r="R35" s="773" t="s">
        <v>17</v>
      </c>
      <c r="S35" s="774">
        <f t="shared" si="12"/>
        <v>100</v>
      </c>
      <c r="T35" s="773" t="s">
        <v>17</v>
      </c>
      <c r="U35" s="774">
        <f t="shared" si="13"/>
        <v>100</v>
      </c>
      <c r="V35" s="773" t="s">
        <v>17</v>
      </c>
      <c r="W35" s="774">
        <f t="shared" si="14"/>
        <v>100</v>
      </c>
      <c r="X35" s="1812"/>
      <c r="Y35" s="3257"/>
      <c r="Z35" s="1813" t="str">
        <f t="shared" si="15"/>
        <v>公共部分装修</v>
      </c>
      <c r="AA35" s="1810">
        <f t="shared" si="3"/>
        <v>1</v>
      </c>
      <c r="AB35" s="1810">
        <f t="shared" si="4"/>
        <v>1</v>
      </c>
      <c r="AC35" s="1810">
        <f t="shared" si="5"/>
        <v>1</v>
      </c>
    </row>
    <row r="36" spans="1:29" ht="15">
      <c r="A36" s="472"/>
      <c r="B36" s="422" t="s">
        <v>2662</v>
      </c>
      <c r="C36" s="474">
        <f>'数据-取费表'!N6</f>
        <v>0.97</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c r="L36" s="1139"/>
      <c r="M36" s="1130"/>
      <c r="N36" s="1130"/>
      <c r="O36" s="1130"/>
      <c r="P36" s="3255"/>
      <c r="Q36" s="1809" t="str">
        <f t="shared" si="11"/>
        <v>成新度</v>
      </c>
      <c r="R36" s="773" t="s">
        <v>17</v>
      </c>
      <c r="S36" s="774">
        <f t="shared" si="12"/>
        <v>100</v>
      </c>
      <c r="T36" s="773" t="s">
        <v>17</v>
      </c>
      <c r="U36" s="774">
        <f t="shared" si="13"/>
        <v>100</v>
      </c>
      <c r="V36" s="773" t="s">
        <v>17</v>
      </c>
      <c r="W36" s="774">
        <f t="shared" si="14"/>
        <v>100</v>
      </c>
      <c r="X36" s="1812"/>
      <c r="Y36" s="3257"/>
      <c r="Z36" s="1813" t="str">
        <f t="shared" si="15"/>
        <v>成新度</v>
      </c>
      <c r="AA36" s="1810">
        <f t="shared" si="3"/>
        <v>1</v>
      </c>
      <c r="AB36" s="1810">
        <f t="shared" si="4"/>
        <v>1</v>
      </c>
      <c r="AC36" s="1810">
        <f t="shared" si="5"/>
        <v>1</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255"/>
      <c r="Q37" s="1794" t="str">
        <f t="shared" si="11"/>
        <v>市政基础设施</v>
      </c>
      <c r="R37" s="769" t="s">
        <v>17</v>
      </c>
      <c r="S37" s="770">
        <f t="shared" si="12"/>
        <v>100</v>
      </c>
      <c r="T37" s="769" t="s">
        <v>17</v>
      </c>
      <c r="U37" s="770">
        <f t="shared" si="13"/>
        <v>100</v>
      </c>
      <c r="V37" s="769" t="s">
        <v>17</v>
      </c>
      <c r="W37" s="770">
        <f t="shared" si="14"/>
        <v>100</v>
      </c>
      <c r="X37" s="771"/>
      <c r="Y37" s="3257"/>
      <c r="Z37" s="55" t="str">
        <f t="shared" si="15"/>
        <v>市政基础设施</v>
      </c>
      <c r="AA37" s="772">
        <f t="shared" si="3"/>
        <v>1</v>
      </c>
      <c r="AB37" s="772">
        <f t="shared" si="4"/>
        <v>1</v>
      </c>
      <c r="AC37" s="772">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255" t="s">
        <v>2565</v>
      </c>
      <c r="Q38" s="1809" t="str">
        <f t="shared" si="11"/>
        <v>业态</v>
      </c>
      <c r="R38" s="773" t="s">
        <v>17</v>
      </c>
      <c r="S38" s="774">
        <f t="shared" si="12"/>
        <v>100</v>
      </c>
      <c r="T38" s="773" t="s">
        <v>17</v>
      </c>
      <c r="U38" s="774">
        <f t="shared" si="13"/>
        <v>100</v>
      </c>
      <c r="V38" s="773" t="s">
        <v>17</v>
      </c>
      <c r="W38" s="774">
        <f t="shared" si="14"/>
        <v>100</v>
      </c>
      <c r="X38" s="1812"/>
      <c r="Y38" s="3257" t="s">
        <v>2565</v>
      </c>
      <c r="Z38" s="1813" t="str">
        <f t="shared" si="15"/>
        <v>业态</v>
      </c>
      <c r="AA38" s="1810">
        <f t="shared" si="3"/>
        <v>1</v>
      </c>
      <c r="AB38" s="1810">
        <f t="shared" si="4"/>
        <v>1</v>
      </c>
      <c r="AC38" s="1810">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255"/>
      <c r="Q39" s="1809" t="str">
        <f t="shared" si="11"/>
        <v>层高</v>
      </c>
      <c r="R39" s="773" t="s">
        <v>17</v>
      </c>
      <c r="S39" s="774">
        <f t="shared" si="12"/>
        <v>100</v>
      </c>
      <c r="T39" s="773" t="s">
        <v>17</v>
      </c>
      <c r="U39" s="774">
        <f t="shared" si="13"/>
        <v>100</v>
      </c>
      <c r="V39" s="773" t="s">
        <v>17</v>
      </c>
      <c r="W39" s="774">
        <f t="shared" si="14"/>
        <v>100</v>
      </c>
      <c r="X39" s="1812"/>
      <c r="Y39" s="3257"/>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5"/>
      <c r="Q40" s="1809" t="str">
        <f t="shared" si="11"/>
        <v>单套建筑面积</v>
      </c>
      <c r="R40" s="773" t="s">
        <v>17</v>
      </c>
      <c r="S40" s="774">
        <f t="shared" si="12"/>
        <v>100</v>
      </c>
      <c r="T40" s="773" t="s">
        <v>17</v>
      </c>
      <c r="U40" s="774">
        <f t="shared" si="13"/>
        <v>100</v>
      </c>
      <c r="V40" s="773" t="s">
        <v>17</v>
      </c>
      <c r="W40" s="774">
        <f t="shared" si="14"/>
        <v>100</v>
      </c>
      <c r="X40" s="1812"/>
      <c r="Y40" s="3257"/>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55"/>
      <c r="Q41" s="775" t="str">
        <f t="shared" si="11"/>
        <v>进深比</v>
      </c>
      <c r="R41" s="776" t="s">
        <v>17</v>
      </c>
      <c r="S41" s="777">
        <f t="shared" si="12"/>
        <v>100</v>
      </c>
      <c r="T41" s="776" t="s">
        <v>17</v>
      </c>
      <c r="U41" s="777">
        <f t="shared" si="13"/>
        <v>100</v>
      </c>
      <c r="V41" s="776" t="s">
        <v>17</v>
      </c>
      <c r="W41" s="777">
        <f t="shared" si="14"/>
        <v>100</v>
      </c>
      <c r="X41" s="778"/>
      <c r="Y41" s="3257"/>
      <c r="Z41" s="779" t="str">
        <f t="shared" si="15"/>
        <v>进深比</v>
      </c>
      <c r="AA41" s="1810">
        <f t="shared" si="3"/>
        <v>1</v>
      </c>
      <c r="AB41" s="1810">
        <f t="shared" si="4"/>
        <v>1</v>
      </c>
      <c r="AC41" s="1810">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255"/>
      <c r="Q42" s="1809" t="str">
        <f t="shared" si="11"/>
        <v>内部装修</v>
      </c>
      <c r="R42" s="773" t="s">
        <v>17</v>
      </c>
      <c r="S42" s="774">
        <f t="shared" si="12"/>
        <v>100</v>
      </c>
      <c r="T42" s="773" t="s">
        <v>17</v>
      </c>
      <c r="U42" s="774">
        <f t="shared" si="13"/>
        <v>100</v>
      </c>
      <c r="V42" s="773" t="s">
        <v>17</v>
      </c>
      <c r="W42" s="774">
        <f t="shared" si="14"/>
        <v>100</v>
      </c>
      <c r="X42" s="1812"/>
      <c r="Y42" s="3257"/>
      <c r="Z42" s="1813" t="str">
        <f t="shared" si="15"/>
        <v>内部装修</v>
      </c>
      <c r="AA42" s="1810">
        <f t="shared" si="3"/>
        <v>1</v>
      </c>
      <c r="AB42" s="1810">
        <f t="shared" si="4"/>
        <v>1</v>
      </c>
      <c r="AC42" s="1810">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255"/>
      <c r="Q43" s="1809" t="str">
        <f t="shared" si="11"/>
        <v>内部装修维护情况</v>
      </c>
      <c r="R43" s="773" t="s">
        <v>17</v>
      </c>
      <c r="S43" s="774">
        <f t="shared" si="12"/>
        <v>100</v>
      </c>
      <c r="T43" s="773" t="s">
        <v>17</v>
      </c>
      <c r="U43" s="774">
        <f t="shared" si="13"/>
        <v>100</v>
      </c>
      <c r="V43" s="773" t="s">
        <v>17</v>
      </c>
      <c r="W43" s="774">
        <f t="shared" si="14"/>
        <v>100</v>
      </c>
      <c r="X43" s="1812"/>
      <c r="Y43" s="325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55"/>
      <c r="Q44" s="1794">
        <f t="shared" si="11"/>
        <v>111</v>
      </c>
      <c r="R44" s="769" t="s">
        <v>17</v>
      </c>
      <c r="S44" s="770">
        <f t="shared" si="12"/>
        <v>100</v>
      </c>
      <c r="T44" s="769" t="s">
        <v>17</v>
      </c>
      <c r="U44" s="770">
        <f t="shared" si="13"/>
        <v>100</v>
      </c>
      <c r="V44" s="769" t="s">
        <v>17</v>
      </c>
      <c r="W44" s="770">
        <f t="shared" si="14"/>
        <v>100</v>
      </c>
      <c r="X44" s="771"/>
      <c r="Y44" s="3257"/>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5"/>
      <c r="Q45" s="1809">
        <f t="shared" si="11"/>
        <v>111</v>
      </c>
      <c r="R45" s="773" t="s">
        <v>17</v>
      </c>
      <c r="S45" s="774">
        <f t="shared" si="12"/>
        <v>100</v>
      </c>
      <c r="T45" s="773" t="s">
        <v>17</v>
      </c>
      <c r="U45" s="774">
        <f t="shared" si="13"/>
        <v>100</v>
      </c>
      <c r="V45" s="773" t="s">
        <v>17</v>
      </c>
      <c r="W45" s="774">
        <f t="shared" si="14"/>
        <v>100</v>
      </c>
      <c r="X45" s="1812"/>
      <c r="Y45" s="3257"/>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6"/>
      <c r="Q46" s="1809">
        <f t="shared" si="11"/>
        <v>111</v>
      </c>
      <c r="R46" s="773" t="s">
        <v>17</v>
      </c>
      <c r="S46" s="774">
        <f t="shared" si="12"/>
        <v>100</v>
      </c>
      <c r="T46" s="773" t="s">
        <v>17</v>
      </c>
      <c r="U46" s="774">
        <f t="shared" si="13"/>
        <v>100</v>
      </c>
      <c r="V46" s="773" t="s">
        <v>17</v>
      </c>
      <c r="W46" s="774">
        <f t="shared" si="14"/>
        <v>100</v>
      </c>
      <c r="X46" s="1812"/>
      <c r="Y46" s="3258"/>
      <c r="Z46" s="1813">
        <f t="shared" si="15"/>
        <v>111</v>
      </c>
      <c r="AA46" s="1810">
        <f t="shared" si="3"/>
        <v>1</v>
      </c>
      <c r="AB46" s="1810">
        <f t="shared" si="4"/>
        <v>1</v>
      </c>
      <c r="AC46" s="1810">
        <f t="shared" si="5"/>
        <v>1</v>
      </c>
    </row>
    <row r="47" spans="1:29" ht="15">
      <c r="A47" s="479" t="s">
        <v>2577</v>
      </c>
      <c r="B47" s="480"/>
      <c r="C47" s="1406" t="s">
        <v>1</v>
      </c>
      <c r="D47" s="1407"/>
      <c r="E47" s="1408">
        <v>24500</v>
      </c>
      <c r="F47" s="1409"/>
      <c r="G47" s="1410">
        <v>24500</v>
      </c>
      <c r="H47" s="1411"/>
      <c r="I47" s="1408">
        <v>24500</v>
      </c>
      <c r="J47" s="1411"/>
      <c r="K47" s="782"/>
      <c r="L47" s="1142"/>
      <c r="M47" s="1143"/>
      <c r="N47" s="1130"/>
      <c r="O47" s="1143"/>
      <c r="P47" s="3250" t="str">
        <f>A47</f>
        <v>成交单价（元/平方米）</v>
      </c>
      <c r="Q47" s="3250"/>
      <c r="R47" s="3245">
        <f>E47</f>
        <v>24500</v>
      </c>
      <c r="S47" s="3245"/>
      <c r="T47" s="3245">
        <f>G47</f>
        <v>24500</v>
      </c>
      <c r="U47" s="3245"/>
      <c r="V47" s="3245">
        <f>I47</f>
        <v>24500</v>
      </c>
      <c r="W47" s="3245"/>
      <c r="X47" s="758"/>
      <c r="Y47" s="780"/>
      <c r="Z47" s="758"/>
      <c r="AA47" s="758"/>
      <c r="AB47" s="758"/>
      <c r="AC47" s="758"/>
    </row>
    <row r="48" spans="1:29" ht="15.75" thickBot="1">
      <c r="A48" s="486" t="s">
        <v>2669</v>
      </c>
      <c r="B48" s="487"/>
      <c r="C48" s="1412">
        <f>R49</f>
        <v>24500</v>
      </c>
      <c r="D48" s="1413"/>
      <c r="E48" s="1414">
        <f>R48</f>
        <v>24500</v>
      </c>
      <c r="F48" s="1414"/>
      <c r="G48" s="1412">
        <f>T48</f>
        <v>24500</v>
      </c>
      <c r="H48" s="1413"/>
      <c r="I48" s="1414">
        <f>V48</f>
        <v>24500</v>
      </c>
      <c r="J48" s="1413"/>
      <c r="K48" s="783"/>
      <c r="L48" s="1142"/>
      <c r="M48" s="1143"/>
      <c r="N48" s="1130"/>
      <c r="O48" s="1143"/>
      <c r="P48" s="3250" t="str">
        <f>A48</f>
        <v>比较价值（元/平方米）</v>
      </c>
      <c r="Q48" s="3250"/>
      <c r="R48" s="3251">
        <f>IF(F1="售价",ROUND(PRODUCT(R47,AA7:AA46),0),ROUND(PRODUCT(R47,AA7:AA46),1))</f>
        <v>24500</v>
      </c>
      <c r="S48" s="3251"/>
      <c r="T48" s="3251">
        <f>IF(F1="售价",ROUND(PRODUCT(T47,AB7:AB46),0),ROUND(PRODUCT(T47,AB7:AB46),1))</f>
        <v>24500</v>
      </c>
      <c r="U48" s="3251"/>
      <c r="V48" s="3251">
        <f>IF(F1="售价",ROUND(PRODUCT(V47,AC7:AC46),0),ROUND(PRODUCT(V47,AC7:AC46),1))</f>
        <v>24500</v>
      </c>
      <c r="W48" s="3251"/>
      <c r="X48" s="758"/>
      <c r="Y48" s="758"/>
      <c r="Z48" s="758"/>
      <c r="AA48" s="758"/>
      <c r="AB48" s="758"/>
      <c r="AC48" s="758"/>
    </row>
    <row r="49" spans="1:29" ht="15.75" thickBot="1">
      <c r="A49" s="492" t="s">
        <v>2670</v>
      </c>
      <c r="B49" s="493"/>
      <c r="C49" s="1416">
        <f>R49</f>
        <v>24500</v>
      </c>
      <c r="D49" s="1416"/>
      <c r="E49" s="1416"/>
      <c r="F49" s="1416"/>
      <c r="G49" s="1416"/>
      <c r="H49" s="1416"/>
      <c r="I49" s="1416"/>
      <c r="J49" s="1416"/>
      <c r="K49" s="784"/>
      <c r="L49" s="1142"/>
      <c r="M49" s="1143"/>
      <c r="N49" s="1130"/>
      <c r="O49" s="1143"/>
      <c r="P49" s="3247" t="str">
        <f>A49</f>
        <v>估价对象XX用房的比较价值（楼面单价，元/平方米）</v>
      </c>
      <c r="Q49" s="3248"/>
      <c r="R49" s="3249">
        <f>IF(F1="售价",ROUND(AVERAGE(R48:V48),0),ROUND(AVERAGE(R48:V48),1))</f>
        <v>24500</v>
      </c>
      <c r="S49" s="3249"/>
      <c r="T49" s="3249"/>
      <c r="U49" s="3249"/>
      <c r="V49" s="3249"/>
      <c r="W49" s="324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2671</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2672</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2673</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8" customFormat="1" ht="15">
      <c r="A58" s="505" t="s">
        <v>2548</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2588</v>
      </c>
      <c r="B63" s="528" t="s">
        <v>2554</v>
      </c>
      <c r="C63" s="529" t="str">
        <f>C9</f>
        <v>商业</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2558</v>
      </c>
      <c r="C67" s="547" t="str">
        <f>C68&amp;"（含）"&amp;"-"&amp;D68</f>
        <v>1（含）-2</v>
      </c>
      <c r="D67" s="547" t="str">
        <f t="shared" ref="D67:L67" si="17">D68&amp;"（含）"&amp;"-"&amp;E68</f>
        <v>2（含）-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v>1</v>
      </c>
      <c r="D68" s="549">
        <v>2</v>
      </c>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2680</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2563</v>
      </c>
      <c r="B100" s="528" t="s">
        <v>2681</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29.25" thickTop="1">
      <c r="A102" s="534"/>
      <c r="B102" s="538" t="s">
        <v>2613</v>
      </c>
      <c r="C102" s="578" t="str">
        <f>C103&amp;"(含)"&amp;"-"&amp;D103</f>
        <v>0(含)-300</v>
      </c>
      <c r="D102" s="578" t="str">
        <f t="shared" ref="D102:L102" si="23">D103&amp;"(含)"&amp;"-"&amp;E103</f>
        <v>300(含)-900</v>
      </c>
      <c r="E102" s="578" t="str">
        <f t="shared" si="23"/>
        <v>900(含)-2000</v>
      </c>
      <c r="F102" s="578" t="str">
        <f t="shared" si="23"/>
        <v>2000(含)-4000</v>
      </c>
      <c r="G102" s="578" t="str">
        <f t="shared" si="23"/>
        <v>4000(含)-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v>0</v>
      </c>
      <c r="D103" s="595">
        <v>300</v>
      </c>
      <c r="E103" s="595">
        <v>900</v>
      </c>
      <c r="F103" s="595">
        <v>2000</v>
      </c>
      <c r="G103" s="595">
        <v>4000</v>
      </c>
      <c r="H103" s="595"/>
      <c r="I103" s="595"/>
      <c r="J103" s="596"/>
      <c r="K103" s="596"/>
      <c r="L103" s="597"/>
      <c r="M103" s="598"/>
      <c r="N103" s="1153"/>
      <c r="O103" s="1153"/>
      <c r="P103" s="2631"/>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31"/>
      <c r="Q104" s="559"/>
    </row>
    <row r="105" spans="1:17" ht="15" thickTop="1">
      <c r="A105" s="599"/>
      <c r="B105" s="538" t="s">
        <v>2614</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2616</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2618</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2682</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2683</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2684</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2685</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2620</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9" t="s">
        <v>2686</v>
      </c>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6"/>
      <c r="D2" s="1364" t="e">
        <f ca="1">SUMIF(INDIRECT("'"&amp;F2&amp;"'"&amp;"!A:A"),"承租人权益价值",INDIRECT("'"&amp;F2&amp;"'"&amp;"!c:c"))</f>
        <v>#REF!</v>
      </c>
      <c r="E2" s="2587" t="s">
        <v>2328</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2644</v>
      </c>
      <c r="D3" s="399">
        <f>IF(D1="",'数据-汇总表'!E3,SUMIF('数据-汇总表'!$C19:$C33,D1,'数据-汇总表'!$E19:$E33))</f>
        <v>39697.29</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2645</v>
      </c>
      <c r="B4" s="402"/>
      <c r="C4" s="3233" t="s">
        <v>2646</v>
      </c>
      <c r="D4" s="3234"/>
      <c r="E4" s="3235" t="s">
        <v>2647</v>
      </c>
      <c r="F4" s="3236"/>
      <c r="G4" s="3233" t="s">
        <v>2648</v>
      </c>
      <c r="H4" s="3234"/>
      <c r="I4" s="3233" t="s">
        <v>2649</v>
      </c>
      <c r="J4" s="3234"/>
      <c r="K4" s="610" t="s">
        <v>2650</v>
      </c>
      <c r="L4" s="1129"/>
      <c r="M4" s="1130"/>
      <c r="N4" s="1130"/>
      <c r="O4" s="1130"/>
      <c r="P4" s="3267" t="s">
        <v>2651</v>
      </c>
      <c r="Q4" s="3268"/>
      <c r="R4" s="3262" t="s">
        <v>2647</v>
      </c>
      <c r="S4" s="3263"/>
      <c r="T4" s="3262" t="s">
        <v>2648</v>
      </c>
      <c r="U4" s="3263"/>
      <c r="V4" s="3271" t="s">
        <v>2649</v>
      </c>
      <c r="W4" s="3271"/>
      <c r="X4" s="2670"/>
      <c r="Y4" s="3262" t="s">
        <v>2651</v>
      </c>
      <c r="Z4" s="3263"/>
      <c r="AA4" s="3261" t="s">
        <v>2647</v>
      </c>
      <c r="AB4" s="3261" t="s">
        <v>2648</v>
      </c>
      <c r="AC4" s="3264" t="s">
        <v>2649</v>
      </c>
    </row>
    <row r="5" spans="1:29" ht="15">
      <c r="A5" s="404"/>
      <c r="B5" s="405"/>
      <c r="C5" s="3226" t="s">
        <v>2542</v>
      </c>
      <c r="D5" s="3227"/>
      <c r="E5" s="3224" t="s">
        <v>2543</v>
      </c>
      <c r="F5" s="3225"/>
      <c r="G5" s="3226" t="s">
        <v>2544</v>
      </c>
      <c r="H5" s="3227"/>
      <c r="I5" s="3226" t="s">
        <v>2545</v>
      </c>
      <c r="J5" s="3227"/>
      <c r="K5" s="610"/>
      <c r="L5" s="1129"/>
      <c r="M5" s="1130"/>
      <c r="N5" s="1130"/>
      <c r="O5" s="1130"/>
      <c r="P5" s="3269"/>
      <c r="Q5" s="3240"/>
      <c r="R5" s="3222"/>
      <c r="S5" s="3223"/>
      <c r="T5" s="3222"/>
      <c r="U5" s="3223"/>
      <c r="V5" s="3245"/>
      <c r="W5" s="3245"/>
      <c r="X5" s="1812"/>
      <c r="Y5" s="3222"/>
      <c r="Z5" s="3223"/>
      <c r="AA5" s="3216"/>
      <c r="AB5" s="3216"/>
      <c r="AC5" s="3265"/>
    </row>
    <row r="6" spans="1:29" ht="15.75" thickBot="1">
      <c r="A6" s="406"/>
      <c r="B6" s="407"/>
      <c r="C6" s="3228" t="s">
        <v>2546</v>
      </c>
      <c r="D6" s="3229"/>
      <c r="E6" s="3230" t="s">
        <v>2546</v>
      </c>
      <c r="F6" s="3231"/>
      <c r="G6" s="3228" t="s">
        <v>2546</v>
      </c>
      <c r="H6" s="3229"/>
      <c r="I6" s="3228" t="s">
        <v>2546</v>
      </c>
      <c r="J6" s="3229"/>
      <c r="K6" s="610" t="s">
        <v>2547</v>
      </c>
      <c r="L6" s="1129"/>
      <c r="M6" s="1130"/>
      <c r="N6" s="1130"/>
      <c r="O6" s="1130"/>
      <c r="P6" s="3270"/>
      <c r="Q6" s="3242"/>
      <c r="R6" s="3222"/>
      <c r="S6" s="3223"/>
      <c r="T6" s="3243"/>
      <c r="U6" s="3244"/>
      <c r="V6" s="3245"/>
      <c r="W6" s="3245"/>
      <c r="X6" s="1812"/>
      <c r="Y6" s="3243"/>
      <c r="Z6" s="3244"/>
      <c r="AA6" s="3217"/>
      <c r="AB6" s="3217"/>
      <c r="AC6" s="3266"/>
    </row>
    <row r="7" spans="1:29" s="117" customFormat="1" ht="15.75" thickBot="1">
      <c r="A7" s="408" t="s">
        <v>2548</v>
      </c>
      <c r="B7" s="409"/>
      <c r="C7" s="410">
        <f>'数据-取费表'!B2</f>
        <v>43761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2" t="s">
        <v>2549</v>
      </c>
      <c r="Q7" s="3246"/>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2671"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2" t="s">
        <v>2552</v>
      </c>
      <c r="Q8" s="3219"/>
      <c r="R8" s="769" t="s">
        <v>17</v>
      </c>
      <c r="S8" s="770">
        <f t="shared" si="0"/>
        <v>0</v>
      </c>
      <c r="T8" s="769" t="s">
        <v>17</v>
      </c>
      <c r="U8" s="770">
        <f t="shared" si="1"/>
        <v>0</v>
      </c>
      <c r="V8" s="769" t="s">
        <v>17</v>
      </c>
      <c r="W8" s="770">
        <f t="shared" si="2"/>
        <v>0</v>
      </c>
      <c r="X8" s="771"/>
      <c r="Y8" s="3218" t="s">
        <v>2552</v>
      </c>
      <c r="Z8" s="3219"/>
      <c r="AA8" s="772" t="e">
        <f t="shared" ref="AA8:AA47" si="3">D8/F8</f>
        <v>#DIV/0!</v>
      </c>
      <c r="AB8" s="772" t="e">
        <f t="shared" ref="AB8:AB47" si="4">D8/H8</f>
        <v>#DIV/0!</v>
      </c>
      <c r="AC8" s="2671"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2" t="s">
        <v>2555</v>
      </c>
      <c r="Q9" s="1794" t="str">
        <f t="shared" ref="Q9:Q15" si="6">B9</f>
        <v>用途</v>
      </c>
      <c r="R9" s="769" t="s">
        <v>17</v>
      </c>
      <c r="S9" s="770">
        <f t="shared" si="0"/>
        <v>100</v>
      </c>
      <c r="T9" s="769" t="s">
        <v>17</v>
      </c>
      <c r="U9" s="770">
        <f t="shared" si="1"/>
        <v>100</v>
      </c>
      <c r="V9" s="769" t="s">
        <v>17</v>
      </c>
      <c r="W9" s="770">
        <f t="shared" si="2"/>
        <v>100</v>
      </c>
      <c r="X9" s="771"/>
      <c r="Y9" s="3065" t="s">
        <v>2556</v>
      </c>
      <c r="Z9" s="55" t="str">
        <f t="shared" ref="Z9:Z15" si="7">Q9</f>
        <v>用途</v>
      </c>
      <c r="AA9" s="772">
        <f t="shared" si="3"/>
        <v>1</v>
      </c>
      <c r="AB9" s="772">
        <f t="shared" si="4"/>
        <v>1</v>
      </c>
      <c r="AC9" s="2671">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2"/>
      <c r="Q10" s="1794"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2671">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2"/>
      <c r="Q11" s="1794"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232"/>
      <c r="Q12" s="1794">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232"/>
      <c r="Q13" s="1794">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232"/>
      <c r="Q14" s="1794">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59" t="s">
        <v>2560</v>
      </c>
      <c r="Q15" s="1809" t="str">
        <f t="shared" si="6"/>
        <v>办公集聚程度</v>
      </c>
      <c r="R15" s="773" t="s">
        <v>17</v>
      </c>
      <c r="S15" s="774">
        <f t="shared" si="0"/>
        <v>100</v>
      </c>
      <c r="T15" s="773" t="s">
        <v>17</v>
      </c>
      <c r="U15" s="774">
        <f t="shared" si="1"/>
        <v>100</v>
      </c>
      <c r="V15" s="773" t="s">
        <v>17</v>
      </c>
      <c r="W15" s="774">
        <f t="shared" si="2"/>
        <v>100</v>
      </c>
      <c r="X15" s="1812"/>
      <c r="Y15" s="3252" t="s">
        <v>2560</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39"/>
      <c r="M16" s="1130"/>
      <c r="N16" s="1130"/>
      <c r="O16" s="1130"/>
      <c r="P16" s="3260"/>
      <c r="Q16" s="1809"/>
      <c r="R16" s="773"/>
      <c r="S16" s="774"/>
      <c r="T16" s="773"/>
      <c r="U16" s="774"/>
      <c r="V16" s="773"/>
      <c r="W16" s="774"/>
      <c r="X16" s="1812"/>
      <c r="Y16" s="3253"/>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0"/>
      <c r="Q17" s="1809" t="str">
        <f>B17</f>
        <v>交通便捷度</v>
      </c>
      <c r="R17" s="773" t="s">
        <v>17</v>
      </c>
      <c r="S17" s="774">
        <f>F17</f>
        <v>100</v>
      </c>
      <c r="T17" s="773" t="s">
        <v>17</v>
      </c>
      <c r="U17" s="774">
        <f>H17</f>
        <v>100</v>
      </c>
      <c r="V17" s="773" t="s">
        <v>17</v>
      </c>
      <c r="W17" s="774">
        <f>J17</f>
        <v>100</v>
      </c>
      <c r="X17" s="1812"/>
      <c r="Y17" s="3253"/>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39"/>
      <c r="M18" s="1130"/>
      <c r="N18" s="1130"/>
      <c r="O18" s="1130"/>
      <c r="P18" s="3260"/>
      <c r="Q18" s="1809"/>
      <c r="R18" s="773"/>
      <c r="S18" s="774"/>
      <c r="T18" s="773"/>
      <c r="U18" s="774"/>
      <c r="V18" s="773"/>
      <c r="W18" s="774"/>
      <c r="X18" s="1812"/>
      <c r="Y18" s="3253"/>
      <c r="Z18" s="1813"/>
      <c r="AA18" s="1810">
        <v>1</v>
      </c>
      <c r="AB18" s="1810">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0"/>
      <c r="Q19" s="1809" t="str">
        <f>B19</f>
        <v>公共配套设施</v>
      </c>
      <c r="R19" s="773" t="s">
        <v>17</v>
      </c>
      <c r="S19" s="774">
        <f>F19</f>
        <v>100</v>
      </c>
      <c r="T19" s="773" t="s">
        <v>17</v>
      </c>
      <c r="U19" s="774">
        <f>H19</f>
        <v>100</v>
      </c>
      <c r="V19" s="773" t="s">
        <v>17</v>
      </c>
      <c r="W19" s="774">
        <f>J19</f>
        <v>100</v>
      </c>
      <c r="X19" s="1812"/>
      <c r="Y19" s="3253"/>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39"/>
      <c r="M20" s="1130"/>
      <c r="N20" s="1130"/>
      <c r="O20" s="1130"/>
      <c r="P20" s="3260"/>
      <c r="Q20" s="1809"/>
      <c r="R20" s="773"/>
      <c r="S20" s="774"/>
      <c r="T20" s="773"/>
      <c r="U20" s="774"/>
      <c r="V20" s="773"/>
      <c r="W20" s="774"/>
      <c r="X20" s="1812"/>
      <c r="Y20" s="3253"/>
      <c r="Z20" s="1813"/>
      <c r="AA20" s="1810">
        <v>1</v>
      </c>
      <c r="AB20" s="1810">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0"/>
      <c r="Q21" s="1809" t="str">
        <f>B21</f>
        <v>基础设施水平</v>
      </c>
      <c r="R21" s="773" t="s">
        <v>17</v>
      </c>
      <c r="S21" s="774">
        <f>F21</f>
        <v>100</v>
      </c>
      <c r="T21" s="773" t="s">
        <v>17</v>
      </c>
      <c r="U21" s="774">
        <f>H21</f>
        <v>100</v>
      </c>
      <c r="V21" s="773" t="s">
        <v>17</v>
      </c>
      <c r="W21" s="774">
        <f>J21</f>
        <v>100</v>
      </c>
      <c r="X21" s="1812"/>
      <c r="Y21" s="3253"/>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39"/>
      <c r="M22" s="1130"/>
      <c r="N22" s="1130"/>
      <c r="O22" s="1130"/>
      <c r="P22" s="3260"/>
      <c r="Q22" s="1809"/>
      <c r="R22" s="773"/>
      <c r="S22" s="774"/>
      <c r="T22" s="773"/>
      <c r="U22" s="774"/>
      <c r="V22" s="773"/>
      <c r="W22" s="774"/>
      <c r="X22" s="1812"/>
      <c r="Y22" s="3253"/>
      <c r="Z22" s="1813"/>
      <c r="AA22" s="1810">
        <v>1</v>
      </c>
      <c r="AB22" s="1810">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0"/>
      <c r="Q23" s="1809" t="str">
        <f>B23</f>
        <v>环境质量</v>
      </c>
      <c r="R23" s="773" t="s">
        <v>17</v>
      </c>
      <c r="S23" s="774">
        <f>F23</f>
        <v>100</v>
      </c>
      <c r="T23" s="773" t="s">
        <v>17</v>
      </c>
      <c r="U23" s="774">
        <f>H23</f>
        <v>100</v>
      </c>
      <c r="V23" s="773" t="s">
        <v>17</v>
      </c>
      <c r="W23" s="774">
        <f>J23</f>
        <v>100</v>
      </c>
      <c r="X23" s="1812"/>
      <c r="Y23" s="3253"/>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39"/>
      <c r="M24" s="1130"/>
      <c r="N24" s="1130"/>
      <c r="O24" s="1130"/>
      <c r="P24" s="3260"/>
      <c r="Q24" s="1809"/>
      <c r="R24" s="773"/>
      <c r="S24" s="774"/>
      <c r="T24" s="773"/>
      <c r="U24" s="774"/>
      <c r="V24" s="773"/>
      <c r="W24" s="774"/>
      <c r="X24" s="1812"/>
      <c r="Y24" s="3253"/>
      <c r="Z24" s="1813"/>
      <c r="AA24" s="1810">
        <v>1</v>
      </c>
      <c r="AB24" s="1810">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260"/>
      <c r="Q25" s="1809" t="str">
        <f>B25</f>
        <v>毗邻道路的类型与等级</v>
      </c>
      <c r="R25" s="773" t="s">
        <v>17</v>
      </c>
      <c r="S25" s="774">
        <f>F25</f>
        <v>100</v>
      </c>
      <c r="T25" s="773" t="s">
        <v>17</v>
      </c>
      <c r="U25" s="774">
        <f>H25</f>
        <v>100</v>
      </c>
      <c r="V25" s="773" t="s">
        <v>17</v>
      </c>
      <c r="W25" s="774">
        <f>J25</f>
        <v>100</v>
      </c>
      <c r="X25" s="1812"/>
      <c r="Y25" s="3253"/>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260"/>
      <c r="Q26" s="1809"/>
      <c r="R26" s="773"/>
      <c r="S26" s="774"/>
      <c r="T26" s="773"/>
      <c r="U26" s="774"/>
      <c r="V26" s="773"/>
      <c r="W26" s="774"/>
      <c r="X26" s="1812"/>
      <c r="Y26" s="3253"/>
      <c r="Z26" s="1813"/>
      <c r="AA26" s="1810">
        <v>1</v>
      </c>
      <c r="AB26" s="1810">
        <v>1</v>
      </c>
      <c r="AC26" s="2674">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0"/>
      <c r="Q27" s="1809" t="str">
        <f t="shared" ref="Q27:Q47" si="11">B27</f>
        <v>楼层</v>
      </c>
      <c r="R27" s="773" t="s">
        <v>17</v>
      </c>
      <c r="S27" s="774">
        <f>F27</f>
        <v>100</v>
      </c>
      <c r="T27" s="773" t="s">
        <v>17</v>
      </c>
      <c r="U27" s="774">
        <f>H27</f>
        <v>100</v>
      </c>
      <c r="V27" s="773" t="s">
        <v>17</v>
      </c>
      <c r="W27" s="774">
        <f>J27</f>
        <v>100</v>
      </c>
      <c r="X27" s="1812"/>
      <c r="Y27" s="3253"/>
      <c r="Z27" s="1813" t="str">
        <f>Q27</f>
        <v>楼层</v>
      </c>
      <c r="AA27" s="1810">
        <f t="shared" si="3"/>
        <v>1</v>
      </c>
      <c r="AB27" s="1810">
        <f t="shared" si="4"/>
        <v>1</v>
      </c>
      <c r="AC27" s="2674">
        <f t="shared" si="5"/>
        <v>1</v>
      </c>
    </row>
    <row r="28" spans="1:29" s="117" customFormat="1" ht="15">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260"/>
      <c r="Q28" s="1794" t="str">
        <f t="shared" si="11"/>
        <v>朝向</v>
      </c>
      <c r="R28" s="769" t="s">
        <v>17</v>
      </c>
      <c r="S28" s="770">
        <f>F28</f>
        <v>100</v>
      </c>
      <c r="T28" s="769" t="s">
        <v>17</v>
      </c>
      <c r="U28" s="770">
        <f>H28</f>
        <v>100</v>
      </c>
      <c r="V28" s="769" t="s">
        <v>17</v>
      </c>
      <c r="W28" s="770">
        <f>J28</f>
        <v>100</v>
      </c>
      <c r="X28" s="771"/>
      <c r="Y28" s="3253"/>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260"/>
      <c r="Q29" s="1809">
        <f t="shared" si="11"/>
        <v>111</v>
      </c>
      <c r="R29" s="773" t="s">
        <v>17</v>
      </c>
      <c r="S29" s="774">
        <f t="shared" ref="S29:S47" si="12">F29</f>
        <v>100</v>
      </c>
      <c r="T29" s="773" t="s">
        <v>17</v>
      </c>
      <c r="U29" s="774">
        <f t="shared" ref="U29:U47" si="13">H29</f>
        <v>100</v>
      </c>
      <c r="V29" s="773" t="s">
        <v>17</v>
      </c>
      <c r="W29" s="774">
        <f t="shared" ref="W29:W47" si="14">J29</f>
        <v>100</v>
      </c>
      <c r="X29" s="1812"/>
      <c r="Y29" s="3253"/>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260"/>
      <c r="Q30" s="1809">
        <f t="shared" si="11"/>
        <v>111</v>
      </c>
      <c r="R30" s="773" t="s">
        <v>17</v>
      </c>
      <c r="S30" s="774">
        <f t="shared" si="12"/>
        <v>100</v>
      </c>
      <c r="T30" s="773" t="s">
        <v>17</v>
      </c>
      <c r="U30" s="774">
        <f t="shared" si="13"/>
        <v>100</v>
      </c>
      <c r="V30" s="773" t="s">
        <v>17</v>
      </c>
      <c r="W30" s="774">
        <f t="shared" si="14"/>
        <v>100</v>
      </c>
      <c r="X30" s="1812"/>
      <c r="Y30" s="3253"/>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260"/>
      <c r="Q31" s="1809">
        <f t="shared" si="11"/>
        <v>111</v>
      </c>
      <c r="R31" s="773" t="s">
        <v>17</v>
      </c>
      <c r="S31" s="774">
        <f t="shared" si="12"/>
        <v>100</v>
      </c>
      <c r="T31" s="773" t="s">
        <v>17</v>
      </c>
      <c r="U31" s="774">
        <f t="shared" si="13"/>
        <v>100</v>
      </c>
      <c r="V31" s="773" t="s">
        <v>17</v>
      </c>
      <c r="W31" s="774">
        <f t="shared" si="14"/>
        <v>100</v>
      </c>
      <c r="X31" s="1812"/>
      <c r="Y31" s="3253"/>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260"/>
      <c r="Q32" s="1809">
        <f t="shared" si="11"/>
        <v>111</v>
      </c>
      <c r="R32" s="773" t="s">
        <v>17</v>
      </c>
      <c r="S32" s="774">
        <f t="shared" si="12"/>
        <v>100</v>
      </c>
      <c r="T32" s="773" t="s">
        <v>17</v>
      </c>
      <c r="U32" s="774">
        <f t="shared" si="13"/>
        <v>100</v>
      </c>
      <c r="V32" s="773" t="s">
        <v>17</v>
      </c>
      <c r="W32" s="774">
        <f t="shared" si="14"/>
        <v>100</v>
      </c>
      <c r="X32" s="1812"/>
      <c r="Y32" s="3253"/>
      <c r="Z32" s="1813">
        <f t="shared" si="15"/>
        <v>111</v>
      </c>
      <c r="AA32" s="1810">
        <f t="shared" si="3"/>
        <v>1</v>
      </c>
      <c r="AB32" s="1810">
        <f t="shared" si="4"/>
        <v>1</v>
      </c>
      <c r="AC32" s="2674">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254" t="s">
        <v>2565</v>
      </c>
      <c r="Q33" s="1809" t="str">
        <f t="shared" si="11"/>
        <v>建筑类型</v>
      </c>
      <c r="R33" s="773" t="s">
        <v>17</v>
      </c>
      <c r="S33" s="774">
        <f t="shared" si="12"/>
        <v>100</v>
      </c>
      <c r="T33" s="773" t="s">
        <v>17</v>
      </c>
      <c r="U33" s="774">
        <f t="shared" si="13"/>
        <v>100</v>
      </c>
      <c r="V33" s="773" t="s">
        <v>17</v>
      </c>
      <c r="W33" s="774">
        <f t="shared" si="14"/>
        <v>100</v>
      </c>
      <c r="X33" s="1812"/>
      <c r="Y33" s="3257" t="s">
        <v>2565</v>
      </c>
      <c r="Z33" s="1813" t="str">
        <f t="shared" si="15"/>
        <v>建筑类型</v>
      </c>
      <c r="AA33" s="1810">
        <f t="shared" si="3"/>
        <v>1</v>
      </c>
      <c r="AB33" s="1810">
        <f t="shared" si="4"/>
        <v>1</v>
      </c>
      <c r="AC33" s="2674">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55"/>
      <c r="Q34" s="775" t="str">
        <f t="shared" si="11"/>
        <v>项目建筑规模</v>
      </c>
      <c r="R34" s="776" t="s">
        <v>17</v>
      </c>
      <c r="S34" s="777" t="e">
        <f t="shared" si="12"/>
        <v>#N/A</v>
      </c>
      <c r="T34" s="776" t="s">
        <v>17</v>
      </c>
      <c r="U34" s="777" t="e">
        <f t="shared" si="13"/>
        <v>#N/A</v>
      </c>
      <c r="V34" s="776" t="s">
        <v>17</v>
      </c>
      <c r="W34" s="777" t="e">
        <f t="shared" si="14"/>
        <v>#N/A</v>
      </c>
      <c r="X34" s="778"/>
      <c r="Y34" s="3257"/>
      <c r="Z34" s="779" t="str">
        <f t="shared" si="15"/>
        <v>项目建筑规模</v>
      </c>
      <c r="AA34" s="1810" t="e">
        <f t="shared" si="3"/>
        <v>#N/A</v>
      </c>
      <c r="AB34" s="1810" t="e">
        <f t="shared" si="4"/>
        <v>#N/A</v>
      </c>
      <c r="AC34" s="2674"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55"/>
      <c r="Q35" s="1809" t="str">
        <f t="shared" si="11"/>
        <v>建筑结构</v>
      </c>
      <c r="R35" s="773" t="s">
        <v>17</v>
      </c>
      <c r="S35" s="774">
        <f t="shared" si="12"/>
        <v>100</v>
      </c>
      <c r="T35" s="773" t="s">
        <v>17</v>
      </c>
      <c r="U35" s="774">
        <f t="shared" si="13"/>
        <v>100</v>
      </c>
      <c r="V35" s="773" t="s">
        <v>17</v>
      </c>
      <c r="W35" s="774">
        <f t="shared" si="14"/>
        <v>100</v>
      </c>
      <c r="X35" s="1812"/>
      <c r="Y35" s="3257"/>
      <c r="Z35" s="1813" t="str">
        <f t="shared" si="15"/>
        <v>建筑结构</v>
      </c>
      <c r="AA35" s="1810">
        <f t="shared" si="3"/>
        <v>1</v>
      </c>
      <c r="AB35" s="1810">
        <f t="shared" si="4"/>
        <v>1</v>
      </c>
      <c r="AC35" s="2674">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55"/>
      <c r="Q36" s="1809" t="str">
        <f t="shared" si="11"/>
        <v>公共部分装修</v>
      </c>
      <c r="R36" s="773" t="s">
        <v>17</v>
      </c>
      <c r="S36" s="774">
        <f t="shared" si="12"/>
        <v>100</v>
      </c>
      <c r="T36" s="773" t="s">
        <v>17</v>
      </c>
      <c r="U36" s="774">
        <f t="shared" si="13"/>
        <v>100</v>
      </c>
      <c r="V36" s="773" t="s">
        <v>17</v>
      </c>
      <c r="W36" s="774">
        <f t="shared" si="14"/>
        <v>100</v>
      </c>
      <c r="X36" s="1812"/>
      <c r="Y36" s="3257"/>
      <c r="Z36" s="1813" t="str">
        <f t="shared" si="15"/>
        <v>公共部分装修</v>
      </c>
      <c r="AA36" s="1810">
        <f t="shared" si="3"/>
        <v>1</v>
      </c>
      <c r="AB36" s="1810">
        <f t="shared" si="4"/>
        <v>1</v>
      </c>
      <c r="AC36" s="2674">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55"/>
      <c r="Q37" s="1809" t="str">
        <f t="shared" si="11"/>
        <v>成新度</v>
      </c>
      <c r="R37" s="773" t="s">
        <v>17</v>
      </c>
      <c r="S37" s="774" t="e">
        <f t="shared" si="12"/>
        <v>#N/A</v>
      </c>
      <c r="T37" s="773" t="s">
        <v>17</v>
      </c>
      <c r="U37" s="774" t="e">
        <f t="shared" si="13"/>
        <v>#N/A</v>
      </c>
      <c r="V37" s="773" t="s">
        <v>17</v>
      </c>
      <c r="W37" s="774" t="e">
        <f t="shared" si="14"/>
        <v>#N/A</v>
      </c>
      <c r="X37" s="1812"/>
      <c r="Y37" s="3257"/>
      <c r="Z37" s="1813" t="str">
        <f t="shared" si="15"/>
        <v>成新度</v>
      </c>
      <c r="AA37" s="1810" t="e">
        <f t="shared" si="3"/>
        <v>#N/A</v>
      </c>
      <c r="AB37" s="1810" t="e">
        <f t="shared" si="4"/>
        <v>#N/A</v>
      </c>
      <c r="AC37" s="2674"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55"/>
      <c r="Q38" s="1794" t="str">
        <f t="shared" si="11"/>
        <v>写字楼等级</v>
      </c>
      <c r="R38" s="769" t="s">
        <v>17</v>
      </c>
      <c r="S38" s="770">
        <f t="shared" si="12"/>
        <v>100</v>
      </c>
      <c r="T38" s="769" t="s">
        <v>17</v>
      </c>
      <c r="U38" s="770">
        <f t="shared" si="13"/>
        <v>100</v>
      </c>
      <c r="V38" s="769" t="s">
        <v>17</v>
      </c>
      <c r="W38" s="770">
        <f t="shared" si="14"/>
        <v>100</v>
      </c>
      <c r="X38" s="771"/>
      <c r="Y38" s="3257"/>
      <c r="Z38" s="55" t="str">
        <f t="shared" si="15"/>
        <v>写字楼等级</v>
      </c>
      <c r="AA38" s="772">
        <f t="shared" si="3"/>
        <v>1</v>
      </c>
      <c r="AB38" s="772">
        <f t="shared" si="4"/>
        <v>1</v>
      </c>
      <c r="AC38" s="2671">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55" t="s">
        <v>2565</v>
      </c>
      <c r="Q39" s="1809" t="str">
        <f t="shared" si="11"/>
        <v>物业管理</v>
      </c>
      <c r="R39" s="773" t="s">
        <v>17</v>
      </c>
      <c r="S39" s="774">
        <f t="shared" si="12"/>
        <v>100</v>
      </c>
      <c r="T39" s="773" t="s">
        <v>17</v>
      </c>
      <c r="U39" s="774">
        <f t="shared" si="13"/>
        <v>100</v>
      </c>
      <c r="V39" s="773" t="s">
        <v>17</v>
      </c>
      <c r="W39" s="774">
        <f t="shared" si="14"/>
        <v>100</v>
      </c>
      <c r="X39" s="1812"/>
      <c r="Y39" s="3257" t="s">
        <v>2565</v>
      </c>
      <c r="Z39" s="1813" t="str">
        <f t="shared" si="15"/>
        <v>物业管理</v>
      </c>
      <c r="AA39" s="1810">
        <f t="shared" si="3"/>
        <v>1</v>
      </c>
      <c r="AB39" s="1810">
        <f t="shared" si="4"/>
        <v>1</v>
      </c>
      <c r="AC39" s="2674">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55"/>
      <c r="Q40" s="1809" t="str">
        <f t="shared" si="11"/>
        <v>市政基础设施</v>
      </c>
      <c r="R40" s="773" t="s">
        <v>17</v>
      </c>
      <c r="S40" s="774">
        <f t="shared" si="12"/>
        <v>100</v>
      </c>
      <c r="T40" s="773" t="s">
        <v>17</v>
      </c>
      <c r="U40" s="774">
        <f t="shared" si="13"/>
        <v>100</v>
      </c>
      <c r="V40" s="773" t="s">
        <v>17</v>
      </c>
      <c r="W40" s="774">
        <f t="shared" si="14"/>
        <v>100</v>
      </c>
      <c r="X40" s="1812"/>
      <c r="Y40" s="3257"/>
      <c r="Z40" s="1813" t="str">
        <f t="shared" si="15"/>
        <v>市政基础设施</v>
      </c>
      <c r="AA40" s="1810">
        <f t="shared" si="3"/>
        <v>1</v>
      </c>
      <c r="AB40" s="1810">
        <f t="shared" si="4"/>
        <v>1</v>
      </c>
      <c r="AC40" s="2674">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55"/>
      <c r="Q41" s="1809" t="str">
        <f t="shared" si="11"/>
        <v>层高</v>
      </c>
      <c r="R41" s="773" t="s">
        <v>17</v>
      </c>
      <c r="S41" s="774">
        <f t="shared" si="12"/>
        <v>100</v>
      </c>
      <c r="T41" s="773" t="s">
        <v>17</v>
      </c>
      <c r="U41" s="774">
        <f t="shared" si="13"/>
        <v>100</v>
      </c>
      <c r="V41" s="773" t="s">
        <v>17</v>
      </c>
      <c r="W41" s="774">
        <f t="shared" si="14"/>
        <v>100</v>
      </c>
      <c r="X41" s="1812"/>
      <c r="Y41" s="3257"/>
      <c r="Z41" s="1813" t="str">
        <f t="shared" si="15"/>
        <v>层高</v>
      </c>
      <c r="AA41" s="1810">
        <f t="shared" si="3"/>
        <v>1</v>
      </c>
      <c r="AB41" s="1810">
        <f t="shared" si="4"/>
        <v>1</v>
      </c>
      <c r="AC41" s="2674">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5"/>
      <c r="Q42" s="775" t="str">
        <f t="shared" si="11"/>
        <v>单套建筑面积</v>
      </c>
      <c r="R42" s="776" t="s">
        <v>17</v>
      </c>
      <c r="S42" s="777">
        <f t="shared" si="12"/>
        <v>100</v>
      </c>
      <c r="T42" s="776" t="s">
        <v>17</v>
      </c>
      <c r="U42" s="777">
        <f t="shared" si="13"/>
        <v>100</v>
      </c>
      <c r="V42" s="776" t="s">
        <v>17</v>
      </c>
      <c r="W42" s="777">
        <f t="shared" si="14"/>
        <v>100</v>
      </c>
      <c r="X42" s="778"/>
      <c r="Y42" s="3257"/>
      <c r="Z42" s="779" t="str">
        <f t="shared" si="15"/>
        <v>单套建筑面积</v>
      </c>
      <c r="AA42" s="1810">
        <f t="shared" si="3"/>
        <v>1</v>
      </c>
      <c r="AB42" s="1810">
        <f t="shared" si="4"/>
        <v>1</v>
      </c>
      <c r="AC42" s="2674">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55"/>
      <c r="Q43" s="1809" t="str">
        <f t="shared" si="11"/>
        <v>内部装修</v>
      </c>
      <c r="R43" s="773" t="s">
        <v>17</v>
      </c>
      <c r="S43" s="774">
        <f t="shared" si="12"/>
        <v>100</v>
      </c>
      <c r="T43" s="773" t="s">
        <v>17</v>
      </c>
      <c r="U43" s="774">
        <f t="shared" si="13"/>
        <v>100</v>
      </c>
      <c r="V43" s="773" t="s">
        <v>17</v>
      </c>
      <c r="W43" s="774">
        <f t="shared" si="14"/>
        <v>100</v>
      </c>
      <c r="X43" s="1812"/>
      <c r="Y43" s="3257"/>
      <c r="Z43" s="1813" t="str">
        <f t="shared" si="15"/>
        <v>内部装修</v>
      </c>
      <c r="AA43" s="1810">
        <f t="shared" si="3"/>
        <v>1</v>
      </c>
      <c r="AB43" s="1810">
        <f t="shared" si="4"/>
        <v>1</v>
      </c>
      <c r="AC43" s="2674">
        <f t="shared" si="5"/>
        <v>1</v>
      </c>
    </row>
    <row r="44" spans="1:29" ht="15">
      <c r="A44" s="472"/>
      <c r="B44" s="422" t="s">
        <v>2576</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255"/>
      <c r="Q44" s="1809" t="str">
        <f t="shared" si="11"/>
        <v>内部装修维护情况</v>
      </c>
      <c r="R44" s="773" t="s">
        <v>17</v>
      </c>
      <c r="S44" s="774">
        <f t="shared" si="12"/>
        <v>100</v>
      </c>
      <c r="T44" s="773" t="s">
        <v>17</v>
      </c>
      <c r="U44" s="774">
        <f t="shared" si="13"/>
        <v>100</v>
      </c>
      <c r="V44" s="773" t="s">
        <v>17</v>
      </c>
      <c r="W44" s="774">
        <f t="shared" si="14"/>
        <v>100</v>
      </c>
      <c r="X44" s="1812"/>
      <c r="Y44" s="3257"/>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5"/>
      <c r="Q45" s="1794">
        <f t="shared" si="11"/>
        <v>111</v>
      </c>
      <c r="R45" s="769" t="s">
        <v>17</v>
      </c>
      <c r="S45" s="770">
        <f t="shared" si="12"/>
        <v>100</v>
      </c>
      <c r="T45" s="769" t="s">
        <v>17</v>
      </c>
      <c r="U45" s="770">
        <f t="shared" si="13"/>
        <v>100</v>
      </c>
      <c r="V45" s="769" t="s">
        <v>17</v>
      </c>
      <c r="W45" s="770">
        <f t="shared" si="14"/>
        <v>100</v>
      </c>
      <c r="X45" s="771"/>
      <c r="Y45" s="3257"/>
      <c r="Z45" s="55">
        <f t="shared" si="15"/>
        <v>111</v>
      </c>
      <c r="AA45" s="772">
        <f t="shared" si="3"/>
        <v>1</v>
      </c>
      <c r="AB45" s="772">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5"/>
      <c r="Q46" s="1809">
        <f t="shared" si="11"/>
        <v>111</v>
      </c>
      <c r="R46" s="773" t="s">
        <v>17</v>
      </c>
      <c r="S46" s="774">
        <f t="shared" si="12"/>
        <v>100</v>
      </c>
      <c r="T46" s="773" t="s">
        <v>17</v>
      </c>
      <c r="U46" s="774">
        <f t="shared" si="13"/>
        <v>100</v>
      </c>
      <c r="V46" s="773" t="s">
        <v>17</v>
      </c>
      <c r="W46" s="774">
        <f t="shared" si="14"/>
        <v>100</v>
      </c>
      <c r="X46" s="1812"/>
      <c r="Y46" s="3257"/>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6"/>
      <c r="Q47" s="1809">
        <f t="shared" si="11"/>
        <v>111</v>
      </c>
      <c r="R47" s="773" t="s">
        <v>17</v>
      </c>
      <c r="S47" s="774">
        <f t="shared" si="12"/>
        <v>100</v>
      </c>
      <c r="T47" s="773" t="s">
        <v>17</v>
      </c>
      <c r="U47" s="774">
        <f t="shared" si="13"/>
        <v>100</v>
      </c>
      <c r="V47" s="773" t="s">
        <v>17</v>
      </c>
      <c r="W47" s="774">
        <f t="shared" si="14"/>
        <v>100</v>
      </c>
      <c r="X47" s="1812"/>
      <c r="Y47" s="3258"/>
      <c r="Z47" s="1813">
        <f t="shared" si="15"/>
        <v>111</v>
      </c>
      <c r="AA47" s="1810">
        <f t="shared" si="3"/>
        <v>1</v>
      </c>
      <c r="AB47" s="1810">
        <f t="shared" si="4"/>
        <v>1</v>
      </c>
      <c r="AC47" s="2674">
        <f t="shared" si="5"/>
        <v>1</v>
      </c>
    </row>
    <row r="48" spans="1:29" ht="15">
      <c r="A48" s="479" t="s">
        <v>2577</v>
      </c>
      <c r="B48" s="480"/>
      <c r="C48" s="1406" t="s">
        <v>1</v>
      </c>
      <c r="D48" s="1407"/>
      <c r="E48" s="1408"/>
      <c r="F48" s="1409"/>
      <c r="G48" s="1410"/>
      <c r="H48" s="1411"/>
      <c r="I48" s="1408"/>
      <c r="J48" s="485"/>
      <c r="K48" s="782"/>
      <c r="L48" s="1142"/>
      <c r="M48" s="1130"/>
      <c r="N48" s="1130"/>
      <c r="O48" s="1130"/>
      <c r="P48" s="3232" t="str">
        <f>A48</f>
        <v>成交单价（元/平方米）</v>
      </c>
      <c r="Q48" s="3250"/>
      <c r="R48" s="3251">
        <f>E48</f>
        <v>0</v>
      </c>
      <c r="S48" s="3251"/>
      <c r="T48" s="3251">
        <f>G48</f>
        <v>0</v>
      </c>
      <c r="U48" s="3251"/>
      <c r="V48" s="3251">
        <f>I48</f>
        <v>0</v>
      </c>
      <c r="W48" s="3251"/>
      <c r="X48" s="446"/>
      <c r="Y48" s="780"/>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3"/>
      <c r="L49" s="1142"/>
      <c r="M49" s="1130"/>
      <c r="N49" s="1130"/>
      <c r="O49" s="1130"/>
      <c r="P49" s="3232" t="str">
        <f>A49</f>
        <v>比较价值（元/平方米）</v>
      </c>
      <c r="Q49" s="3250"/>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4"/>
      <c r="L50" s="1142"/>
      <c r="M50" s="1130"/>
      <c r="N50" s="1130"/>
      <c r="O50" s="1130"/>
      <c r="P50" s="3273" t="str">
        <f>A50</f>
        <v>估价对象XX用房的比较价值（楼面单价，元/平方米）</v>
      </c>
      <c r="Q50" s="3274"/>
      <c r="R50" s="3275" t="e">
        <f>IF(F1="售价",ROUND(AVERAGE(R49:V49),0),ROUND(AVERAGE(R49:V49),1))</f>
        <v>#DIV/0!</v>
      </c>
      <c r="S50" s="3275"/>
      <c r="T50" s="3275"/>
      <c r="U50" s="3275"/>
      <c r="V50" s="3275"/>
      <c r="W50" s="3275"/>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81"/>
      <c r="Q58" s="504"/>
    </row>
    <row r="59" spans="1:29" s="508" customFormat="1" ht="15">
      <c r="A59" s="505" t="s">
        <v>2548</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2588</v>
      </c>
      <c r="B64" s="528" t="s">
        <v>2554</v>
      </c>
      <c r="C64" s="529">
        <f>C9</f>
        <v>0</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c r="D69" s="549"/>
      <c r="E69" s="549"/>
      <c r="F69" s="549"/>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2699</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2563</v>
      </c>
      <c r="B101" s="528" t="s">
        <v>2612</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2614</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2616</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2700</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2617</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2618</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2701</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2684</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2620</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9" t="s">
        <v>2702</v>
      </c>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6"/>
      <c r="D2" s="1123" t="e">
        <f ca="1">SUMIF(INDIRECT("'"&amp;F2&amp;"'"&amp;"!A:A"),"承租人权益价值",INDIRECT("'"&amp;F2&amp;"'"&amp;"!c:c"))</f>
        <v>#REF!</v>
      </c>
      <c r="E2" s="2587" t="s">
        <v>2328</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39697.29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33" t="s">
        <v>2646</v>
      </c>
      <c r="D4" s="3234"/>
      <c r="E4" s="3235" t="s">
        <v>2647</v>
      </c>
      <c r="F4" s="3236"/>
      <c r="G4" s="3233" t="s">
        <v>2648</v>
      </c>
      <c r="H4" s="3234"/>
      <c r="I4" s="3233" t="s">
        <v>2649</v>
      </c>
      <c r="J4" s="3234"/>
      <c r="K4" s="610" t="s">
        <v>2650</v>
      </c>
      <c r="L4" s="1129"/>
      <c r="M4" s="1130"/>
      <c r="N4" s="1130"/>
      <c r="O4" s="1130"/>
      <c r="P4" s="3237" t="s">
        <v>2651</v>
      </c>
      <c r="Q4" s="3238"/>
      <c r="R4" s="3220" t="s">
        <v>2647</v>
      </c>
      <c r="S4" s="3221"/>
      <c r="T4" s="3220" t="s">
        <v>2648</v>
      </c>
      <c r="U4" s="3221"/>
      <c r="V4" s="3245" t="s">
        <v>2649</v>
      </c>
      <c r="W4" s="3245"/>
      <c r="X4" s="1812"/>
      <c r="Y4" s="3220" t="s">
        <v>2651</v>
      </c>
      <c r="Z4" s="3221"/>
      <c r="AA4" s="3215" t="s">
        <v>2647</v>
      </c>
      <c r="AB4" s="3216" t="s">
        <v>2648</v>
      </c>
      <c r="AC4" s="3215" t="s">
        <v>2649</v>
      </c>
    </row>
    <row r="5" spans="1:29" ht="15">
      <c r="A5" s="404"/>
      <c r="B5" s="405"/>
      <c r="C5" s="3226" t="s">
        <v>2542</v>
      </c>
      <c r="D5" s="3227"/>
      <c r="E5" s="3224" t="s">
        <v>2543</v>
      </c>
      <c r="F5" s="3225"/>
      <c r="G5" s="3226" t="s">
        <v>2544</v>
      </c>
      <c r="H5" s="3227"/>
      <c r="I5" s="3226" t="s">
        <v>2545</v>
      </c>
      <c r="J5" s="3227"/>
      <c r="K5" s="610"/>
      <c r="L5" s="1129"/>
      <c r="M5" s="1130"/>
      <c r="N5" s="1130"/>
      <c r="O5" s="1130"/>
      <c r="P5" s="3239"/>
      <c r="Q5" s="3240"/>
      <c r="R5" s="3222"/>
      <c r="S5" s="3223"/>
      <c r="T5" s="3222"/>
      <c r="U5" s="3223"/>
      <c r="V5" s="3245"/>
      <c r="W5" s="3245"/>
      <c r="X5" s="1812"/>
      <c r="Y5" s="3222"/>
      <c r="Z5" s="3223"/>
      <c r="AA5" s="3216"/>
      <c r="AB5" s="3216"/>
      <c r="AC5" s="3216"/>
    </row>
    <row r="6" spans="1:29" ht="15.75" thickBot="1">
      <c r="A6" s="406"/>
      <c r="B6" s="407"/>
      <c r="C6" s="3228" t="s">
        <v>2546</v>
      </c>
      <c r="D6" s="3229"/>
      <c r="E6" s="3230" t="s">
        <v>2546</v>
      </c>
      <c r="F6" s="3231"/>
      <c r="G6" s="3228" t="s">
        <v>2546</v>
      </c>
      <c r="H6" s="3229"/>
      <c r="I6" s="3228" t="s">
        <v>2546</v>
      </c>
      <c r="J6" s="3229"/>
      <c r="K6" s="610" t="s">
        <v>2547</v>
      </c>
      <c r="L6" s="1129"/>
      <c r="M6" s="1130"/>
      <c r="N6" s="1130"/>
      <c r="O6" s="1130"/>
      <c r="P6" s="3241"/>
      <c r="Q6" s="3242"/>
      <c r="R6" s="3222"/>
      <c r="S6" s="3223"/>
      <c r="T6" s="3243"/>
      <c r="U6" s="3244"/>
      <c r="V6" s="3245"/>
      <c r="W6" s="3245"/>
      <c r="X6" s="1812"/>
      <c r="Y6" s="3243"/>
      <c r="Z6" s="3244"/>
      <c r="AA6" s="3217"/>
      <c r="AB6" s="3217"/>
      <c r="AC6" s="3217"/>
    </row>
    <row r="7" spans="1:29" s="117" customFormat="1" ht="15.75" thickBot="1">
      <c r="A7" s="408" t="s">
        <v>2548</v>
      </c>
      <c r="B7" s="409"/>
      <c r="C7" s="410">
        <f>'数据-取费表'!B2</f>
        <v>43761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8" t="s">
        <v>2549</v>
      </c>
      <c r="Q7" s="3246"/>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0" t="s">
        <v>2555</v>
      </c>
      <c r="Q9" s="1794" t="str">
        <f t="shared" ref="Q9:Q15" si="6">B9</f>
        <v>用途</v>
      </c>
      <c r="R9" s="769" t="s">
        <v>17</v>
      </c>
      <c r="S9" s="770">
        <f t="shared" si="0"/>
        <v>100</v>
      </c>
      <c r="T9" s="769" t="s">
        <v>17</v>
      </c>
      <c r="U9" s="770">
        <f t="shared" si="1"/>
        <v>100</v>
      </c>
      <c r="V9" s="769" t="s">
        <v>17</v>
      </c>
      <c r="W9" s="770">
        <f t="shared" si="2"/>
        <v>100</v>
      </c>
      <c r="X9" s="771"/>
      <c r="Y9" s="3065"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0"/>
      <c r="Q10" s="1794"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0"/>
      <c r="Q11" s="1794"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250"/>
      <c r="Q12" s="1794">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250"/>
      <c r="Q13" s="1794">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250"/>
      <c r="Q14" s="1794">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772">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2" t="s">
        <v>2560</v>
      </c>
      <c r="Q15" s="1809" t="str">
        <f t="shared" si="6"/>
        <v>产业集聚程度</v>
      </c>
      <c r="R15" s="773" t="s">
        <v>17</v>
      </c>
      <c r="S15" s="774">
        <f t="shared" si="0"/>
        <v>100</v>
      </c>
      <c r="T15" s="773" t="s">
        <v>17</v>
      </c>
      <c r="U15" s="774">
        <f t="shared" si="1"/>
        <v>100</v>
      </c>
      <c r="V15" s="773" t="s">
        <v>17</v>
      </c>
      <c r="W15" s="774">
        <f t="shared" si="2"/>
        <v>100</v>
      </c>
      <c r="X15" s="1812"/>
      <c r="Y15" s="3252"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53"/>
      <c r="Q16" s="1809"/>
      <c r="R16" s="773"/>
      <c r="S16" s="774"/>
      <c r="T16" s="773"/>
      <c r="U16" s="774"/>
      <c r="V16" s="773"/>
      <c r="W16" s="774"/>
      <c r="X16" s="1812"/>
      <c r="Y16" s="3253"/>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3"/>
      <c r="Q17" s="1809" t="str">
        <f>B17</f>
        <v>交通便捷度</v>
      </c>
      <c r="R17" s="773" t="s">
        <v>17</v>
      </c>
      <c r="S17" s="774">
        <f>F17</f>
        <v>100</v>
      </c>
      <c r="T17" s="773" t="s">
        <v>17</v>
      </c>
      <c r="U17" s="774">
        <f>H17</f>
        <v>100</v>
      </c>
      <c r="V17" s="773" t="s">
        <v>17</v>
      </c>
      <c r="W17" s="774">
        <f>J17</f>
        <v>100</v>
      </c>
      <c r="X17" s="1812"/>
      <c r="Y17" s="3253"/>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253"/>
      <c r="Q18" s="1809"/>
      <c r="R18" s="773"/>
      <c r="S18" s="774"/>
      <c r="T18" s="773"/>
      <c r="U18" s="774"/>
      <c r="V18" s="773"/>
      <c r="W18" s="774"/>
      <c r="X18" s="1812"/>
      <c r="Y18" s="3253"/>
      <c r="Z18" s="1813"/>
      <c r="AA18" s="1810">
        <v>1</v>
      </c>
      <c r="AB18" s="1810">
        <v>1</v>
      </c>
      <c r="AC18" s="1810">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3"/>
      <c r="Q19" s="1809" t="str">
        <f>B19</f>
        <v>公共配套设施</v>
      </c>
      <c r="R19" s="773" t="s">
        <v>17</v>
      </c>
      <c r="S19" s="774">
        <f>F19</f>
        <v>100</v>
      </c>
      <c r="T19" s="773" t="s">
        <v>17</v>
      </c>
      <c r="U19" s="774">
        <f>H19</f>
        <v>100</v>
      </c>
      <c r="V19" s="773" t="s">
        <v>17</v>
      </c>
      <c r="W19" s="774">
        <f>J19</f>
        <v>100</v>
      </c>
      <c r="X19" s="1812"/>
      <c r="Y19" s="3253"/>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253"/>
      <c r="Q20" s="1809"/>
      <c r="R20" s="773"/>
      <c r="S20" s="774"/>
      <c r="T20" s="773"/>
      <c r="U20" s="774"/>
      <c r="V20" s="773"/>
      <c r="W20" s="774"/>
      <c r="X20" s="1812"/>
      <c r="Y20" s="3253"/>
      <c r="Z20" s="1813"/>
      <c r="AA20" s="1810">
        <v>1</v>
      </c>
      <c r="AB20" s="1810">
        <v>1</v>
      </c>
      <c r="AC20" s="1810">
        <v>1</v>
      </c>
    </row>
    <row r="21" spans="1:29" ht="28.5">
      <c r="A21" s="428"/>
      <c r="B21" s="1383"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3"/>
      <c r="Q21" s="1809" t="str">
        <f>B21</f>
        <v>基础设施水平</v>
      </c>
      <c r="R21" s="773" t="s">
        <v>17</v>
      </c>
      <c r="S21" s="774">
        <f>F21</f>
        <v>100</v>
      </c>
      <c r="T21" s="773" t="s">
        <v>17</v>
      </c>
      <c r="U21" s="774">
        <f>H21</f>
        <v>100</v>
      </c>
      <c r="V21" s="773" t="s">
        <v>17</v>
      </c>
      <c r="W21" s="774">
        <f>J21</f>
        <v>100</v>
      </c>
      <c r="X21" s="1812"/>
      <c r="Y21" s="3253"/>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253"/>
      <c r="Q22" s="1809"/>
      <c r="R22" s="773"/>
      <c r="S22" s="774"/>
      <c r="T22" s="773"/>
      <c r="U22" s="774"/>
      <c r="V22" s="773"/>
      <c r="W22" s="774"/>
      <c r="X22" s="1812"/>
      <c r="Y22" s="3253"/>
      <c r="Z22" s="1813"/>
      <c r="AA22" s="1810">
        <v>1</v>
      </c>
      <c r="AB22" s="1810">
        <v>1</v>
      </c>
      <c r="AC22" s="1810">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3"/>
      <c r="Q23" s="1809" t="str">
        <f>B23</f>
        <v>环境质量</v>
      </c>
      <c r="R23" s="773" t="s">
        <v>17</v>
      </c>
      <c r="S23" s="774">
        <f>F23</f>
        <v>100</v>
      </c>
      <c r="T23" s="773" t="s">
        <v>17</v>
      </c>
      <c r="U23" s="774">
        <f>H23</f>
        <v>100</v>
      </c>
      <c r="V23" s="773" t="s">
        <v>17</v>
      </c>
      <c r="W23" s="774">
        <f>J23</f>
        <v>100</v>
      </c>
      <c r="X23" s="1812"/>
      <c r="Y23" s="3253"/>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253"/>
      <c r="Q24" s="1809"/>
      <c r="R24" s="773"/>
      <c r="S24" s="774"/>
      <c r="T24" s="773"/>
      <c r="U24" s="774"/>
      <c r="V24" s="773"/>
      <c r="W24" s="774"/>
      <c r="X24" s="1812"/>
      <c r="Y24" s="325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3"/>
      <c r="Q25" s="1809">
        <f>B25</f>
        <v>111</v>
      </c>
      <c r="R25" s="773" t="s">
        <v>17</v>
      </c>
      <c r="S25" s="774">
        <f>F25</f>
        <v>100</v>
      </c>
      <c r="T25" s="773" t="s">
        <v>17</v>
      </c>
      <c r="U25" s="774">
        <f>H25</f>
        <v>100</v>
      </c>
      <c r="V25" s="773" t="s">
        <v>17</v>
      </c>
      <c r="W25" s="774">
        <f>J25</f>
        <v>100</v>
      </c>
      <c r="X25" s="1812"/>
      <c r="Y25" s="325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3"/>
      <c r="Q26" s="1809">
        <f t="shared" ref="Q26:Q40" si="11">B26</f>
        <v>111</v>
      </c>
      <c r="R26" s="773" t="s">
        <v>17</v>
      </c>
      <c r="S26" s="774">
        <f>F26</f>
        <v>100</v>
      </c>
      <c r="T26" s="773" t="s">
        <v>17</v>
      </c>
      <c r="U26" s="774">
        <f>H26</f>
        <v>100</v>
      </c>
      <c r="V26" s="773" t="s">
        <v>17</v>
      </c>
      <c r="W26" s="774">
        <f>J26</f>
        <v>100</v>
      </c>
      <c r="X26" s="1812"/>
      <c r="Y26" s="325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3"/>
      <c r="Q27" s="1794">
        <f t="shared" si="11"/>
        <v>111</v>
      </c>
      <c r="R27" s="769" t="s">
        <v>17</v>
      </c>
      <c r="S27" s="770">
        <f>F27</f>
        <v>100</v>
      </c>
      <c r="T27" s="769" t="s">
        <v>17</v>
      </c>
      <c r="U27" s="770">
        <f>H27</f>
        <v>100</v>
      </c>
      <c r="V27" s="769" t="s">
        <v>17</v>
      </c>
      <c r="W27" s="770">
        <f>J27</f>
        <v>100</v>
      </c>
      <c r="X27" s="771"/>
      <c r="Y27" s="325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3"/>
      <c r="Q28" s="1809">
        <f t="shared" si="11"/>
        <v>111</v>
      </c>
      <c r="R28" s="773" t="s">
        <v>17</v>
      </c>
      <c r="S28" s="774">
        <f t="shared" ref="S28:S40" si="12">F28</f>
        <v>100</v>
      </c>
      <c r="T28" s="773" t="s">
        <v>17</v>
      </c>
      <c r="U28" s="774">
        <f t="shared" ref="U28:U40" si="13">H28</f>
        <v>100</v>
      </c>
      <c r="V28" s="773" t="s">
        <v>17</v>
      </c>
      <c r="W28" s="774">
        <f t="shared" ref="W28:W40" si="14">J28</f>
        <v>100</v>
      </c>
      <c r="X28" s="1812"/>
      <c r="Y28" s="3253"/>
      <c r="Z28" s="1813">
        <f t="shared" ref="Z28:Z40" si="15">Q28</f>
        <v>111</v>
      </c>
      <c r="AA28" s="1810">
        <f t="shared" si="3"/>
        <v>1</v>
      </c>
      <c r="AB28" s="1810">
        <f t="shared" si="4"/>
        <v>1</v>
      </c>
      <c r="AC28" s="1810">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276" t="s">
        <v>2565</v>
      </c>
      <c r="Q29" s="1809" t="str">
        <f t="shared" si="11"/>
        <v>建筑类型</v>
      </c>
      <c r="R29" s="773" t="s">
        <v>17</v>
      </c>
      <c r="S29" s="774">
        <f t="shared" si="12"/>
        <v>100</v>
      </c>
      <c r="T29" s="773" t="s">
        <v>17</v>
      </c>
      <c r="U29" s="774">
        <f t="shared" si="13"/>
        <v>100</v>
      </c>
      <c r="V29" s="773" t="s">
        <v>17</v>
      </c>
      <c r="W29" s="774">
        <f t="shared" si="14"/>
        <v>100</v>
      </c>
      <c r="X29" s="1812"/>
      <c r="Y29" s="3257"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7"/>
      <c r="Q30" s="775" t="str">
        <f t="shared" si="11"/>
        <v>项目建筑规模</v>
      </c>
      <c r="R30" s="776" t="s">
        <v>17</v>
      </c>
      <c r="S30" s="777" t="e">
        <f t="shared" si="12"/>
        <v>#N/A</v>
      </c>
      <c r="T30" s="776" t="s">
        <v>17</v>
      </c>
      <c r="U30" s="777" t="e">
        <f t="shared" si="13"/>
        <v>#N/A</v>
      </c>
      <c r="V30" s="776" t="s">
        <v>17</v>
      </c>
      <c r="W30" s="777" t="e">
        <f t="shared" si="14"/>
        <v>#N/A</v>
      </c>
      <c r="X30" s="778"/>
      <c r="Y30" s="3257"/>
      <c r="Z30" s="779"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7"/>
      <c r="Q31" s="1809" t="str">
        <f t="shared" si="11"/>
        <v>建筑结构</v>
      </c>
      <c r="R31" s="773" t="s">
        <v>17</v>
      </c>
      <c r="S31" s="774">
        <f t="shared" si="12"/>
        <v>100</v>
      </c>
      <c r="T31" s="773" t="s">
        <v>17</v>
      </c>
      <c r="U31" s="774">
        <f t="shared" si="13"/>
        <v>100</v>
      </c>
      <c r="V31" s="773" t="s">
        <v>17</v>
      </c>
      <c r="W31" s="774">
        <f t="shared" si="14"/>
        <v>100</v>
      </c>
      <c r="X31" s="1812"/>
      <c r="Y31" s="3257"/>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7"/>
      <c r="Q32" s="1809" t="str">
        <f t="shared" si="11"/>
        <v>公共部分装修</v>
      </c>
      <c r="R32" s="773" t="s">
        <v>17</v>
      </c>
      <c r="S32" s="774">
        <f t="shared" si="12"/>
        <v>100</v>
      </c>
      <c r="T32" s="773" t="s">
        <v>17</v>
      </c>
      <c r="U32" s="774">
        <f t="shared" si="13"/>
        <v>100</v>
      </c>
      <c r="V32" s="773" t="s">
        <v>17</v>
      </c>
      <c r="W32" s="774">
        <f t="shared" si="14"/>
        <v>100</v>
      </c>
      <c r="X32" s="1812"/>
      <c r="Y32" s="3257"/>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7"/>
      <c r="Q33" s="1809" t="str">
        <f t="shared" si="11"/>
        <v>成新度</v>
      </c>
      <c r="R33" s="773" t="s">
        <v>17</v>
      </c>
      <c r="S33" s="774" t="e">
        <f t="shared" si="12"/>
        <v>#N/A</v>
      </c>
      <c r="T33" s="773" t="s">
        <v>17</v>
      </c>
      <c r="U33" s="774" t="e">
        <f t="shared" si="13"/>
        <v>#N/A</v>
      </c>
      <c r="V33" s="773" t="s">
        <v>17</v>
      </c>
      <c r="W33" s="774" t="e">
        <f t="shared" si="14"/>
        <v>#N/A</v>
      </c>
      <c r="X33" s="1812"/>
      <c r="Y33" s="3257"/>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7"/>
      <c r="Q34" s="1794" t="str">
        <f t="shared" si="11"/>
        <v>物业管理</v>
      </c>
      <c r="R34" s="769" t="s">
        <v>17</v>
      </c>
      <c r="S34" s="770">
        <f t="shared" si="12"/>
        <v>100</v>
      </c>
      <c r="T34" s="769" t="s">
        <v>17</v>
      </c>
      <c r="U34" s="770">
        <f t="shared" si="13"/>
        <v>100</v>
      </c>
      <c r="V34" s="769" t="s">
        <v>17</v>
      </c>
      <c r="W34" s="770">
        <f t="shared" si="14"/>
        <v>100</v>
      </c>
      <c r="X34" s="771"/>
      <c r="Y34" s="3257"/>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7" t="s">
        <v>2565</v>
      </c>
      <c r="Q35" s="1809" t="str">
        <f t="shared" si="11"/>
        <v>市政基础设施</v>
      </c>
      <c r="R35" s="773" t="s">
        <v>17</v>
      </c>
      <c r="S35" s="774">
        <f t="shared" si="12"/>
        <v>100</v>
      </c>
      <c r="T35" s="773" t="s">
        <v>17</v>
      </c>
      <c r="U35" s="774">
        <f t="shared" si="13"/>
        <v>100</v>
      </c>
      <c r="V35" s="773" t="s">
        <v>17</v>
      </c>
      <c r="W35" s="774">
        <f t="shared" si="14"/>
        <v>100</v>
      </c>
      <c r="X35" s="1812"/>
      <c r="Y35" s="3257"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7"/>
      <c r="Q36" s="1809" t="str">
        <f t="shared" si="11"/>
        <v>内部装修</v>
      </c>
      <c r="R36" s="773" t="s">
        <v>17</v>
      </c>
      <c r="S36" s="774">
        <f t="shared" si="12"/>
        <v>100</v>
      </c>
      <c r="T36" s="773" t="s">
        <v>17</v>
      </c>
      <c r="U36" s="774">
        <f t="shared" si="13"/>
        <v>100</v>
      </c>
      <c r="V36" s="773" t="s">
        <v>17</v>
      </c>
      <c r="W36" s="774">
        <f t="shared" si="14"/>
        <v>100</v>
      </c>
      <c r="X36" s="1812"/>
      <c r="Y36" s="3257"/>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7"/>
      <c r="Q37" s="1809" t="str">
        <f t="shared" si="11"/>
        <v>内部装修状况</v>
      </c>
      <c r="R37" s="773" t="s">
        <v>17</v>
      </c>
      <c r="S37" s="774">
        <f t="shared" si="12"/>
        <v>100</v>
      </c>
      <c r="T37" s="773" t="s">
        <v>17</v>
      </c>
      <c r="U37" s="774">
        <f t="shared" si="13"/>
        <v>100</v>
      </c>
      <c r="V37" s="773" t="s">
        <v>17</v>
      </c>
      <c r="W37" s="774">
        <f t="shared" si="14"/>
        <v>100</v>
      </c>
      <c r="X37" s="1812"/>
      <c r="Y37" s="325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7"/>
      <c r="Q38" s="775">
        <f t="shared" si="11"/>
        <v>111</v>
      </c>
      <c r="R38" s="776" t="s">
        <v>17</v>
      </c>
      <c r="S38" s="777">
        <f t="shared" si="12"/>
        <v>100</v>
      </c>
      <c r="T38" s="776" t="s">
        <v>17</v>
      </c>
      <c r="U38" s="777">
        <f t="shared" si="13"/>
        <v>100</v>
      </c>
      <c r="V38" s="776" t="s">
        <v>17</v>
      </c>
      <c r="W38" s="777">
        <f t="shared" si="14"/>
        <v>100</v>
      </c>
      <c r="X38" s="778"/>
      <c r="Y38" s="3257"/>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7"/>
      <c r="Q39" s="1809">
        <f t="shared" si="11"/>
        <v>111</v>
      </c>
      <c r="R39" s="773" t="s">
        <v>17</v>
      </c>
      <c r="S39" s="774">
        <f t="shared" si="12"/>
        <v>100</v>
      </c>
      <c r="T39" s="773" t="s">
        <v>17</v>
      </c>
      <c r="U39" s="774">
        <f t="shared" si="13"/>
        <v>100</v>
      </c>
      <c r="V39" s="773" t="s">
        <v>17</v>
      </c>
      <c r="W39" s="774">
        <f t="shared" si="14"/>
        <v>100</v>
      </c>
      <c r="X39" s="1812"/>
      <c r="Y39" s="3257"/>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8"/>
      <c r="Q40" s="1809">
        <f t="shared" si="11"/>
        <v>111</v>
      </c>
      <c r="R40" s="773" t="s">
        <v>17</v>
      </c>
      <c r="S40" s="774">
        <f t="shared" si="12"/>
        <v>100</v>
      </c>
      <c r="T40" s="773" t="s">
        <v>17</v>
      </c>
      <c r="U40" s="774">
        <f t="shared" si="13"/>
        <v>100</v>
      </c>
      <c r="V40" s="773" t="s">
        <v>17</v>
      </c>
      <c r="W40" s="774">
        <f t="shared" si="14"/>
        <v>100</v>
      </c>
      <c r="X40" s="1812"/>
      <c r="Y40" s="3258"/>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2"/>
      <c r="L41" s="1142"/>
      <c r="M41" s="1143"/>
      <c r="N41" s="1130"/>
      <c r="O41" s="1143"/>
      <c r="P41" s="3250" t="str">
        <f>A41</f>
        <v>成交单价（元/平方米）</v>
      </c>
      <c r="Q41" s="3250"/>
      <c r="R41" s="3251">
        <f>E41</f>
        <v>0</v>
      </c>
      <c r="S41" s="3251"/>
      <c r="T41" s="3251">
        <f>G41</f>
        <v>0</v>
      </c>
      <c r="U41" s="3251"/>
      <c r="V41" s="3251">
        <f>I41</f>
        <v>0</v>
      </c>
      <c r="W41" s="3251"/>
      <c r="X41" s="758"/>
      <c r="Y41" s="780"/>
      <c r="Z41" s="758"/>
      <c r="AA41" s="758"/>
      <c r="AB41" s="758"/>
      <c r="AC41" s="758"/>
    </row>
    <row r="42" spans="1:29" ht="15.75" thickBot="1">
      <c r="A42" s="486" t="s">
        <v>2669</v>
      </c>
      <c r="B42" s="487"/>
      <c r="C42" s="1412" t="e">
        <f>R43</f>
        <v>#DIV/0!</v>
      </c>
      <c r="D42" s="1413"/>
      <c r="E42" s="1414" t="e">
        <f>R42</f>
        <v>#DIV/0!</v>
      </c>
      <c r="F42" s="1414"/>
      <c r="G42" s="1412" t="e">
        <f>T42</f>
        <v>#DIV/0!</v>
      </c>
      <c r="H42" s="1413"/>
      <c r="I42" s="1414" t="e">
        <f>V42</f>
        <v>#DIV/0!</v>
      </c>
      <c r="J42" s="1413"/>
      <c r="K42" s="783"/>
      <c r="L42" s="1142"/>
      <c r="M42" s="1143"/>
      <c r="N42" s="1130"/>
      <c r="O42" s="1143"/>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8"/>
      <c r="Y42" s="758"/>
      <c r="Z42" s="758"/>
      <c r="AA42" s="758"/>
      <c r="AB42" s="758"/>
      <c r="AC42" s="758"/>
    </row>
    <row r="43" spans="1:29" ht="15.75" thickBot="1">
      <c r="A43" s="492" t="s">
        <v>2670</v>
      </c>
      <c r="B43" s="493"/>
      <c r="C43" s="1416" t="e">
        <f>R43</f>
        <v>#DIV/0!</v>
      </c>
      <c r="D43" s="1416"/>
      <c r="E43" s="1416"/>
      <c r="F43" s="1416"/>
      <c r="G43" s="1416"/>
      <c r="H43" s="1416"/>
      <c r="I43" s="1416"/>
      <c r="J43" s="1416"/>
      <c r="K43" s="784"/>
      <c r="L43" s="1142"/>
      <c r="M43" s="1143"/>
      <c r="N43" s="1143"/>
      <c r="O43" s="1143"/>
      <c r="P43" s="3247" t="str">
        <f>A43</f>
        <v>估价对象XX用房的比较价值（楼面单价，元/平方米）</v>
      </c>
      <c r="Q43" s="3248"/>
      <c r="R43" s="3249" t="e">
        <f>IF(F1="售价",ROUND(AVERAGE(R42:V42),0),ROUND(AVERAGE(R42:V42),1))</f>
        <v>#DIV/0!</v>
      </c>
      <c r="S43" s="3249"/>
      <c r="T43" s="3249"/>
      <c r="U43" s="3249"/>
      <c r="V43" s="3249"/>
      <c r="W43" s="324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3"/>
      <c r="Q51" s="504"/>
    </row>
    <row r="52" spans="1:17" s="508" customFormat="1" ht="15">
      <c r="A52" s="505" t="s">
        <v>2548</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2588</v>
      </c>
      <c r="B57" s="528" t="s">
        <v>2554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2563</v>
      </c>
      <c r="B88" s="528" t="s">
        <v>2612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4"/>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6"/>
      <c r="D2" s="1123" t="e">
        <f ca="1">SUMIF(INDIRECT("'"&amp;F2&amp;"'"&amp;"!A:A"),"承租人权益价值",INDIRECT("'"&amp;F2&amp;"'"&amp;"!c:c"))</f>
        <v>#REF!</v>
      </c>
      <c r="E2" s="2587" t="s">
        <v>2328</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2645</v>
      </c>
      <c r="B4" s="402"/>
      <c r="C4" s="3233" t="s">
        <v>2646</v>
      </c>
      <c r="D4" s="3234"/>
      <c r="E4" s="3235" t="s">
        <v>2647</v>
      </c>
      <c r="F4" s="3236"/>
      <c r="G4" s="3233" t="s">
        <v>2648</v>
      </c>
      <c r="H4" s="3234"/>
      <c r="I4" s="3233" t="s">
        <v>2649</v>
      </c>
      <c r="J4" s="3234"/>
      <c r="K4" s="610" t="s">
        <v>2650</v>
      </c>
      <c r="L4" s="1129"/>
      <c r="M4" s="1130"/>
      <c r="N4" s="1130"/>
      <c r="O4" s="1130"/>
      <c r="P4" s="3237" t="s">
        <v>2651</v>
      </c>
      <c r="Q4" s="3238"/>
      <c r="R4" s="3220" t="s">
        <v>2647</v>
      </c>
      <c r="S4" s="3221"/>
      <c r="T4" s="3220" t="s">
        <v>2648</v>
      </c>
      <c r="U4" s="3221"/>
      <c r="V4" s="3245" t="s">
        <v>2649</v>
      </c>
      <c r="W4" s="3245"/>
      <c r="X4" s="1812"/>
      <c r="Y4" s="3220" t="s">
        <v>2651</v>
      </c>
      <c r="Z4" s="3221"/>
      <c r="AA4" s="3215" t="s">
        <v>2647</v>
      </c>
      <c r="AB4" s="3216" t="s">
        <v>2648</v>
      </c>
      <c r="AC4" s="3215" t="s">
        <v>2649</v>
      </c>
    </row>
    <row r="5" spans="1:29" ht="15">
      <c r="A5" s="404"/>
      <c r="B5" s="405"/>
      <c r="C5" s="3226" t="s">
        <v>2542</v>
      </c>
      <c r="D5" s="3227"/>
      <c r="E5" s="3224" t="s">
        <v>2543</v>
      </c>
      <c r="F5" s="3225"/>
      <c r="G5" s="3226" t="s">
        <v>2544</v>
      </c>
      <c r="H5" s="3227"/>
      <c r="I5" s="3226" t="s">
        <v>2545</v>
      </c>
      <c r="J5" s="3227"/>
      <c r="K5" s="610"/>
      <c r="L5" s="1129"/>
      <c r="M5" s="1130"/>
      <c r="N5" s="1130"/>
      <c r="O5" s="1130"/>
      <c r="P5" s="3239"/>
      <c r="Q5" s="3240"/>
      <c r="R5" s="3222"/>
      <c r="S5" s="3223"/>
      <c r="T5" s="3222"/>
      <c r="U5" s="3223"/>
      <c r="V5" s="3245"/>
      <c r="W5" s="3245"/>
      <c r="X5" s="1812"/>
      <c r="Y5" s="3222"/>
      <c r="Z5" s="3223"/>
      <c r="AA5" s="3216"/>
      <c r="AB5" s="3216"/>
      <c r="AC5" s="3216"/>
    </row>
    <row r="6" spans="1:29" ht="15.75" thickBot="1">
      <c r="A6" s="406"/>
      <c r="B6" s="407"/>
      <c r="C6" s="3228" t="s">
        <v>2546</v>
      </c>
      <c r="D6" s="3229"/>
      <c r="E6" s="3230" t="s">
        <v>2546</v>
      </c>
      <c r="F6" s="3231"/>
      <c r="G6" s="3228" t="s">
        <v>2546</v>
      </c>
      <c r="H6" s="3229"/>
      <c r="I6" s="3228" t="s">
        <v>2546</v>
      </c>
      <c r="J6" s="3229"/>
      <c r="K6" s="610" t="s">
        <v>2547</v>
      </c>
      <c r="L6" s="1129"/>
      <c r="M6" s="1130"/>
      <c r="N6" s="1130"/>
      <c r="O6" s="1130"/>
      <c r="P6" s="3241"/>
      <c r="Q6" s="3242"/>
      <c r="R6" s="3222"/>
      <c r="S6" s="3223"/>
      <c r="T6" s="3243"/>
      <c r="U6" s="3244"/>
      <c r="V6" s="3245"/>
      <c r="W6" s="3245"/>
      <c r="X6" s="1812"/>
      <c r="Y6" s="3243"/>
      <c r="Z6" s="3244"/>
      <c r="AA6" s="3217"/>
      <c r="AB6" s="3217"/>
      <c r="AC6" s="3217"/>
    </row>
    <row r="7" spans="1:29" s="117" customFormat="1" ht="15.75" thickBot="1">
      <c r="A7" s="408" t="s">
        <v>2548</v>
      </c>
      <c r="B7" s="409"/>
      <c r="C7" s="410">
        <f>'数据-取费表'!B2</f>
        <v>43761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8" t="s">
        <v>2549</v>
      </c>
      <c r="Q7" s="3246"/>
      <c r="R7" s="769" t="s">
        <v>17</v>
      </c>
      <c r="S7" s="770">
        <f t="shared" ref="S7:S14" si="0">F7</f>
        <v>0</v>
      </c>
      <c r="T7" s="769" t="s">
        <v>17</v>
      </c>
      <c r="U7" s="770">
        <f t="shared" ref="U7:U14" si="1">H7</f>
        <v>0</v>
      </c>
      <c r="V7" s="769" t="s">
        <v>17</v>
      </c>
      <c r="W7" s="770">
        <f t="shared" ref="W7:W14" si="2">J7</f>
        <v>0</v>
      </c>
      <c r="X7" s="771"/>
      <c r="Y7" s="3218" t="s">
        <v>2549</v>
      </c>
      <c r="Z7" s="3219"/>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36" si="3">D8/F8</f>
        <v>#DIV/0!</v>
      </c>
      <c r="AB8" s="772" t="e">
        <f t="shared" ref="AB8:AB36" si="4">D8/H8</f>
        <v>#DIV/0!</v>
      </c>
      <c r="AC8" s="772"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0" t="s">
        <v>2555</v>
      </c>
      <c r="Q9" s="1794" t="str">
        <f t="shared" ref="Q9:Q14" si="6">B9</f>
        <v>用途</v>
      </c>
      <c r="R9" s="769" t="s">
        <v>17</v>
      </c>
      <c r="S9" s="770">
        <f t="shared" si="0"/>
        <v>100</v>
      </c>
      <c r="T9" s="769" t="s">
        <v>17</v>
      </c>
      <c r="U9" s="770">
        <f t="shared" si="1"/>
        <v>100</v>
      </c>
      <c r="V9" s="769" t="s">
        <v>17</v>
      </c>
      <c r="W9" s="770">
        <f t="shared" si="2"/>
        <v>100</v>
      </c>
      <c r="X9" s="771"/>
      <c r="Y9" s="3065" t="s">
        <v>2556</v>
      </c>
      <c r="Z9" s="55" t="str">
        <f t="shared" ref="Z9:Z14" si="7">Q9</f>
        <v>用途</v>
      </c>
      <c r="AA9" s="772">
        <f t="shared" si="3"/>
        <v>1</v>
      </c>
      <c r="AB9" s="772">
        <f t="shared" si="4"/>
        <v>1</v>
      </c>
      <c r="AC9" s="772">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0"/>
      <c r="Q10" s="1794"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0"/>
      <c r="Q11" s="1794">
        <f t="shared" si="6"/>
        <v>111</v>
      </c>
      <c r="R11" s="769" t="s">
        <v>17</v>
      </c>
      <c r="S11" s="770">
        <f t="shared" si="0"/>
        <v>100</v>
      </c>
      <c r="T11" s="769" t="s">
        <v>17</v>
      </c>
      <c r="U11" s="770">
        <f t="shared" si="1"/>
        <v>100</v>
      </c>
      <c r="V11" s="769" t="s">
        <v>17</v>
      </c>
      <c r="W11" s="770">
        <f t="shared" si="2"/>
        <v>100</v>
      </c>
      <c r="X11" s="771"/>
      <c r="Y11" s="306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0"/>
      <c r="Q12" s="1794">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0"/>
      <c r="Q13" s="1794">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2" t="s">
        <v>2560</v>
      </c>
      <c r="Q14" s="1809" t="str">
        <f t="shared" si="6"/>
        <v>交通便捷度</v>
      </c>
      <c r="R14" s="773" t="s">
        <v>17</v>
      </c>
      <c r="S14" s="774">
        <f t="shared" si="0"/>
        <v>100</v>
      </c>
      <c r="T14" s="773" t="s">
        <v>17</v>
      </c>
      <c r="U14" s="774">
        <f t="shared" si="1"/>
        <v>100</v>
      </c>
      <c r="V14" s="773" t="s">
        <v>17</v>
      </c>
      <c r="W14" s="774">
        <f t="shared" si="2"/>
        <v>100</v>
      </c>
      <c r="X14" s="1812"/>
      <c r="Y14" s="3252"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53"/>
      <c r="Q15" s="1809"/>
      <c r="R15" s="773"/>
      <c r="S15" s="774"/>
      <c r="T15" s="773"/>
      <c r="U15" s="774"/>
      <c r="V15" s="773"/>
      <c r="W15" s="774"/>
      <c r="X15" s="1812"/>
      <c r="Y15" s="3253"/>
      <c r="Z15" s="1813"/>
      <c r="AA15" s="1810">
        <v>1</v>
      </c>
      <c r="AB15" s="1810">
        <v>1</v>
      </c>
      <c r="AC15" s="1810">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3"/>
      <c r="Q16" s="1809" t="str">
        <f>B16</f>
        <v>公共配套设施</v>
      </c>
      <c r="R16" s="773" t="s">
        <v>17</v>
      </c>
      <c r="S16" s="774">
        <f>F16</f>
        <v>100</v>
      </c>
      <c r="T16" s="773" t="s">
        <v>17</v>
      </c>
      <c r="U16" s="774">
        <f>H16</f>
        <v>100</v>
      </c>
      <c r="V16" s="773" t="s">
        <v>17</v>
      </c>
      <c r="W16" s="774">
        <f>J16</f>
        <v>100</v>
      </c>
      <c r="X16" s="1812"/>
      <c r="Y16" s="3253"/>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253"/>
      <c r="Q17" s="1809"/>
      <c r="R17" s="773"/>
      <c r="S17" s="774"/>
      <c r="T17" s="773"/>
      <c r="U17" s="774"/>
      <c r="V17" s="773"/>
      <c r="W17" s="774"/>
      <c r="X17" s="1812"/>
      <c r="Y17" s="3253"/>
      <c r="Z17" s="1813"/>
      <c r="AA17" s="1810">
        <v>1</v>
      </c>
      <c r="AB17" s="1810">
        <v>1</v>
      </c>
      <c r="AC17" s="1810">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3"/>
      <c r="Q18" s="1809" t="str">
        <f>B18</f>
        <v>基础设施水平</v>
      </c>
      <c r="R18" s="773" t="s">
        <v>17</v>
      </c>
      <c r="S18" s="774">
        <f>F18</f>
        <v>100</v>
      </c>
      <c r="T18" s="773" t="s">
        <v>17</v>
      </c>
      <c r="U18" s="774">
        <f>H18</f>
        <v>100</v>
      </c>
      <c r="V18" s="773" t="s">
        <v>17</v>
      </c>
      <c r="W18" s="774">
        <f>J18</f>
        <v>100</v>
      </c>
      <c r="X18" s="1812"/>
      <c r="Y18" s="3253"/>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253"/>
      <c r="Q19" s="1809"/>
      <c r="R19" s="773"/>
      <c r="S19" s="774"/>
      <c r="T19" s="773"/>
      <c r="U19" s="774"/>
      <c r="V19" s="773"/>
      <c r="W19" s="774"/>
      <c r="X19" s="1812"/>
      <c r="Y19" s="3253"/>
      <c r="Z19" s="1813"/>
      <c r="AA19" s="1810">
        <v>1</v>
      </c>
      <c r="AB19" s="1810">
        <v>1</v>
      </c>
      <c r="AC19" s="1810">
        <v>1</v>
      </c>
    </row>
    <row r="20" spans="1:29" ht="57">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3"/>
      <c r="Q20" s="1809" t="str">
        <f>B20</f>
        <v>自然及人文环境</v>
      </c>
      <c r="R20" s="773" t="s">
        <v>17</v>
      </c>
      <c r="S20" s="774">
        <f>F20</f>
        <v>100</v>
      </c>
      <c r="T20" s="773" t="s">
        <v>17</v>
      </c>
      <c r="U20" s="774">
        <f>H20</f>
        <v>100</v>
      </c>
      <c r="V20" s="773" t="s">
        <v>17</v>
      </c>
      <c r="W20" s="774">
        <f>J20</f>
        <v>100</v>
      </c>
      <c r="X20" s="1812"/>
      <c r="Y20" s="325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53"/>
      <c r="Q21" s="1809"/>
      <c r="R21" s="773"/>
      <c r="S21" s="774"/>
      <c r="T21" s="773"/>
      <c r="U21" s="774"/>
      <c r="V21" s="773"/>
      <c r="W21" s="774"/>
      <c r="X21" s="1812"/>
      <c r="Y21" s="3253"/>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3"/>
      <c r="Q22" s="1809" t="str">
        <f>B22</f>
        <v>楼层</v>
      </c>
      <c r="R22" s="773" t="s">
        <v>17</v>
      </c>
      <c r="S22" s="774">
        <f>F22</f>
        <v>100</v>
      </c>
      <c r="T22" s="773" t="s">
        <v>17</v>
      </c>
      <c r="U22" s="774">
        <f>H22</f>
        <v>100</v>
      </c>
      <c r="V22" s="773" t="s">
        <v>17</v>
      </c>
      <c r="W22" s="774">
        <f>J22</f>
        <v>100</v>
      </c>
      <c r="X22" s="1812"/>
      <c r="Y22" s="325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3"/>
      <c r="Q23" s="1809">
        <f>B23</f>
        <v>111</v>
      </c>
      <c r="R23" s="773" t="s">
        <v>17</v>
      </c>
      <c r="S23" s="774">
        <f>F23</f>
        <v>100</v>
      </c>
      <c r="T23" s="773" t="s">
        <v>17</v>
      </c>
      <c r="U23" s="774">
        <f>H23</f>
        <v>100</v>
      </c>
      <c r="V23" s="773" t="s">
        <v>17</v>
      </c>
      <c r="W23" s="774">
        <f>J23</f>
        <v>100</v>
      </c>
      <c r="X23" s="1812"/>
      <c r="Y23" s="325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3"/>
      <c r="Q24" s="1809">
        <f t="shared" ref="Q24:Q36" si="11">B24</f>
        <v>111</v>
      </c>
      <c r="R24" s="773" t="s">
        <v>17</v>
      </c>
      <c r="S24" s="774">
        <f>F24</f>
        <v>100</v>
      </c>
      <c r="T24" s="773" t="s">
        <v>17</v>
      </c>
      <c r="U24" s="774">
        <f>H24</f>
        <v>100</v>
      </c>
      <c r="V24" s="773" t="s">
        <v>17</v>
      </c>
      <c r="W24" s="774">
        <f>J24</f>
        <v>100</v>
      </c>
      <c r="X24" s="1812"/>
      <c r="Y24" s="325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3"/>
      <c r="Q25" s="1794">
        <f t="shared" si="11"/>
        <v>111</v>
      </c>
      <c r="R25" s="769" t="s">
        <v>17</v>
      </c>
      <c r="S25" s="770">
        <f>F25</f>
        <v>100</v>
      </c>
      <c r="T25" s="769" t="s">
        <v>17</v>
      </c>
      <c r="U25" s="770">
        <f>H25</f>
        <v>100</v>
      </c>
      <c r="V25" s="769" t="s">
        <v>17</v>
      </c>
      <c r="W25" s="770">
        <f>J25</f>
        <v>100</v>
      </c>
      <c r="X25" s="771"/>
      <c r="Y25" s="3253"/>
      <c r="Z25" s="55">
        <f>Q25</f>
        <v>111</v>
      </c>
      <c r="AA25" s="1810">
        <f>D25/F25</f>
        <v>1</v>
      </c>
      <c r="AB25" s="1810">
        <f>D25/H25</f>
        <v>1</v>
      </c>
      <c r="AC25" s="1810">
        <f>D25/J25</f>
        <v>1</v>
      </c>
    </row>
    <row r="26" spans="1:29" ht="28.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6" t="s">
        <v>2565</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57"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57"/>
      <c r="Q27" s="775" t="str">
        <f t="shared" si="11"/>
        <v>项目停车位配比</v>
      </c>
      <c r="R27" s="776" t="s">
        <v>17</v>
      </c>
      <c r="S27" s="777">
        <f t="shared" si="12"/>
        <v>100</v>
      </c>
      <c r="T27" s="776" t="s">
        <v>17</v>
      </c>
      <c r="U27" s="777">
        <f t="shared" si="13"/>
        <v>100</v>
      </c>
      <c r="V27" s="776" t="s">
        <v>17</v>
      </c>
      <c r="W27" s="777">
        <f t="shared" si="14"/>
        <v>100</v>
      </c>
      <c r="X27" s="778"/>
      <c r="Y27" s="3257"/>
      <c r="Z27" s="779"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7"/>
      <c r="Q28" s="1809" t="str">
        <f t="shared" si="11"/>
        <v>公共部分装修</v>
      </c>
      <c r="R28" s="773" t="s">
        <v>17</v>
      </c>
      <c r="S28" s="774">
        <f t="shared" si="12"/>
        <v>100</v>
      </c>
      <c r="T28" s="773" t="s">
        <v>17</v>
      </c>
      <c r="U28" s="774">
        <f t="shared" si="13"/>
        <v>100</v>
      </c>
      <c r="V28" s="773" t="s">
        <v>17</v>
      </c>
      <c r="W28" s="774">
        <f t="shared" si="14"/>
        <v>100</v>
      </c>
      <c r="X28" s="1812"/>
      <c r="Y28" s="3257"/>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7"/>
      <c r="Q29" s="1809" t="str">
        <f t="shared" si="11"/>
        <v>成新率</v>
      </c>
      <c r="R29" s="773" t="s">
        <v>17</v>
      </c>
      <c r="S29" s="774" t="e">
        <f t="shared" si="12"/>
        <v>#N/A</v>
      </c>
      <c r="T29" s="773" t="s">
        <v>17</v>
      </c>
      <c r="U29" s="774" t="e">
        <f t="shared" si="13"/>
        <v>#N/A</v>
      </c>
      <c r="V29" s="773" t="s">
        <v>17</v>
      </c>
      <c r="W29" s="774" t="e">
        <f t="shared" si="14"/>
        <v>#N/A</v>
      </c>
      <c r="X29" s="1812"/>
      <c r="Y29" s="3257"/>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57"/>
      <c r="Q30" s="1809" t="str">
        <f t="shared" si="11"/>
        <v>物业等级</v>
      </c>
      <c r="R30" s="773" t="s">
        <v>17</v>
      </c>
      <c r="S30" s="774">
        <f t="shared" si="12"/>
        <v>100</v>
      </c>
      <c r="T30" s="773" t="s">
        <v>17</v>
      </c>
      <c r="U30" s="774">
        <f t="shared" si="13"/>
        <v>100</v>
      </c>
      <c r="V30" s="773" t="s">
        <v>17</v>
      </c>
      <c r="W30" s="774">
        <f t="shared" si="14"/>
        <v>100</v>
      </c>
      <c r="X30" s="1812"/>
      <c r="Y30" s="3257"/>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7"/>
      <c r="Q31" s="1794" t="str">
        <f t="shared" si="11"/>
        <v>停车位面积</v>
      </c>
      <c r="R31" s="769" t="s">
        <v>17</v>
      </c>
      <c r="S31" s="770" t="e">
        <f t="shared" si="12"/>
        <v>#N/A</v>
      </c>
      <c r="T31" s="769" t="s">
        <v>17</v>
      </c>
      <c r="U31" s="770" t="e">
        <f t="shared" si="13"/>
        <v>#N/A</v>
      </c>
      <c r="V31" s="769" t="s">
        <v>17</v>
      </c>
      <c r="W31" s="770" t="e">
        <f t="shared" si="14"/>
        <v>#N/A</v>
      </c>
      <c r="X31" s="771"/>
      <c r="Y31" s="3257"/>
      <c r="Z31" s="55" t="str">
        <f t="shared" si="15"/>
        <v>停车位面积</v>
      </c>
      <c r="AA31" s="772" t="e">
        <f t="shared" si="3"/>
        <v>#N/A</v>
      </c>
      <c r="AB31" s="772" t="e">
        <f t="shared" si="4"/>
        <v>#N/A</v>
      </c>
      <c r="AC31" s="772"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7" t="s">
        <v>2565</v>
      </c>
      <c r="Q32" s="1809" t="str">
        <f t="shared" si="11"/>
        <v>车位类型</v>
      </c>
      <c r="R32" s="773" t="s">
        <v>17</v>
      </c>
      <c r="S32" s="774">
        <f t="shared" si="12"/>
        <v>100</v>
      </c>
      <c r="T32" s="773" t="s">
        <v>17</v>
      </c>
      <c r="U32" s="774">
        <f t="shared" si="13"/>
        <v>100</v>
      </c>
      <c r="V32" s="773" t="s">
        <v>17</v>
      </c>
      <c r="W32" s="774">
        <f t="shared" si="14"/>
        <v>100</v>
      </c>
      <c r="X32" s="1812"/>
      <c r="Y32" s="3257"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7"/>
      <c r="Q33" s="1809" t="str">
        <f t="shared" si="11"/>
        <v>是否直接入户</v>
      </c>
      <c r="R33" s="773" t="s">
        <v>17</v>
      </c>
      <c r="S33" s="774">
        <f t="shared" si="12"/>
        <v>100</v>
      </c>
      <c r="T33" s="773" t="s">
        <v>17</v>
      </c>
      <c r="U33" s="774">
        <f t="shared" si="13"/>
        <v>100</v>
      </c>
      <c r="V33" s="773" t="s">
        <v>17</v>
      </c>
      <c r="W33" s="774">
        <f t="shared" si="14"/>
        <v>100</v>
      </c>
      <c r="X33" s="1812"/>
      <c r="Y33" s="325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7"/>
      <c r="Q34" s="1809">
        <f t="shared" si="11"/>
        <v>111</v>
      </c>
      <c r="R34" s="773" t="s">
        <v>17</v>
      </c>
      <c r="S34" s="774">
        <f t="shared" si="12"/>
        <v>100</v>
      </c>
      <c r="T34" s="773" t="s">
        <v>17</v>
      </c>
      <c r="U34" s="774">
        <f t="shared" si="13"/>
        <v>100</v>
      </c>
      <c r="V34" s="773" t="s">
        <v>17</v>
      </c>
      <c r="W34" s="774">
        <f t="shared" si="14"/>
        <v>100</v>
      </c>
      <c r="X34" s="1812"/>
      <c r="Y34" s="325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7"/>
      <c r="Q35" s="775">
        <f t="shared" si="11"/>
        <v>111</v>
      </c>
      <c r="R35" s="776" t="s">
        <v>17</v>
      </c>
      <c r="S35" s="777">
        <f t="shared" si="12"/>
        <v>100</v>
      </c>
      <c r="T35" s="776" t="s">
        <v>17</v>
      </c>
      <c r="U35" s="777">
        <f t="shared" si="13"/>
        <v>100</v>
      </c>
      <c r="V35" s="776" t="s">
        <v>17</v>
      </c>
      <c r="W35" s="777">
        <f t="shared" si="14"/>
        <v>100</v>
      </c>
      <c r="X35" s="778"/>
      <c r="Y35" s="3257"/>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7"/>
      <c r="Q36" s="1809">
        <f t="shared" si="11"/>
        <v>111</v>
      </c>
      <c r="R36" s="773" t="s">
        <v>17</v>
      </c>
      <c r="S36" s="774">
        <f t="shared" si="12"/>
        <v>100</v>
      </c>
      <c r="T36" s="773" t="s">
        <v>17</v>
      </c>
      <c r="U36" s="774">
        <f t="shared" si="13"/>
        <v>100</v>
      </c>
      <c r="V36" s="773" t="s">
        <v>17</v>
      </c>
      <c r="W36" s="774">
        <f t="shared" si="14"/>
        <v>100</v>
      </c>
      <c r="X36" s="1812"/>
      <c r="Y36" s="3257"/>
      <c r="Z36" s="1813">
        <f t="shared" si="15"/>
        <v>111</v>
      </c>
      <c r="AA36" s="1810">
        <f t="shared" si="3"/>
        <v>1</v>
      </c>
      <c r="AB36" s="1810">
        <f t="shared" si="4"/>
        <v>1</v>
      </c>
      <c r="AC36" s="1810">
        <f t="shared" si="5"/>
        <v>1</v>
      </c>
    </row>
    <row r="37" spans="1:29" ht="15">
      <c r="A37" s="479" t="s">
        <v>2720</v>
      </c>
      <c r="B37" s="2695" t="s">
        <v>2721</v>
      </c>
      <c r="C37" s="1406" t="s">
        <v>1</v>
      </c>
      <c r="D37" s="1407"/>
      <c r="E37" s="1408"/>
      <c r="F37" s="1409"/>
      <c r="G37" s="1410"/>
      <c r="H37" s="1411"/>
      <c r="I37" s="1408"/>
      <c r="J37" s="1411"/>
      <c r="K37" s="619"/>
      <c r="L37" s="1142"/>
      <c r="M37" s="1143"/>
      <c r="N37" s="1130"/>
      <c r="O37" s="1143"/>
      <c r="P37" s="3250" t="str">
        <f>A37</f>
        <v>成交单价</v>
      </c>
      <c r="Q37" s="3250"/>
      <c r="R37" s="3251">
        <f>E37</f>
        <v>0</v>
      </c>
      <c r="S37" s="3251"/>
      <c r="T37" s="3251">
        <f>G37</f>
        <v>0</v>
      </c>
      <c r="U37" s="3251"/>
      <c r="V37" s="3251">
        <f>I37</f>
        <v>0</v>
      </c>
      <c r="W37" s="3251"/>
      <c r="X37" s="758"/>
      <c r="Y37" s="780"/>
      <c r="Z37" s="758"/>
      <c r="AA37" s="758"/>
      <c r="AB37" s="758"/>
      <c r="AC37" s="758"/>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8"/>
      <c r="Y38" s="758"/>
      <c r="Z38" s="758"/>
      <c r="AA38" s="758"/>
      <c r="AB38" s="758"/>
      <c r="AC38" s="758"/>
    </row>
    <row r="39" spans="1:29" ht="15.75" thickBot="1">
      <c r="A39" s="492" t="s">
        <v>2723</v>
      </c>
      <c r="B39" s="493"/>
      <c r="C39" s="1416" t="e">
        <f>R39</f>
        <v>#DIV/0!</v>
      </c>
      <c r="D39" s="1416"/>
      <c r="E39" s="1416"/>
      <c r="F39" s="1416"/>
      <c r="G39" s="1416"/>
      <c r="H39" s="1416"/>
      <c r="I39" s="1416"/>
      <c r="J39" s="1416"/>
      <c r="K39" s="621"/>
      <c r="L39" s="1142"/>
      <c r="M39" s="1143"/>
      <c r="N39" s="1143"/>
      <c r="O39" s="1143"/>
      <c r="P39" s="3247" t="str">
        <f>A39</f>
        <v>估价对象XX用房的比较价值（楼面单价，元/平方米）</v>
      </c>
      <c r="Q39" s="3248"/>
      <c r="R39" s="3249" t="e">
        <f>IF(F1="售价",ROUND(AVERAGE(R38:V38),0),ROUND(AVERAGE(R38:V38),1))</f>
        <v>#DIV/0!</v>
      </c>
      <c r="S39" s="3249"/>
      <c r="T39" s="3249"/>
      <c r="U39" s="3249"/>
      <c r="V39" s="3249"/>
      <c r="W39" s="324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2728</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2603</v>
      </c>
      <c r="C65" s="578" t="s">
        <v>2597</v>
      </c>
      <c r="D65" s="578" t="s">
        <v>2598</v>
      </c>
      <c r="E65" s="578" t="s">
        <v>2599</v>
      </c>
      <c r="F65" s="578" t="s">
        <v>2600</v>
      </c>
      <c r="G65" s="578" t="s">
        <v>2601</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2689</v>
      </c>
      <c r="C67" s="660" t="s">
        <v>2675</v>
      </c>
      <c r="D67" s="660" t="s">
        <v>2676</v>
      </c>
      <c r="E67" s="660" t="s">
        <v>2677</v>
      </c>
      <c r="F67" s="660" t="s">
        <v>2678</v>
      </c>
      <c r="G67" s="660" t="s">
        <v>2679</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2609</v>
      </c>
      <c r="C69" s="578" t="s">
        <v>2597</v>
      </c>
      <c r="D69" s="578" t="s">
        <v>2598</v>
      </c>
      <c r="E69" s="578" t="s">
        <v>2599</v>
      </c>
      <c r="F69" s="578" t="s">
        <v>2600</v>
      </c>
      <c r="G69" s="578" t="s">
        <v>2601</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2733</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2736</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估价对象为房地产，为所有。根据《国有土地使用证》[]，估价对象（分摊）出让国有建设用地使用权面积为0平方米，建筑面积为39697.29平方米。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估价对象为房地产,属开发建设的，该项目尚在开发建设中。根据《国有土地使用证》[]，估价对象（分摊）出让国有建设用地使用权面积为0平方米，规划建筑面积为39697.29平方米。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2019年10月23日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本次评估采用的主估价方法为收益法和基准地价系数修正法。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6"/>
      <c r="D2" s="1123" t="e">
        <f ca="1">SUMIF(INDIRECT("'"&amp;F2&amp;"'"&amp;"!A:A"),"承租人权益价值",INDIRECT("'"&amp;F2&amp;"'"&amp;"!c:c"))</f>
        <v>#REF!</v>
      </c>
      <c r="E2" s="2587" t="s">
        <v>2328</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33" t="s">
        <v>2646</v>
      </c>
      <c r="D4" s="3234"/>
      <c r="E4" s="3235" t="s">
        <v>2647</v>
      </c>
      <c r="F4" s="3236"/>
      <c r="G4" s="3233" t="s">
        <v>2648</v>
      </c>
      <c r="H4" s="3234"/>
      <c r="I4" s="3233" t="s">
        <v>2649</v>
      </c>
      <c r="J4" s="3234"/>
      <c r="K4" s="610" t="s">
        <v>2650</v>
      </c>
      <c r="L4" s="1129"/>
      <c r="M4" s="1130"/>
      <c r="N4" s="1130"/>
      <c r="O4" s="1130"/>
      <c r="P4" s="3237" t="s">
        <v>2651</v>
      </c>
      <c r="Q4" s="3238"/>
      <c r="R4" s="3220" t="s">
        <v>2647</v>
      </c>
      <c r="S4" s="3221"/>
      <c r="T4" s="3220" t="s">
        <v>2648</v>
      </c>
      <c r="U4" s="3221"/>
      <c r="V4" s="3245" t="s">
        <v>2649</v>
      </c>
      <c r="W4" s="3245"/>
      <c r="X4" s="1812"/>
      <c r="Y4" s="3220" t="s">
        <v>2651</v>
      </c>
      <c r="Z4" s="3221"/>
      <c r="AA4" s="3215" t="s">
        <v>2647</v>
      </c>
      <c r="AB4" s="3216" t="s">
        <v>2648</v>
      </c>
      <c r="AC4" s="3215" t="s">
        <v>2649</v>
      </c>
    </row>
    <row r="5" spans="1:29" ht="15">
      <c r="A5" s="404"/>
      <c r="B5" s="405"/>
      <c r="C5" s="3226" t="s">
        <v>2542</v>
      </c>
      <c r="D5" s="3227"/>
      <c r="E5" s="3224" t="s">
        <v>2543</v>
      </c>
      <c r="F5" s="3225"/>
      <c r="G5" s="3226" t="s">
        <v>2544</v>
      </c>
      <c r="H5" s="3227"/>
      <c r="I5" s="3226" t="s">
        <v>2545</v>
      </c>
      <c r="J5" s="3227"/>
      <c r="K5" s="610"/>
      <c r="L5" s="1129"/>
      <c r="M5" s="1130"/>
      <c r="N5" s="1130"/>
      <c r="O5" s="1130"/>
      <c r="P5" s="3239"/>
      <c r="Q5" s="3240"/>
      <c r="R5" s="3222"/>
      <c r="S5" s="3223"/>
      <c r="T5" s="3222"/>
      <c r="U5" s="3223"/>
      <c r="V5" s="3245"/>
      <c r="W5" s="3245"/>
      <c r="X5" s="1812"/>
      <c r="Y5" s="3222"/>
      <c r="Z5" s="3223"/>
      <c r="AA5" s="3216"/>
      <c r="AB5" s="3216"/>
      <c r="AC5" s="3216"/>
    </row>
    <row r="6" spans="1:29" ht="15.75" thickBot="1">
      <c r="A6" s="406"/>
      <c r="B6" s="407"/>
      <c r="C6" s="3228" t="s">
        <v>2546</v>
      </c>
      <c r="D6" s="3229"/>
      <c r="E6" s="3230" t="s">
        <v>2546</v>
      </c>
      <c r="F6" s="3231"/>
      <c r="G6" s="3228" t="s">
        <v>2546</v>
      </c>
      <c r="H6" s="3229"/>
      <c r="I6" s="3228" t="s">
        <v>2546</v>
      </c>
      <c r="J6" s="3229"/>
      <c r="K6" s="610" t="s">
        <v>2547</v>
      </c>
      <c r="L6" s="1129"/>
      <c r="M6" s="1130"/>
      <c r="N6" s="1130"/>
      <c r="O6" s="1130"/>
      <c r="P6" s="3241"/>
      <c r="Q6" s="3242"/>
      <c r="R6" s="3222"/>
      <c r="S6" s="3223"/>
      <c r="T6" s="3243"/>
      <c r="U6" s="3244"/>
      <c r="V6" s="3245"/>
      <c r="W6" s="3245"/>
      <c r="X6" s="1812"/>
      <c r="Y6" s="3243"/>
      <c r="Z6" s="3244"/>
      <c r="AA6" s="3217"/>
      <c r="AB6" s="3217"/>
      <c r="AC6" s="3217"/>
    </row>
    <row r="7" spans="1:29" s="117" customFormat="1" ht="15.75" thickBot="1">
      <c r="A7" s="408" t="s">
        <v>2548</v>
      </c>
      <c r="B7" s="409"/>
      <c r="C7" s="410">
        <f>'数据-取费表'!B2</f>
        <v>43761</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18" t="s">
        <v>2549</v>
      </c>
      <c r="Q7" s="3246"/>
      <c r="R7" s="769" t="s">
        <v>17</v>
      </c>
      <c r="S7" s="770">
        <f t="shared" ref="S7:S14" si="0">F7</f>
        <v>0</v>
      </c>
      <c r="T7" s="769" t="s">
        <v>17</v>
      </c>
      <c r="U7" s="770">
        <f t="shared" ref="U7:U14" si="1">H7</f>
        <v>0</v>
      </c>
      <c r="V7" s="769" t="s">
        <v>17</v>
      </c>
      <c r="W7" s="770">
        <f t="shared" ref="W7:W14" si="2">J7</f>
        <v>0</v>
      </c>
      <c r="X7" s="771"/>
      <c r="Y7" s="3218" t="s">
        <v>2549</v>
      </c>
      <c r="Z7" s="3219"/>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0" t="s">
        <v>2555</v>
      </c>
      <c r="Q9" s="1794" t="str">
        <f t="shared" ref="Q9:Q14" si="6">B9</f>
        <v>用途</v>
      </c>
      <c r="R9" s="769" t="s">
        <v>17</v>
      </c>
      <c r="S9" s="770">
        <f t="shared" si="0"/>
        <v>100</v>
      </c>
      <c r="T9" s="769" t="s">
        <v>17</v>
      </c>
      <c r="U9" s="770">
        <f t="shared" si="1"/>
        <v>100</v>
      </c>
      <c r="V9" s="769" t="s">
        <v>17</v>
      </c>
      <c r="W9" s="770">
        <f t="shared" si="2"/>
        <v>100</v>
      </c>
      <c r="X9" s="771"/>
      <c r="Y9" s="3065"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0"/>
      <c r="Q10" s="1794" t="str">
        <f t="shared" si="6"/>
        <v>土地使用年限（年）</v>
      </c>
      <c r="R10" s="769" t="s">
        <v>17</v>
      </c>
      <c r="S10" s="770">
        <f t="shared" si="0"/>
        <v>100</v>
      </c>
      <c r="T10" s="769" t="s">
        <v>17</v>
      </c>
      <c r="U10" s="770">
        <f t="shared" si="1"/>
        <v>100</v>
      </c>
      <c r="V10" s="769" t="s">
        <v>17</v>
      </c>
      <c r="W10" s="770">
        <f t="shared" si="2"/>
        <v>100</v>
      </c>
      <c r="X10" s="771"/>
      <c r="Y10" s="3065"/>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0"/>
      <c r="Q11" s="1794">
        <f t="shared" si="6"/>
        <v>111</v>
      </c>
      <c r="R11" s="769" t="s">
        <v>17</v>
      </c>
      <c r="S11" s="770">
        <f t="shared" si="0"/>
        <v>100</v>
      </c>
      <c r="T11" s="769" t="s">
        <v>17</v>
      </c>
      <c r="U11" s="770">
        <f t="shared" si="1"/>
        <v>100</v>
      </c>
      <c r="V11" s="769" t="s">
        <v>17</v>
      </c>
      <c r="W11" s="770">
        <f t="shared" si="2"/>
        <v>100</v>
      </c>
      <c r="X11" s="771"/>
      <c r="Y11" s="3065"/>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0"/>
      <c r="Q12" s="1794">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250"/>
      <c r="Q13" s="1794">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2" t="s">
        <v>2560</v>
      </c>
      <c r="Q14" s="1809" t="str">
        <f t="shared" si="6"/>
        <v>交通便捷度</v>
      </c>
      <c r="R14" s="773" t="s">
        <v>17</v>
      </c>
      <c r="S14" s="774">
        <f t="shared" si="0"/>
        <v>100</v>
      </c>
      <c r="T14" s="773" t="s">
        <v>17</v>
      </c>
      <c r="U14" s="774">
        <f t="shared" si="1"/>
        <v>100</v>
      </c>
      <c r="V14" s="773" t="s">
        <v>17</v>
      </c>
      <c r="W14" s="774">
        <f t="shared" si="2"/>
        <v>100</v>
      </c>
      <c r="X14" s="1812"/>
      <c r="Y14" s="3252"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53"/>
      <c r="Q15" s="1809"/>
      <c r="R15" s="773"/>
      <c r="S15" s="774"/>
      <c r="T15" s="773"/>
      <c r="U15" s="774"/>
      <c r="V15" s="773"/>
      <c r="W15" s="774"/>
      <c r="X15" s="1812"/>
      <c r="Y15" s="3253"/>
      <c r="Z15" s="1813"/>
      <c r="AA15" s="1810">
        <v>1</v>
      </c>
      <c r="AB15" s="1810">
        <v>1</v>
      </c>
      <c r="AC15" s="1810">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3"/>
      <c r="Q16" s="1809" t="str">
        <f>B16</f>
        <v>公共配套设施</v>
      </c>
      <c r="R16" s="773" t="s">
        <v>17</v>
      </c>
      <c r="S16" s="774">
        <f>F16</f>
        <v>100</v>
      </c>
      <c r="T16" s="773" t="s">
        <v>17</v>
      </c>
      <c r="U16" s="774">
        <f>H16</f>
        <v>100</v>
      </c>
      <c r="V16" s="773" t="s">
        <v>17</v>
      </c>
      <c r="W16" s="774">
        <f>J16</f>
        <v>100</v>
      </c>
      <c r="X16" s="1812"/>
      <c r="Y16" s="3253"/>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253"/>
      <c r="Q17" s="1809"/>
      <c r="R17" s="773"/>
      <c r="S17" s="774"/>
      <c r="T17" s="773"/>
      <c r="U17" s="774"/>
      <c r="V17" s="773"/>
      <c r="W17" s="774"/>
      <c r="X17" s="1812"/>
      <c r="Y17" s="3253"/>
      <c r="Z17" s="1813"/>
      <c r="AA17" s="1810">
        <v>1</v>
      </c>
      <c r="AB17" s="1810">
        <v>1</v>
      </c>
      <c r="AC17" s="1810">
        <v>1</v>
      </c>
    </row>
    <row r="18" spans="1:29" ht="28.5">
      <c r="A18" s="428"/>
      <c r="B18" s="1383"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3"/>
      <c r="Q18" s="1809" t="str">
        <f>B18</f>
        <v>基础设施水平</v>
      </c>
      <c r="R18" s="773" t="s">
        <v>17</v>
      </c>
      <c r="S18" s="774">
        <f>F18</f>
        <v>100</v>
      </c>
      <c r="T18" s="773" t="s">
        <v>17</v>
      </c>
      <c r="U18" s="774">
        <f>H18</f>
        <v>100</v>
      </c>
      <c r="V18" s="773" t="s">
        <v>17</v>
      </c>
      <c r="W18" s="774">
        <f>J18</f>
        <v>100</v>
      </c>
      <c r="X18" s="1812"/>
      <c r="Y18" s="3253"/>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253"/>
      <c r="Q19" s="1809"/>
      <c r="R19" s="773"/>
      <c r="S19" s="774"/>
      <c r="T19" s="773"/>
      <c r="U19" s="774"/>
      <c r="V19" s="773"/>
      <c r="W19" s="774"/>
      <c r="X19" s="1812"/>
      <c r="Y19" s="3253"/>
      <c r="Z19" s="1813"/>
      <c r="AA19" s="1810">
        <v>1</v>
      </c>
      <c r="AB19" s="1810">
        <v>1</v>
      </c>
      <c r="AC19" s="1810">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3"/>
      <c r="Q20" s="1809" t="str">
        <f>B20</f>
        <v>自然及人文环境</v>
      </c>
      <c r="R20" s="773" t="s">
        <v>17</v>
      </c>
      <c r="S20" s="774">
        <f>F20</f>
        <v>100</v>
      </c>
      <c r="T20" s="773" t="s">
        <v>17</v>
      </c>
      <c r="U20" s="774">
        <f>H20</f>
        <v>100</v>
      </c>
      <c r="V20" s="773" t="s">
        <v>17</v>
      </c>
      <c r="W20" s="774">
        <f>J20</f>
        <v>100</v>
      </c>
      <c r="X20" s="1812"/>
      <c r="Y20" s="325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53"/>
      <c r="Q21" s="1809"/>
      <c r="R21" s="773"/>
      <c r="S21" s="774"/>
      <c r="T21" s="773"/>
      <c r="U21" s="774"/>
      <c r="V21" s="773"/>
      <c r="W21" s="774"/>
      <c r="X21" s="1812"/>
      <c r="Y21" s="3253"/>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3"/>
      <c r="Q22" s="1809" t="str">
        <f>B22</f>
        <v>楼层</v>
      </c>
      <c r="R22" s="773" t="s">
        <v>17</v>
      </c>
      <c r="S22" s="774">
        <f>F22</f>
        <v>100</v>
      </c>
      <c r="T22" s="773" t="s">
        <v>17</v>
      </c>
      <c r="U22" s="774">
        <f>H22</f>
        <v>100</v>
      </c>
      <c r="V22" s="773" t="s">
        <v>17</v>
      </c>
      <c r="W22" s="774">
        <f>J22</f>
        <v>100</v>
      </c>
      <c r="X22" s="1812"/>
      <c r="Y22" s="3253"/>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3"/>
      <c r="Q23" s="1809">
        <f>B23</f>
        <v>111</v>
      </c>
      <c r="R23" s="773" t="s">
        <v>17</v>
      </c>
      <c r="S23" s="774">
        <f>F23</f>
        <v>100</v>
      </c>
      <c r="T23" s="773" t="s">
        <v>17</v>
      </c>
      <c r="U23" s="774">
        <f>H23</f>
        <v>100</v>
      </c>
      <c r="V23" s="773" t="s">
        <v>17</v>
      </c>
      <c r="W23" s="774">
        <f>J23</f>
        <v>100</v>
      </c>
      <c r="X23" s="1812"/>
      <c r="Y23" s="3253"/>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3"/>
      <c r="Q24" s="1809">
        <f t="shared" ref="Q24:Q34" si="11">B24</f>
        <v>111</v>
      </c>
      <c r="R24" s="773" t="s">
        <v>17</v>
      </c>
      <c r="S24" s="774">
        <f>F24</f>
        <v>100</v>
      </c>
      <c r="T24" s="773" t="s">
        <v>17</v>
      </c>
      <c r="U24" s="774">
        <f>H24</f>
        <v>100</v>
      </c>
      <c r="V24" s="773" t="s">
        <v>17</v>
      </c>
      <c r="W24" s="774">
        <f>J24</f>
        <v>100</v>
      </c>
      <c r="X24" s="1812"/>
      <c r="Y24" s="3253"/>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253"/>
      <c r="Q25" s="1794">
        <f t="shared" si="11"/>
        <v>111</v>
      </c>
      <c r="R25" s="769" t="s">
        <v>17</v>
      </c>
      <c r="S25" s="770">
        <f>F25</f>
        <v>100</v>
      </c>
      <c r="T25" s="769" t="s">
        <v>17</v>
      </c>
      <c r="U25" s="770">
        <f>H25</f>
        <v>100</v>
      </c>
      <c r="V25" s="769" t="s">
        <v>17</v>
      </c>
      <c r="W25" s="770">
        <f>J25</f>
        <v>100</v>
      </c>
      <c r="X25" s="771"/>
      <c r="Y25" s="3253"/>
      <c r="Z25" s="55">
        <f>Q25</f>
        <v>111</v>
      </c>
      <c r="AA25" s="1810">
        <f>D25/F25</f>
        <v>1</v>
      </c>
      <c r="AB25" s="1810">
        <f>D25/H25</f>
        <v>1</v>
      </c>
      <c r="AC25" s="1810">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276" t="s">
        <v>2565</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57"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7"/>
      <c r="Q27" s="775" t="str">
        <f t="shared" si="11"/>
        <v>成新率</v>
      </c>
      <c r="R27" s="776" t="s">
        <v>17</v>
      </c>
      <c r="S27" s="777" t="e">
        <f t="shared" si="12"/>
        <v>#N/A</v>
      </c>
      <c r="T27" s="776" t="s">
        <v>17</v>
      </c>
      <c r="U27" s="777" t="e">
        <f t="shared" si="13"/>
        <v>#N/A</v>
      </c>
      <c r="V27" s="776" t="s">
        <v>17</v>
      </c>
      <c r="W27" s="777" t="e">
        <f t="shared" si="14"/>
        <v>#N/A</v>
      </c>
      <c r="X27" s="778"/>
      <c r="Y27" s="3257"/>
      <c r="Z27" s="779"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7"/>
      <c r="Q28" s="1809" t="str">
        <f t="shared" si="11"/>
        <v>物业等级</v>
      </c>
      <c r="R28" s="773" t="s">
        <v>17</v>
      </c>
      <c r="S28" s="774">
        <f t="shared" si="12"/>
        <v>100</v>
      </c>
      <c r="T28" s="773" t="s">
        <v>17</v>
      </c>
      <c r="U28" s="774">
        <f t="shared" si="13"/>
        <v>100</v>
      </c>
      <c r="V28" s="773" t="s">
        <v>17</v>
      </c>
      <c r="W28" s="774">
        <f t="shared" si="14"/>
        <v>100</v>
      </c>
      <c r="X28" s="1812"/>
      <c r="Y28" s="3257"/>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57"/>
      <c r="Q29" s="1809" t="str">
        <f t="shared" si="11"/>
        <v>有无电梯</v>
      </c>
      <c r="R29" s="773" t="s">
        <v>17</v>
      </c>
      <c r="S29" s="774">
        <f t="shared" si="12"/>
        <v>100</v>
      </c>
      <c r="T29" s="773" t="s">
        <v>17</v>
      </c>
      <c r="U29" s="774">
        <f t="shared" si="13"/>
        <v>100</v>
      </c>
      <c r="V29" s="773" t="s">
        <v>17</v>
      </c>
      <c r="W29" s="774">
        <f t="shared" si="14"/>
        <v>100</v>
      </c>
      <c r="X29" s="1812"/>
      <c r="Y29" s="3257"/>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7"/>
      <c r="Q30" s="1809" t="str">
        <f t="shared" si="11"/>
        <v>建筑面积</v>
      </c>
      <c r="R30" s="773" t="s">
        <v>17</v>
      </c>
      <c r="S30" s="774" t="e">
        <f t="shared" si="12"/>
        <v>#N/A</v>
      </c>
      <c r="T30" s="773" t="s">
        <v>17</v>
      </c>
      <c r="U30" s="774" t="e">
        <f t="shared" si="13"/>
        <v>#N/A</v>
      </c>
      <c r="V30" s="773" t="s">
        <v>17</v>
      </c>
      <c r="W30" s="774" t="e">
        <f t="shared" si="14"/>
        <v>#N/A</v>
      </c>
      <c r="X30" s="1812"/>
      <c r="Y30" s="3257"/>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57"/>
      <c r="Q31" s="1794" t="str">
        <f t="shared" si="11"/>
        <v>是否封闭</v>
      </c>
      <c r="R31" s="769" t="s">
        <v>17</v>
      </c>
      <c r="S31" s="770">
        <f t="shared" si="12"/>
        <v>100</v>
      </c>
      <c r="T31" s="769" t="s">
        <v>17</v>
      </c>
      <c r="U31" s="770">
        <f t="shared" si="13"/>
        <v>100</v>
      </c>
      <c r="V31" s="769" t="s">
        <v>17</v>
      </c>
      <c r="W31" s="770">
        <f t="shared" si="14"/>
        <v>100</v>
      </c>
      <c r="X31" s="771"/>
      <c r="Y31" s="3257"/>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7" t="s">
        <v>2565</v>
      </c>
      <c r="Q32" s="1809">
        <f t="shared" si="11"/>
        <v>111</v>
      </c>
      <c r="R32" s="773" t="s">
        <v>17</v>
      </c>
      <c r="S32" s="774">
        <f t="shared" si="12"/>
        <v>100</v>
      </c>
      <c r="T32" s="773" t="s">
        <v>17</v>
      </c>
      <c r="U32" s="774">
        <f t="shared" si="13"/>
        <v>100</v>
      </c>
      <c r="V32" s="773" t="s">
        <v>17</v>
      </c>
      <c r="W32" s="774">
        <f t="shared" si="14"/>
        <v>100</v>
      </c>
      <c r="X32" s="1812"/>
      <c r="Y32" s="3257" t="s">
        <v>2565</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7"/>
      <c r="Q33" s="1809">
        <f t="shared" si="11"/>
        <v>111</v>
      </c>
      <c r="R33" s="773" t="s">
        <v>17</v>
      </c>
      <c r="S33" s="774">
        <f t="shared" si="12"/>
        <v>100</v>
      </c>
      <c r="T33" s="773" t="s">
        <v>17</v>
      </c>
      <c r="U33" s="774">
        <f t="shared" si="13"/>
        <v>100</v>
      </c>
      <c r="V33" s="773" t="s">
        <v>17</v>
      </c>
      <c r="W33" s="774">
        <f t="shared" si="14"/>
        <v>100</v>
      </c>
      <c r="X33" s="1812"/>
      <c r="Y33" s="3257"/>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257"/>
      <c r="Q34" s="1809">
        <f t="shared" si="11"/>
        <v>111</v>
      </c>
      <c r="R34" s="773" t="s">
        <v>17</v>
      </c>
      <c r="S34" s="774">
        <f t="shared" si="12"/>
        <v>100</v>
      </c>
      <c r="T34" s="773" t="s">
        <v>17</v>
      </c>
      <c r="U34" s="774">
        <f t="shared" si="13"/>
        <v>100</v>
      </c>
      <c r="V34" s="773" t="s">
        <v>17</v>
      </c>
      <c r="W34" s="774">
        <f t="shared" si="14"/>
        <v>100</v>
      </c>
      <c r="X34" s="1812"/>
      <c r="Y34" s="3257"/>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2"/>
      <c r="L35" s="1142"/>
      <c r="M35" s="1143"/>
      <c r="N35" s="1130"/>
      <c r="O35" s="1143"/>
      <c r="P35" s="3250" t="str">
        <f>A35</f>
        <v>成交单价（元/平方米）</v>
      </c>
      <c r="Q35" s="3250"/>
      <c r="R35" s="3251">
        <f>E35</f>
        <v>0</v>
      </c>
      <c r="S35" s="3251"/>
      <c r="T35" s="3251">
        <f>G35</f>
        <v>0</v>
      </c>
      <c r="U35" s="3251"/>
      <c r="V35" s="3251">
        <f>I35</f>
        <v>0</v>
      </c>
      <c r="W35" s="3251"/>
      <c r="X35" s="758"/>
      <c r="Y35" s="780"/>
      <c r="Z35" s="758"/>
      <c r="AA35" s="758"/>
      <c r="AB35" s="758"/>
      <c r="AC35" s="758"/>
    </row>
    <row r="36" spans="1:29" ht="15.75" thickBot="1">
      <c r="A36" s="486" t="s">
        <v>2669</v>
      </c>
      <c r="B36" s="487"/>
      <c r="C36" s="1412" t="e">
        <f>R37</f>
        <v>#DIV/0!</v>
      </c>
      <c r="D36" s="1413"/>
      <c r="E36" s="1414" t="e">
        <f>R36</f>
        <v>#DIV/0!</v>
      </c>
      <c r="F36" s="1414"/>
      <c r="G36" s="1412" t="e">
        <f>T36</f>
        <v>#DIV/0!</v>
      </c>
      <c r="H36" s="1413"/>
      <c r="I36" s="1414" t="e">
        <f>V36</f>
        <v>#DIV/0!</v>
      </c>
      <c r="J36" s="1413"/>
      <c r="K36" s="783"/>
      <c r="L36" s="1142"/>
      <c r="M36" s="1143"/>
      <c r="N36" s="1130"/>
      <c r="O36" s="1143"/>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8"/>
      <c r="Y36" s="758"/>
      <c r="Z36" s="758"/>
      <c r="AA36" s="758"/>
      <c r="AB36" s="758"/>
      <c r="AC36" s="758"/>
    </row>
    <row r="37" spans="1:29" ht="15.75" thickBot="1">
      <c r="A37" s="492" t="s">
        <v>2670</v>
      </c>
      <c r="B37" s="493"/>
      <c r="C37" s="1416" t="e">
        <f>R37</f>
        <v>#DIV/0!</v>
      </c>
      <c r="D37" s="1416"/>
      <c r="E37" s="1416"/>
      <c r="F37" s="1416"/>
      <c r="G37" s="1416"/>
      <c r="H37" s="1416"/>
      <c r="I37" s="1416"/>
      <c r="J37" s="1416"/>
      <c r="K37" s="784"/>
      <c r="L37" s="1142"/>
      <c r="M37" s="1143"/>
      <c r="N37" s="1143"/>
      <c r="O37" s="1143"/>
      <c r="P37" s="3247" t="str">
        <f>A37</f>
        <v>估价对象XX用房的比较价值（楼面单价，元/平方米）</v>
      </c>
      <c r="Q37" s="3248"/>
      <c r="R37" s="3249" t="e">
        <f>IF(F1="售价",ROUND(AVERAGE(R36:V36),0),ROUND(AVERAGE(R36:V36),1))</f>
        <v>#DIV/0!</v>
      </c>
      <c r="S37" s="3249"/>
      <c r="T37" s="3249"/>
      <c r="U37" s="3249"/>
      <c r="V37" s="3249"/>
      <c r="W37" s="324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2588</v>
      </c>
      <c r="B51" s="528" t="s">
        <v>2554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2563</v>
      </c>
      <c r="B77" s="528" t="s">
        <v>2616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2645</v>
      </c>
      <c r="B4" s="402"/>
      <c r="C4" s="3233" t="s">
        <v>2646</v>
      </c>
      <c r="D4" s="3234"/>
      <c r="E4" s="3235" t="s">
        <v>2647</v>
      </c>
      <c r="F4" s="3236"/>
      <c r="G4" s="3233" t="s">
        <v>2648</v>
      </c>
      <c r="H4" s="3234"/>
      <c r="I4" s="3233" t="s">
        <v>2649</v>
      </c>
      <c r="J4" s="3234"/>
      <c r="K4" s="610" t="s">
        <v>2650</v>
      </c>
      <c r="L4" s="1129"/>
      <c r="M4" s="1130"/>
      <c r="N4" s="1130"/>
      <c r="O4" s="1130"/>
      <c r="P4" s="3237" t="s">
        <v>2651</v>
      </c>
      <c r="Q4" s="3238"/>
      <c r="R4" s="3220" t="s">
        <v>2647</v>
      </c>
      <c r="S4" s="3221"/>
      <c r="T4" s="3220" t="s">
        <v>2648</v>
      </c>
      <c r="U4" s="3221"/>
      <c r="V4" s="3245" t="s">
        <v>2649</v>
      </c>
      <c r="W4" s="3245"/>
      <c r="X4" s="1812"/>
      <c r="Y4" s="3220" t="s">
        <v>2651</v>
      </c>
      <c r="Z4" s="3221"/>
      <c r="AA4" s="3215" t="s">
        <v>2647</v>
      </c>
      <c r="AB4" s="3216" t="s">
        <v>2648</v>
      </c>
      <c r="AC4" s="3215" t="s">
        <v>2649</v>
      </c>
    </row>
    <row r="5" spans="1:30" ht="15">
      <c r="A5" s="404"/>
      <c r="B5" s="405"/>
      <c r="C5" s="3226" t="s">
        <v>2542</v>
      </c>
      <c r="D5" s="3227"/>
      <c r="E5" s="3224" t="s">
        <v>2543</v>
      </c>
      <c r="F5" s="3225"/>
      <c r="G5" s="3226" t="s">
        <v>2544</v>
      </c>
      <c r="H5" s="3227"/>
      <c r="I5" s="3226" t="s">
        <v>2545</v>
      </c>
      <c r="J5" s="3227"/>
      <c r="K5" s="610"/>
      <c r="L5" s="1129"/>
      <c r="M5" s="1130"/>
      <c r="N5" s="1130"/>
      <c r="O5" s="1130"/>
      <c r="P5" s="3239"/>
      <c r="Q5" s="3240"/>
      <c r="R5" s="3222"/>
      <c r="S5" s="3223"/>
      <c r="T5" s="3222"/>
      <c r="U5" s="3223"/>
      <c r="V5" s="3245"/>
      <c r="W5" s="3245"/>
      <c r="X5" s="1812"/>
      <c r="Y5" s="3222"/>
      <c r="Z5" s="3223"/>
      <c r="AA5" s="3216"/>
      <c r="AB5" s="3216"/>
      <c r="AC5" s="3216"/>
    </row>
    <row r="6" spans="1:30" ht="15.75" thickBot="1">
      <c r="A6" s="406"/>
      <c r="B6" s="407"/>
      <c r="C6" s="3228" t="s">
        <v>2546</v>
      </c>
      <c r="D6" s="3229"/>
      <c r="E6" s="3230" t="s">
        <v>2546</v>
      </c>
      <c r="F6" s="3231"/>
      <c r="G6" s="3228" t="s">
        <v>2546</v>
      </c>
      <c r="H6" s="3229"/>
      <c r="I6" s="3228" t="s">
        <v>2546</v>
      </c>
      <c r="J6" s="3229"/>
      <c r="K6" s="610" t="s">
        <v>2547</v>
      </c>
      <c r="L6" s="1129"/>
      <c r="M6" s="1130"/>
      <c r="N6" s="1130"/>
      <c r="O6" s="1130"/>
      <c r="P6" s="3241"/>
      <c r="Q6" s="3242"/>
      <c r="R6" s="3222"/>
      <c r="S6" s="3223"/>
      <c r="T6" s="3243"/>
      <c r="U6" s="3244"/>
      <c r="V6" s="3245"/>
      <c r="W6" s="3245"/>
      <c r="X6" s="1812"/>
      <c r="Y6" s="3243"/>
      <c r="Z6" s="3244"/>
      <c r="AA6" s="3217"/>
      <c r="AB6" s="3217"/>
      <c r="AC6" s="3217"/>
    </row>
    <row r="7" spans="1:30" s="117" customFormat="1" ht="15.75" thickBot="1">
      <c r="A7" s="408" t="s">
        <v>2548</v>
      </c>
      <c r="B7" s="409"/>
      <c r="C7" s="410">
        <f>'数据-取费表'!B2</f>
        <v>43761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18" t="s">
        <v>2549</v>
      </c>
      <c r="Q7" s="3246"/>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5" si="3">D8/F8</f>
        <v>#DIV/0!</v>
      </c>
      <c r="AB8" s="772" t="e">
        <f t="shared" ref="AB8:AB45" si="4">D8/H8</f>
        <v>#DIV/0!</v>
      </c>
      <c r="AC8" s="772"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250" t="s">
        <v>2555</v>
      </c>
      <c r="Q9" s="1794" t="str">
        <f t="shared" ref="Q9:Q15" si="6">B9</f>
        <v>用途</v>
      </c>
      <c r="R9" s="769" t="s">
        <v>17</v>
      </c>
      <c r="S9" s="770">
        <f t="shared" si="0"/>
        <v>100</v>
      </c>
      <c r="T9" s="769" t="s">
        <v>17</v>
      </c>
      <c r="U9" s="770">
        <f t="shared" si="1"/>
        <v>100</v>
      </c>
      <c r="V9" s="769" t="s">
        <v>17</v>
      </c>
      <c r="W9" s="770">
        <f t="shared" si="2"/>
        <v>100</v>
      </c>
      <c r="X9" s="771"/>
      <c r="Y9" s="3065" t="s">
        <v>2556</v>
      </c>
      <c r="Z9" s="55" t="str">
        <f t="shared" ref="Z9:Z15" si="7">Q9</f>
        <v>用途</v>
      </c>
      <c r="AA9" s="772">
        <f t="shared" si="3"/>
        <v>1</v>
      </c>
      <c r="AB9" s="772">
        <f t="shared" si="4"/>
        <v>1</v>
      </c>
      <c r="AC9" s="772">
        <f t="shared" si="5"/>
        <v>1</v>
      </c>
    </row>
    <row r="10" spans="1:30" s="427" customFormat="1" ht="27">
      <c r="A10" s="421"/>
      <c r="B10" s="422" t="s">
        <v>2557</v>
      </c>
      <c r="C10" s="432"/>
      <c r="D10" s="136">
        <v>100</v>
      </c>
      <c r="E10" s="465"/>
      <c r="F10" s="136">
        <f>ROUND(100/'数据-取费表'!G16,0)</f>
        <v>105</v>
      </c>
      <c r="G10" s="463"/>
      <c r="H10" s="136">
        <f>ROUND(100/'数据-取费表'!G16,0)</f>
        <v>105</v>
      </c>
      <c r="I10" s="463"/>
      <c r="J10" s="136">
        <f>ROUND(100/'数据-取费表'!G16,0)</f>
        <v>105</v>
      </c>
      <c r="K10" s="672"/>
      <c r="L10" s="1134"/>
      <c r="M10" s="1135"/>
      <c r="N10" s="1135"/>
      <c r="O10" s="1136"/>
      <c r="P10" s="3250"/>
      <c r="Q10" s="1794" t="str">
        <f t="shared" si="6"/>
        <v>土地使用年限（年）</v>
      </c>
      <c r="R10" s="769" t="s">
        <v>17</v>
      </c>
      <c r="S10" s="770">
        <f t="shared" si="0"/>
        <v>105</v>
      </c>
      <c r="T10" s="769" t="s">
        <v>17</v>
      </c>
      <c r="U10" s="770">
        <f t="shared" si="1"/>
        <v>105</v>
      </c>
      <c r="V10" s="769" t="s">
        <v>17</v>
      </c>
      <c r="W10" s="770">
        <f t="shared" si="2"/>
        <v>105</v>
      </c>
      <c r="X10" s="771"/>
      <c r="Y10" s="3065"/>
      <c r="Z10" s="55" t="str">
        <f t="shared" si="7"/>
        <v>土地使用年限（年）</v>
      </c>
      <c r="AA10" s="772">
        <f t="shared" si="3"/>
        <v>0.95238095238095233</v>
      </c>
      <c r="AB10" s="772">
        <f t="shared" si="4"/>
        <v>0.95238095238095233</v>
      </c>
      <c r="AC10" s="772">
        <f t="shared" si="5"/>
        <v>0.95238095238095233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0"/>
      <c r="Q11" s="1794"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772"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0"/>
      <c r="Q12" s="1794" t="str">
        <f t="shared" si="6"/>
        <v>配建</v>
      </c>
      <c r="R12" s="769" t="s">
        <v>17</v>
      </c>
      <c r="S12" s="770">
        <f t="shared" si="0"/>
        <v>100</v>
      </c>
      <c r="T12" s="769" t="s">
        <v>17</v>
      </c>
      <c r="U12" s="770">
        <f t="shared" si="1"/>
        <v>100</v>
      </c>
      <c r="V12" s="769" t="s">
        <v>17</v>
      </c>
      <c r="W12" s="770">
        <f t="shared" si="2"/>
        <v>100</v>
      </c>
      <c r="X12" s="771"/>
      <c r="Y12" s="3065"/>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0"/>
      <c r="Q13" s="1794">
        <f t="shared" si="6"/>
        <v>111</v>
      </c>
      <c r="R13" s="769" t="s">
        <v>17</v>
      </c>
      <c r="S13" s="770">
        <f t="shared" si="0"/>
        <v>100</v>
      </c>
      <c r="T13" s="769" t="s">
        <v>17</v>
      </c>
      <c r="U13" s="770">
        <f t="shared" si="1"/>
        <v>100</v>
      </c>
      <c r="V13" s="769" t="s">
        <v>17</v>
      </c>
      <c r="W13" s="770">
        <f t="shared" si="2"/>
        <v>100</v>
      </c>
      <c r="X13" s="771"/>
      <c r="Y13" s="3065"/>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0"/>
      <c r="Q14" s="1794">
        <f t="shared" si="6"/>
        <v>111</v>
      </c>
      <c r="R14" s="769" t="s">
        <v>17</v>
      </c>
      <c r="S14" s="770">
        <f t="shared" si="0"/>
        <v>100</v>
      </c>
      <c r="T14" s="769" t="s">
        <v>17</v>
      </c>
      <c r="U14" s="770">
        <f t="shared" si="1"/>
        <v>100</v>
      </c>
      <c r="V14" s="769" t="s">
        <v>17</v>
      </c>
      <c r="W14" s="770">
        <f t="shared" si="2"/>
        <v>100</v>
      </c>
      <c r="X14" s="771"/>
      <c r="Y14" s="3065"/>
      <c r="Z14" s="55">
        <f t="shared" si="7"/>
        <v>111</v>
      </c>
      <c r="AA14" s="772">
        <f>D14/F14</f>
        <v>1</v>
      </c>
      <c r="AB14" s="772">
        <f>D14/H14</f>
        <v>1</v>
      </c>
      <c r="AC14" s="772">
        <f>D14/J14</f>
        <v>1</v>
      </c>
    </row>
    <row r="15" spans="1:30" ht="99.75">
      <c r="A15" s="440" t="s">
        <v>2559</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2" t="s">
        <v>2560</v>
      </c>
      <c r="Q15" s="1809" t="str">
        <f t="shared" si="6"/>
        <v>居住社区成熟度</v>
      </c>
      <c r="R15" s="773" t="s">
        <v>17</v>
      </c>
      <c r="S15" s="774">
        <f t="shared" si="0"/>
        <v>100</v>
      </c>
      <c r="T15" s="773" t="s">
        <v>17</v>
      </c>
      <c r="U15" s="774">
        <f t="shared" si="1"/>
        <v>100</v>
      </c>
      <c r="V15" s="773" t="s">
        <v>17</v>
      </c>
      <c r="W15" s="774">
        <f t="shared" si="2"/>
        <v>100</v>
      </c>
      <c r="X15" s="1812"/>
      <c r="Y15" s="3252" t="s">
        <v>2560</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253"/>
      <c r="Q16" s="1809"/>
      <c r="R16" s="773"/>
      <c r="S16" s="774"/>
      <c r="T16" s="773"/>
      <c r="U16" s="774"/>
      <c r="V16" s="773"/>
      <c r="W16" s="774"/>
      <c r="X16" s="1812"/>
      <c r="Y16" s="3253"/>
      <c r="Z16" s="1813"/>
      <c r="AA16" s="1810">
        <v>1</v>
      </c>
      <c r="AB16" s="1810">
        <v>1</v>
      </c>
      <c r="AC16" s="1810">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3"/>
      <c r="Q17" s="1809" t="str">
        <f>B17</f>
        <v>商业繁华度</v>
      </c>
      <c r="R17" s="773" t="s">
        <v>17</v>
      </c>
      <c r="S17" s="774">
        <f>F17</f>
        <v>100</v>
      </c>
      <c r="T17" s="773" t="s">
        <v>17</v>
      </c>
      <c r="U17" s="774">
        <f>H17</f>
        <v>100</v>
      </c>
      <c r="V17" s="773" t="s">
        <v>17</v>
      </c>
      <c r="W17" s="774">
        <f>J17</f>
        <v>100</v>
      </c>
      <c r="X17" s="1812"/>
      <c r="Y17" s="3253"/>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253"/>
      <c r="Q18" s="1809"/>
      <c r="R18" s="773"/>
      <c r="S18" s="774"/>
      <c r="T18" s="773"/>
      <c r="U18" s="774"/>
      <c r="V18" s="773"/>
      <c r="W18" s="774"/>
      <c r="X18" s="1812"/>
      <c r="Y18" s="3253"/>
      <c r="Z18" s="1813"/>
      <c r="AA18" s="1810">
        <v>1</v>
      </c>
      <c r="AB18" s="1810">
        <v>1</v>
      </c>
      <c r="AC18" s="1810">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3"/>
      <c r="Q19" s="1809" t="str">
        <f>B19</f>
        <v>办公集聚程度</v>
      </c>
      <c r="R19" s="773" t="s">
        <v>17</v>
      </c>
      <c r="S19" s="774">
        <f>F19</f>
        <v>100</v>
      </c>
      <c r="T19" s="773" t="s">
        <v>17</v>
      </c>
      <c r="U19" s="774">
        <f>H19</f>
        <v>100</v>
      </c>
      <c r="V19" s="773" t="s">
        <v>17</v>
      </c>
      <c r="W19" s="774">
        <f>J19</f>
        <v>100</v>
      </c>
      <c r="X19" s="1812"/>
      <c r="Y19" s="3253"/>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253"/>
      <c r="Q20" s="1809"/>
      <c r="R20" s="773"/>
      <c r="S20" s="774"/>
      <c r="T20" s="773"/>
      <c r="U20" s="774"/>
      <c r="V20" s="773"/>
      <c r="W20" s="774"/>
      <c r="X20" s="1812"/>
      <c r="Y20" s="3253"/>
      <c r="Z20" s="1813"/>
      <c r="AA20" s="1810">
        <v>1</v>
      </c>
      <c r="AB20" s="1810">
        <v>1</v>
      </c>
      <c r="AC20" s="1810">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3"/>
      <c r="Q21" s="1809" t="str">
        <f>B21</f>
        <v>交通便捷度</v>
      </c>
      <c r="R21" s="773" t="s">
        <v>17</v>
      </c>
      <c r="S21" s="774">
        <f>F21</f>
        <v>100</v>
      </c>
      <c r="T21" s="773" t="s">
        <v>17</v>
      </c>
      <c r="U21" s="774">
        <f>H21</f>
        <v>100</v>
      </c>
      <c r="V21" s="773" t="s">
        <v>17</v>
      </c>
      <c r="W21" s="774">
        <f>J21</f>
        <v>100</v>
      </c>
      <c r="X21" s="1812"/>
      <c r="Y21" s="3253"/>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253"/>
      <c r="Q22" s="1809"/>
      <c r="R22" s="773"/>
      <c r="S22" s="774"/>
      <c r="T22" s="773"/>
      <c r="U22" s="774"/>
      <c r="V22" s="773"/>
      <c r="W22" s="774"/>
      <c r="X22" s="1812"/>
      <c r="Y22" s="3253"/>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3"/>
      <c r="Q23" s="1809" t="str">
        <f t="shared" ref="Q23:Q37" si="8">B23</f>
        <v>区域土地利用方向</v>
      </c>
      <c r="R23" s="773" t="s">
        <v>17</v>
      </c>
      <c r="S23" s="774">
        <f>F23</f>
        <v>100</v>
      </c>
      <c r="T23" s="773" t="s">
        <v>17</v>
      </c>
      <c r="U23" s="774">
        <f>H23</f>
        <v>100</v>
      </c>
      <c r="V23" s="773" t="s">
        <v>17</v>
      </c>
      <c r="W23" s="774">
        <f>J23</f>
        <v>100</v>
      </c>
      <c r="X23" s="1812"/>
      <c r="Y23" s="3253"/>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253"/>
      <c r="Q24" s="1809"/>
      <c r="R24" s="773"/>
      <c r="S24" s="774"/>
      <c r="T24" s="773"/>
      <c r="U24" s="774"/>
      <c r="V24" s="773"/>
      <c r="W24" s="774"/>
      <c r="X24" s="1812"/>
      <c r="Y24" s="3253"/>
      <c r="Z24" s="1813"/>
      <c r="AA24" s="1810"/>
      <c r="AB24" s="1810"/>
      <c r="AC24" s="1810"/>
    </row>
    <row r="25" spans="1:29" ht="57">
      <c r="A25" s="404"/>
      <c r="B25" s="1383"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3"/>
      <c r="Q25" s="1809" t="str">
        <f t="shared" si="8"/>
        <v>自然及人文环境状况</v>
      </c>
      <c r="R25" s="773" t="s">
        <v>17</v>
      </c>
      <c r="S25" s="774">
        <f>F25</f>
        <v>100</v>
      </c>
      <c r="T25" s="773" t="s">
        <v>17</v>
      </c>
      <c r="U25" s="774">
        <f>H25</f>
        <v>100</v>
      </c>
      <c r="V25" s="773" t="s">
        <v>17</v>
      </c>
      <c r="W25" s="774">
        <f>J25</f>
        <v>100</v>
      </c>
      <c r="X25" s="1812"/>
      <c r="Y25" s="3253"/>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253"/>
      <c r="Q26" s="1809"/>
      <c r="R26" s="773"/>
      <c r="S26" s="774"/>
      <c r="T26" s="773"/>
      <c r="U26" s="774"/>
      <c r="V26" s="773"/>
      <c r="W26" s="774"/>
      <c r="X26" s="1812"/>
      <c r="Y26" s="3253"/>
      <c r="Z26" s="1813"/>
      <c r="AA26" s="1810">
        <v>1</v>
      </c>
      <c r="AB26" s="1810">
        <v>1</v>
      </c>
      <c r="AC26" s="1810">
        <v>1</v>
      </c>
    </row>
    <row r="27" spans="1:29" s="117" customFormat="1" ht="42.75">
      <c r="A27" s="649"/>
      <c r="B27" s="1383"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3"/>
      <c r="Q27" s="1794" t="str">
        <f t="shared" si="8"/>
        <v>公共配套设施</v>
      </c>
      <c r="R27" s="769" t="s">
        <v>17</v>
      </c>
      <c r="S27" s="770">
        <f>F27</f>
        <v>100</v>
      </c>
      <c r="T27" s="769" t="s">
        <v>17</v>
      </c>
      <c r="U27" s="770">
        <f>H27</f>
        <v>100</v>
      </c>
      <c r="V27" s="769" t="s">
        <v>17</v>
      </c>
      <c r="W27" s="770">
        <f>J27</f>
        <v>100</v>
      </c>
      <c r="X27" s="771"/>
      <c r="Y27" s="3253"/>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253"/>
      <c r="Q28" s="1794"/>
      <c r="R28" s="769"/>
      <c r="S28" s="770"/>
      <c r="T28" s="769"/>
      <c r="U28" s="770"/>
      <c r="V28" s="769"/>
      <c r="W28" s="770"/>
      <c r="X28" s="771"/>
      <c r="Y28" s="3253"/>
      <c r="Z28" s="55"/>
      <c r="AA28" s="1810">
        <v>1</v>
      </c>
      <c r="AB28" s="1810">
        <v>1</v>
      </c>
      <c r="AC28" s="1810">
        <v>1</v>
      </c>
    </row>
    <row r="29" spans="1:29" s="117" customFormat="1" ht="28.5">
      <c r="A29" s="649"/>
      <c r="B29" s="1383"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3"/>
      <c r="Q29" s="1794" t="str">
        <f t="shared" ref="Q29" si="9">B29</f>
        <v>基础设施水平</v>
      </c>
      <c r="R29" s="769" t="s">
        <v>17</v>
      </c>
      <c r="S29" s="770">
        <f>F29</f>
        <v>100</v>
      </c>
      <c r="T29" s="769" t="s">
        <v>17</v>
      </c>
      <c r="U29" s="770">
        <f>H29</f>
        <v>100</v>
      </c>
      <c r="V29" s="769" t="s">
        <v>17</v>
      </c>
      <c r="W29" s="770">
        <f>J29</f>
        <v>100</v>
      </c>
      <c r="X29" s="771"/>
      <c r="Y29" s="3253"/>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253"/>
      <c r="Q30" s="1794"/>
      <c r="R30" s="769"/>
      <c r="S30" s="770"/>
      <c r="T30" s="769"/>
      <c r="U30" s="770"/>
      <c r="V30" s="769"/>
      <c r="W30" s="770"/>
      <c r="X30" s="771"/>
      <c r="Y30" s="3253"/>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3"/>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3"/>
      <c r="Q32" s="1809" t="str">
        <f t="shared" si="8"/>
        <v>毗邻道路的类型与等级</v>
      </c>
      <c r="R32" s="773" t="s">
        <v>17</v>
      </c>
      <c r="S32" s="774">
        <f t="shared" si="10"/>
        <v>100</v>
      </c>
      <c r="T32" s="773" t="s">
        <v>17</v>
      </c>
      <c r="U32" s="774">
        <f t="shared" si="11"/>
        <v>100</v>
      </c>
      <c r="V32" s="773" t="s">
        <v>17</v>
      </c>
      <c r="W32" s="774">
        <f t="shared" si="12"/>
        <v>100</v>
      </c>
      <c r="X32" s="1812"/>
      <c r="Y32" s="3253"/>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253"/>
      <c r="Q33" s="1809"/>
      <c r="R33" s="773"/>
      <c r="S33" s="774"/>
      <c r="T33" s="773"/>
      <c r="U33" s="774"/>
      <c r="V33" s="773"/>
      <c r="W33" s="774"/>
      <c r="X33" s="1812"/>
      <c r="Y33" s="3253"/>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3"/>
      <c r="Q34" s="1809" t="str">
        <f t="shared" si="8"/>
        <v>土地级别</v>
      </c>
      <c r="R34" s="773" t="s">
        <v>17</v>
      </c>
      <c r="S34" s="774">
        <f t="shared" si="10"/>
        <v>100</v>
      </c>
      <c r="T34" s="773" t="s">
        <v>17</v>
      </c>
      <c r="U34" s="774">
        <f t="shared" si="11"/>
        <v>100</v>
      </c>
      <c r="V34" s="773" t="s">
        <v>17</v>
      </c>
      <c r="W34" s="774">
        <f t="shared" si="12"/>
        <v>100</v>
      </c>
      <c r="X34" s="1812"/>
      <c r="Y34" s="325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3"/>
      <c r="Q35" s="1809">
        <f t="shared" si="8"/>
        <v>111</v>
      </c>
      <c r="R35" s="773" t="s">
        <v>17</v>
      </c>
      <c r="S35" s="774">
        <f t="shared" si="10"/>
        <v>100</v>
      </c>
      <c r="T35" s="773" t="s">
        <v>17</v>
      </c>
      <c r="U35" s="774">
        <f t="shared" si="11"/>
        <v>100</v>
      </c>
      <c r="V35" s="773" t="s">
        <v>17</v>
      </c>
      <c r="W35" s="774">
        <f t="shared" si="12"/>
        <v>100</v>
      </c>
      <c r="X35" s="1812"/>
      <c r="Y35" s="325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6" t="s">
        <v>2565</v>
      </c>
      <c r="Q36" s="1809">
        <f t="shared" si="8"/>
        <v>111</v>
      </c>
      <c r="R36" s="773" t="s">
        <v>17</v>
      </c>
      <c r="S36" s="774">
        <f t="shared" si="10"/>
        <v>100</v>
      </c>
      <c r="T36" s="773" t="s">
        <v>17</v>
      </c>
      <c r="U36" s="774">
        <f t="shared" si="11"/>
        <v>100</v>
      </c>
      <c r="V36" s="773" t="s">
        <v>17</v>
      </c>
      <c r="W36" s="774">
        <f t="shared" si="12"/>
        <v>100</v>
      </c>
      <c r="X36" s="1812"/>
      <c r="Y36" s="3257"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57"/>
      <c r="Q37" s="1809">
        <f t="shared" si="8"/>
        <v>111</v>
      </c>
      <c r="R37" s="776" t="s">
        <v>17</v>
      </c>
      <c r="S37" s="777">
        <f t="shared" si="10"/>
        <v>100</v>
      </c>
      <c r="T37" s="776" t="s">
        <v>17</v>
      </c>
      <c r="U37" s="777">
        <f t="shared" si="11"/>
        <v>100</v>
      </c>
      <c r="V37" s="776" t="s">
        <v>17</v>
      </c>
      <c r="W37" s="777">
        <f t="shared" si="12"/>
        <v>100</v>
      </c>
      <c r="X37" s="778"/>
      <c r="Y37" s="3257"/>
      <c r="Z37" s="779">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57"/>
      <c r="Q38" s="1809" t="str">
        <f>B38</f>
        <v>宗地面积</v>
      </c>
      <c r="R38" s="773" t="s">
        <v>17</v>
      </c>
      <c r="S38" s="774" t="e">
        <f t="shared" si="10"/>
        <v>#N/A</v>
      </c>
      <c r="T38" s="773" t="s">
        <v>17</v>
      </c>
      <c r="U38" s="774" t="e">
        <f t="shared" si="11"/>
        <v>#N/A</v>
      </c>
      <c r="V38" s="773" t="s">
        <v>17</v>
      </c>
      <c r="W38" s="774" t="e">
        <f t="shared" si="12"/>
        <v>#N/A</v>
      </c>
      <c r="X38" s="1812"/>
      <c r="Y38" s="3257"/>
      <c r="Z38" s="1813" t="str">
        <f t="shared" si="13"/>
        <v>宗地面积</v>
      </c>
      <c r="AA38" s="1810" t="e">
        <f t="shared" si="3"/>
        <v>#N/A</v>
      </c>
      <c r="AB38" s="1810" t="e">
        <f t="shared" si="4"/>
        <v>#N/A</v>
      </c>
      <c r="AC38" s="1810"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257"/>
      <c r="Q39" s="1809" t="str">
        <f t="shared" ref="Q39:Q45" si="14">B39</f>
        <v>宗地形状</v>
      </c>
      <c r="R39" s="773" t="s">
        <v>17</v>
      </c>
      <c r="S39" s="774">
        <f t="shared" si="10"/>
        <v>100</v>
      </c>
      <c r="T39" s="773" t="s">
        <v>17</v>
      </c>
      <c r="U39" s="774">
        <f t="shared" si="11"/>
        <v>100</v>
      </c>
      <c r="V39" s="773" t="s">
        <v>17</v>
      </c>
      <c r="W39" s="774">
        <f t="shared" si="12"/>
        <v>100</v>
      </c>
      <c r="X39" s="1812"/>
      <c r="Y39" s="3257"/>
      <c r="Z39" s="1813" t="str">
        <f t="shared" si="13"/>
        <v>宗地形状</v>
      </c>
      <c r="AA39" s="1810">
        <f t="shared" si="3"/>
        <v>1</v>
      </c>
      <c r="AB39" s="1810">
        <f t="shared" si="4"/>
        <v>1</v>
      </c>
      <c r="AC39" s="1810">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257"/>
      <c r="Q40" s="1809" t="str">
        <f t="shared" si="14"/>
        <v>临街宽度及深度</v>
      </c>
      <c r="R40" s="773" t="s">
        <v>17</v>
      </c>
      <c r="S40" s="774">
        <f t="shared" si="10"/>
        <v>100</v>
      </c>
      <c r="T40" s="773" t="s">
        <v>17</v>
      </c>
      <c r="U40" s="774">
        <f t="shared" si="11"/>
        <v>100</v>
      </c>
      <c r="V40" s="773" t="s">
        <v>17</v>
      </c>
      <c r="W40" s="774">
        <f t="shared" si="12"/>
        <v>100</v>
      </c>
      <c r="X40" s="1812"/>
      <c r="Y40" s="3257"/>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257"/>
      <c r="Q41" s="1809" t="str">
        <f t="shared" si="14"/>
        <v>宗地开发程度</v>
      </c>
      <c r="R41" s="769" t="s">
        <v>17</v>
      </c>
      <c r="S41" s="770">
        <f t="shared" si="10"/>
        <v>100</v>
      </c>
      <c r="T41" s="769" t="s">
        <v>17</v>
      </c>
      <c r="U41" s="770">
        <f t="shared" si="11"/>
        <v>100</v>
      </c>
      <c r="V41" s="769" t="s">
        <v>17</v>
      </c>
      <c r="W41" s="770">
        <f t="shared" si="12"/>
        <v>100</v>
      </c>
      <c r="X41" s="771"/>
      <c r="Y41" s="3257"/>
      <c r="Z41" s="55" t="str">
        <f t="shared" si="13"/>
        <v>宗地开发程度</v>
      </c>
      <c r="AA41" s="772">
        <f t="shared" si="3"/>
        <v>1</v>
      </c>
      <c r="AB41" s="772">
        <f t="shared" si="4"/>
        <v>1</v>
      </c>
      <c r="AC41" s="772">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257" t="s">
        <v>2565</v>
      </c>
      <c r="Q42" s="1809" t="str">
        <f t="shared" si="14"/>
        <v>工程地质条件</v>
      </c>
      <c r="R42" s="773" t="s">
        <v>17</v>
      </c>
      <c r="S42" s="774">
        <f t="shared" si="10"/>
        <v>100</v>
      </c>
      <c r="T42" s="773" t="s">
        <v>17</v>
      </c>
      <c r="U42" s="774">
        <f t="shared" si="11"/>
        <v>100</v>
      </c>
      <c r="V42" s="773" t="s">
        <v>17</v>
      </c>
      <c r="W42" s="774">
        <f t="shared" si="12"/>
        <v>100</v>
      </c>
      <c r="X42" s="1812"/>
      <c r="Y42" s="3257"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57"/>
      <c r="Q43" s="1809">
        <f t="shared" si="14"/>
        <v>111</v>
      </c>
      <c r="R43" s="773" t="s">
        <v>17</v>
      </c>
      <c r="S43" s="774">
        <f t="shared" si="10"/>
        <v>100</v>
      </c>
      <c r="T43" s="773" t="s">
        <v>17</v>
      </c>
      <c r="U43" s="774">
        <f t="shared" si="11"/>
        <v>100</v>
      </c>
      <c r="V43" s="773" t="s">
        <v>17</v>
      </c>
      <c r="W43" s="774">
        <f t="shared" si="12"/>
        <v>100</v>
      </c>
      <c r="X43" s="1812"/>
      <c r="Y43" s="325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57"/>
      <c r="Q44" s="1809">
        <f t="shared" si="14"/>
        <v>111</v>
      </c>
      <c r="R44" s="773" t="s">
        <v>17</v>
      </c>
      <c r="S44" s="774">
        <f t="shared" si="10"/>
        <v>100</v>
      </c>
      <c r="T44" s="773" t="s">
        <v>17</v>
      </c>
      <c r="U44" s="774">
        <f t="shared" si="11"/>
        <v>100</v>
      </c>
      <c r="V44" s="773" t="s">
        <v>17</v>
      </c>
      <c r="W44" s="774">
        <f t="shared" si="12"/>
        <v>100</v>
      </c>
      <c r="X44" s="1812"/>
      <c r="Y44" s="3257"/>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57"/>
      <c r="Q45" s="1809">
        <f t="shared" si="14"/>
        <v>111</v>
      </c>
      <c r="R45" s="776" t="s">
        <v>17</v>
      </c>
      <c r="S45" s="777">
        <f t="shared" si="10"/>
        <v>100</v>
      </c>
      <c r="T45" s="776" t="s">
        <v>17</v>
      </c>
      <c r="U45" s="777">
        <f t="shared" si="11"/>
        <v>100</v>
      </c>
      <c r="V45" s="776" t="s">
        <v>17</v>
      </c>
      <c r="W45" s="777">
        <f t="shared" si="12"/>
        <v>100</v>
      </c>
      <c r="X45" s="778"/>
      <c r="Y45" s="3257"/>
      <c r="Z45" s="779">
        <f t="shared" si="13"/>
        <v>111</v>
      </c>
      <c r="AA45" s="1810">
        <f t="shared" si="3"/>
        <v>1</v>
      </c>
      <c r="AB45" s="1810">
        <f t="shared" si="4"/>
        <v>1</v>
      </c>
      <c r="AC45" s="1810">
        <f t="shared" si="5"/>
        <v>1</v>
      </c>
    </row>
    <row r="46" spans="1:29" ht="15">
      <c r="A46" s="479" t="s">
        <v>2720</v>
      </c>
      <c r="B46" s="2704" t="s">
        <v>2756</v>
      </c>
      <c r="C46" s="682" t="s">
        <v>1</v>
      </c>
      <c r="D46" s="481"/>
      <c r="E46" s="482"/>
      <c r="F46" s="483"/>
      <c r="G46" s="484"/>
      <c r="H46" s="485"/>
      <c r="I46" s="482"/>
      <c r="J46" s="485"/>
      <c r="K46" s="782"/>
      <c r="L46" s="1142"/>
      <c r="M46" s="1143"/>
      <c r="N46" s="1130"/>
      <c r="O46" s="1143"/>
      <c r="P46" s="3250" t="str">
        <f>A46</f>
        <v>成交单价</v>
      </c>
      <c r="Q46" s="3250"/>
      <c r="R46" s="3245">
        <f>E46</f>
        <v>0</v>
      </c>
      <c r="S46" s="3245"/>
      <c r="T46" s="3245">
        <f>G46</f>
        <v>0</v>
      </c>
      <c r="U46" s="3245"/>
      <c r="V46" s="3245">
        <f>I46</f>
        <v>0</v>
      </c>
      <c r="W46" s="3245"/>
      <c r="X46" s="758"/>
      <c r="Y46" s="780"/>
      <c r="Z46" s="758"/>
      <c r="AA46" s="758"/>
      <c r="AB46" s="758"/>
      <c r="AC46" s="758"/>
    </row>
    <row r="47" spans="1:29" ht="15.75" thickBot="1">
      <c r="A47" s="486" t="s">
        <v>2669</v>
      </c>
      <c r="B47" s="683"/>
      <c r="C47" s="490" t="e">
        <f>R48</f>
        <v>#DIV/0!</v>
      </c>
      <c r="D47" s="489"/>
      <c r="E47" s="490" t="e">
        <f>R47</f>
        <v>#DIV/0!</v>
      </c>
      <c r="F47" s="491"/>
      <c r="G47" s="488" t="e">
        <f>T47</f>
        <v>#DIV/0!</v>
      </c>
      <c r="H47" s="489"/>
      <c r="I47" s="490" t="e">
        <f>V47</f>
        <v>#DIV/0!</v>
      </c>
      <c r="J47" s="489"/>
      <c r="K47" s="783"/>
      <c r="L47" s="1142"/>
      <c r="M47" s="1143"/>
      <c r="N47" s="1143"/>
      <c r="O47" s="1143"/>
      <c r="P47" s="3250" t="str">
        <f>A47</f>
        <v>比较价值（元/平方米）</v>
      </c>
      <c r="Q47" s="3250"/>
      <c r="R47" s="3277" t="e">
        <f>ROUND(PRODUCT(R46,AA7:AA45),0)</f>
        <v>#DIV/0!</v>
      </c>
      <c r="S47" s="3277"/>
      <c r="T47" s="3277" t="e">
        <f>ROUND(PRODUCT(T46,AB7:AB45),0)</f>
        <v>#DIV/0!</v>
      </c>
      <c r="U47" s="3277"/>
      <c r="V47" s="3277" t="e">
        <f>ROUND(PRODUCT(V46,AC7:AC45),0)</f>
        <v>#DIV/0!</v>
      </c>
      <c r="W47" s="3277"/>
      <c r="X47" s="758"/>
      <c r="Y47" s="758"/>
      <c r="Z47" s="758"/>
      <c r="AA47" s="758"/>
      <c r="AB47" s="758"/>
      <c r="AC47" s="758"/>
    </row>
    <row r="48" spans="1:29" ht="15.75" thickBot="1">
      <c r="A48" s="492" t="s">
        <v>2757</v>
      </c>
      <c r="B48" s="493"/>
      <c r="C48" s="494" t="e">
        <f>R48</f>
        <v>#DIV/0!</v>
      </c>
      <c r="D48" s="494"/>
      <c r="E48" s="494"/>
      <c r="F48" s="494"/>
      <c r="G48" s="494"/>
      <c r="H48" s="494"/>
      <c r="I48" s="494"/>
      <c r="J48" s="494"/>
      <c r="K48" s="784"/>
      <c r="L48" s="1142"/>
      <c r="M48" s="1143"/>
      <c r="N48" s="1143"/>
      <c r="O48" s="1143"/>
      <c r="P48" s="3247" t="str">
        <f>A48</f>
        <v>估价对象XX用房的比较价值（楼面单价，元/平方米）</v>
      </c>
      <c r="Q48" s="3248"/>
      <c r="R48" s="3278" t="e">
        <f>ROUND(AVERAGE(R47:V47),0)</f>
        <v>#DIV/0!</v>
      </c>
      <c r="S48" s="3278"/>
      <c r="T48" s="3278"/>
      <c r="U48" s="3278"/>
      <c r="V48" s="3278"/>
      <c r="W48" s="327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2758</v>
      </c>
      <c r="B55" s="685" t="s">
        <v>2759</v>
      </c>
      <c r="C55" s="2705" t="s">
        <v>2760</v>
      </c>
      <c r="D55" s="2706" t="s">
        <v>2761</v>
      </c>
      <c r="E55" s="686" t="s">
        <v>2762</v>
      </c>
      <c r="F55" s="1106" t="s">
        <v>2763</v>
      </c>
      <c r="G55" s="3233" t="s">
        <v>2764</v>
      </c>
      <c r="H55" s="3279"/>
      <c r="I55" s="144" t="s">
        <v>2765</v>
      </c>
      <c r="J55" s="2707">
        <f>项目基本情况!F35</f>
        <v>0</v>
      </c>
      <c r="K55" s="2708" t="s">
        <v>2766</v>
      </c>
      <c r="L55" s="1105"/>
      <c r="M55" s="1143"/>
      <c r="N55" s="1143"/>
      <c r="O55" s="1143"/>
    </row>
    <row r="56" spans="1:15" s="692" customFormat="1">
      <c r="A56" s="688" t="s">
        <v>2767</v>
      </c>
      <c r="B56" s="689" t="e">
        <f>C48</f>
        <v>#DIV/0!</v>
      </c>
      <c r="C56" s="690">
        <v>1</v>
      </c>
      <c r="D56" s="1162">
        <v>1</v>
      </c>
      <c r="E56" s="690">
        <f>'数据-汇总表'!E8+'数据-汇总表'!E9</f>
        <v>16248.41</v>
      </c>
      <c r="F56" s="1102" t="e">
        <f t="shared" ref="F56:F65" si="15">ROUND(B56*E56/10000,0)</f>
        <v>#DIV/0!</v>
      </c>
      <c r="G56" s="3232"/>
      <c r="H56" s="3250"/>
      <c r="I56" s="1107">
        <v>1</v>
      </c>
      <c r="J56" s="1110">
        <v>1</v>
      </c>
      <c r="K56" s="1144"/>
      <c r="L56" s="940"/>
      <c r="M56" s="940"/>
      <c r="N56" s="940"/>
      <c r="O56" s="940"/>
    </row>
    <row r="57" spans="1:15" s="692" customFormat="1">
      <c r="A57" s="693" t="s">
        <v>2768</v>
      </c>
      <c r="B57" s="262" t="e">
        <f>ROUND($C$48*C57*D57,0)</f>
        <v>#DIV/0!</v>
      </c>
      <c r="C57" s="200">
        <f t="shared" ref="C57:C65" si="16">IF($C$55="北京市系数",I57,J57)</f>
        <v>0</v>
      </c>
      <c r="D57" s="1163">
        <v>0.25</v>
      </c>
      <c r="E57" s="694"/>
      <c r="F57" s="1102" t="e">
        <f t="shared" si="15"/>
        <v>#DIV/0!</v>
      </c>
      <c r="G57" s="3280" t="s">
        <v>2769</v>
      </c>
      <c r="H57" s="1103">
        <f>项目基本情况!B37</f>
        <v>0</v>
      </c>
      <c r="I57" s="1107">
        <f>SUMIF(修正!A45:A56,H57,修正!B45:B56)</f>
        <v>0</v>
      </c>
      <c r="J57" s="1111"/>
      <c r="K57" s="1143"/>
      <c r="L57" s="940"/>
      <c r="M57" s="940"/>
      <c r="N57" s="940"/>
      <c r="O57" s="940"/>
    </row>
    <row r="58" spans="1:15" s="692" customFormat="1">
      <c r="A58" s="693" t="s">
        <v>2770</v>
      </c>
      <c r="B58" s="262" t="e">
        <f t="shared" ref="B58:B65" si="17">ROUND($C$48*C58*D58,0)</f>
        <v>#DIV/0!</v>
      </c>
      <c r="C58" s="200">
        <f t="shared" si="16"/>
        <v>0</v>
      </c>
      <c r="D58" s="1163">
        <v>0.25</v>
      </c>
      <c r="E58" s="694"/>
      <c r="F58" s="1102" t="e">
        <f t="shared" si="15"/>
        <v>#DIV/0!</v>
      </c>
      <c r="G58" s="3280"/>
      <c r="H58" s="1103">
        <f>项目基本情况!B37</f>
        <v>0</v>
      </c>
      <c r="I58" s="1107">
        <f>SUMIF(修正!A45:A56,H58,修正!C45:C56)</f>
        <v>0</v>
      </c>
      <c r="J58" s="1111"/>
      <c r="K58" s="1144"/>
      <c r="L58" s="940"/>
      <c r="M58" s="940"/>
      <c r="N58" s="940"/>
      <c r="O58" s="940"/>
    </row>
    <row r="59" spans="1:15" s="692" customFormat="1">
      <c r="A59" s="693" t="s">
        <v>2771</v>
      </c>
      <c r="B59" s="262" t="e">
        <f t="shared" si="17"/>
        <v>#DIV/0!</v>
      </c>
      <c r="C59" s="200">
        <f t="shared" si="16"/>
        <v>0</v>
      </c>
      <c r="D59" s="1163">
        <v>0.25</v>
      </c>
      <c r="E59" s="694"/>
      <c r="F59" s="1102" t="e">
        <f t="shared" si="15"/>
        <v>#DIV/0!</v>
      </c>
      <c r="G59" s="3280"/>
      <c r="H59" s="1103">
        <f>项目基本情况!B37</f>
        <v>0</v>
      </c>
      <c r="I59" s="1107">
        <f>SUMIF(修正!A45:A56,H59,修正!D45:D56)</f>
        <v>0</v>
      </c>
      <c r="J59" s="1111"/>
      <c r="K59" s="1143"/>
      <c r="L59" s="940"/>
      <c r="M59" s="940"/>
      <c r="N59" s="940"/>
      <c r="O59" s="940"/>
    </row>
    <row r="60" spans="1:15" s="692" customFormat="1">
      <c r="A60" s="693" t="s">
        <v>2772</v>
      </c>
      <c r="B60" s="262" t="e">
        <f t="shared" si="17"/>
        <v>#DIV/0!</v>
      </c>
      <c r="C60" s="200">
        <f t="shared" si="16"/>
        <v>0</v>
      </c>
      <c r="D60" s="1163">
        <v>0.25</v>
      </c>
      <c r="E60" s="694"/>
      <c r="F60" s="1102" t="e">
        <f t="shared" si="15"/>
        <v>#DIV/0!</v>
      </c>
      <c r="G60" s="3280"/>
      <c r="H60" s="1103">
        <f>项目基本情况!B37</f>
        <v>0</v>
      </c>
      <c r="I60" s="1107">
        <f>SUMIF(修正!A45:A56,H60,修正!E45:E56)</f>
        <v>0</v>
      </c>
      <c r="J60" s="1111"/>
      <c r="K60" s="1144"/>
      <c r="L60" s="940"/>
      <c r="M60" s="940"/>
      <c r="N60" s="940"/>
      <c r="O60" s="940"/>
    </row>
    <row r="61" spans="1:15" s="692" customFormat="1">
      <c r="A61" s="693" t="s">
        <v>2773</v>
      </c>
      <c r="B61" s="262" t="e">
        <f t="shared" si="17"/>
        <v>#DIV/0!</v>
      </c>
      <c r="C61" s="200">
        <f t="shared" si="16"/>
        <v>0</v>
      </c>
      <c r="D61" s="1163">
        <v>0.25</v>
      </c>
      <c r="E61" s="261">
        <f>'数据-汇总表'!E11</f>
        <v>0</v>
      </c>
      <c r="F61" s="1102" t="e">
        <f t="shared" si="15"/>
        <v>#DIV/0!</v>
      </c>
      <c r="G61" s="2709" t="s">
        <v>2774</v>
      </c>
      <c r="H61" s="1103">
        <f>项目基本情况!C37</f>
        <v>0</v>
      </c>
      <c r="I61" s="1107">
        <f>SUMIF(修正!A45:A56,H61,修正!F45:F56)</f>
        <v>0</v>
      </c>
      <c r="J61" s="1111"/>
      <c r="K61" s="1143"/>
      <c r="L61" s="940"/>
      <c r="M61" s="940"/>
      <c r="N61" s="940"/>
      <c r="O61" s="940"/>
    </row>
    <row r="62" spans="1:15" s="692" customFormat="1">
      <c r="A62" s="693" t="s">
        <v>2775</v>
      </c>
      <c r="B62" s="262" t="e">
        <f t="shared" si="17"/>
        <v>#DIV/0!</v>
      </c>
      <c r="C62" s="200">
        <f t="shared" si="16"/>
        <v>0</v>
      </c>
      <c r="D62" s="1163">
        <v>0.25</v>
      </c>
      <c r="E62" s="261">
        <f>'数据-汇总表'!E12</f>
        <v>0</v>
      </c>
      <c r="F62" s="1102" t="e">
        <f t="shared" si="15"/>
        <v>#DIV/0!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2777</v>
      </c>
      <c r="B63" s="262" t="e">
        <f t="shared" si="17"/>
        <v>#DIV/0!</v>
      </c>
      <c r="C63" s="200">
        <f t="shared" si="16"/>
        <v>0</v>
      </c>
      <c r="D63" s="1163">
        <v>0.25</v>
      </c>
      <c r="E63" s="261">
        <f>'数据-汇总表'!E13</f>
        <v>0</v>
      </c>
      <c r="F63" s="1102" t="e">
        <f t="shared" si="15"/>
        <v>#DIV/0!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2779</v>
      </c>
      <c r="B64" s="262" t="e">
        <f t="shared" si="17"/>
        <v>#DIV/0!</v>
      </c>
      <c r="C64" s="200">
        <f t="shared" si="16"/>
        <v>0</v>
      </c>
      <c r="D64" s="1163">
        <v>0.25</v>
      </c>
      <c r="E64" s="261">
        <f>'数据-汇总表'!E14</f>
        <v>0</v>
      </c>
      <c r="F64" s="1102" t="e">
        <f t="shared" si="15"/>
        <v>#DIV/0!</v>
      </c>
      <c r="G64" s="2709" t="s">
        <v>2769</v>
      </c>
      <c r="H64" s="1103">
        <f>项目基本情况!B37</f>
        <v>0</v>
      </c>
      <c r="I64" s="1107">
        <f>SUMIF(修正!A45:A56,H64,修正!H45:H56)</f>
        <v>0</v>
      </c>
      <c r="J64" s="1111"/>
      <c r="K64" s="1144"/>
      <c r="L64" s="940"/>
      <c r="M64" s="940"/>
      <c r="N64" s="940"/>
      <c r="O64" s="940"/>
    </row>
    <row r="65" spans="1:17" s="692" customFormat="1" ht="15" thickBot="1">
      <c r="A65" s="693" t="s">
        <v>2780</v>
      </c>
      <c r="B65" s="262" t="e">
        <f t="shared" si="17"/>
        <v>#DIV/0!</v>
      </c>
      <c r="C65" s="200">
        <f t="shared" si="16"/>
        <v>0</v>
      </c>
      <c r="D65" s="1163">
        <v>0.25</v>
      </c>
      <c r="E65" s="261">
        <f>'数据-汇总表'!E15</f>
        <v>0</v>
      </c>
      <c r="F65" s="1102" t="e">
        <f t="shared" si="15"/>
        <v>#DIV/0!</v>
      </c>
      <c r="G65" s="2710" t="s">
        <v>2774</v>
      </c>
      <c r="H65" s="1113">
        <f>项目基本情况!C37</f>
        <v>0</v>
      </c>
      <c r="I65" s="1109">
        <f>SUMIF(修正!A45:A56,H65,修正!H45:H56)</f>
        <v>0</v>
      </c>
      <c r="J65" s="1112"/>
      <c r="K65" s="1143"/>
      <c r="L65" s="940"/>
      <c r="M65" s="940"/>
      <c r="N65" s="940"/>
      <c r="O65" s="940"/>
    </row>
    <row r="66" spans="1:17" s="692" customFormat="1" ht="13.5" thickBot="1">
      <c r="A66" s="695" t="s">
        <v>2781</v>
      </c>
      <c r="B66" s="696" t="s">
        <v>28</v>
      </c>
      <c r="C66" s="696" t="s">
        <v>29</v>
      </c>
      <c r="D66" s="696" t="s">
        <v>1026</v>
      </c>
      <c r="E66" s="696">
        <f>IF(B46="楼面地价",SUM(E56:E65),'数据-汇总表'!D3)</f>
        <v>16248.41</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2674</v>
      </c>
      <c r="B69" s="758"/>
      <c r="C69" s="763"/>
      <c r="D69" s="763"/>
      <c r="E69" s="763"/>
      <c r="F69" s="764"/>
      <c r="G69" s="764"/>
      <c r="H69" s="763"/>
      <c r="I69" s="763"/>
      <c r="J69" s="1158"/>
      <c r="K69" s="1159"/>
      <c r="L69" s="1160"/>
      <c r="M69" s="1158"/>
      <c r="N69" s="1158"/>
      <c r="O69" s="1158"/>
      <c r="P69" s="503"/>
      <c r="Q69" s="504"/>
    </row>
    <row r="70" spans="1:17" s="508" customFormat="1" ht="15">
      <c r="A70" s="2711" t="s">
        <v>2782</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2" t="s">
        <v>2783</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1"/>
      <c r="P72" s="504"/>
      <c r="Q72" s="504"/>
    </row>
    <row r="73" spans="1:17" s="117" customFormat="1" ht="15">
      <c r="A73" s="521" t="s">
        <v>2550</v>
      </c>
      <c r="B73" s="510"/>
      <c r="C73" s="522" t="s">
        <v>2652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2588</v>
      </c>
      <c r="B75" s="528" t="s">
        <v>2554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33" t="s">
        <v>2646</v>
      </c>
      <c r="D4" s="3234"/>
      <c r="E4" s="3235" t="s">
        <v>2647</v>
      </c>
      <c r="F4" s="3236"/>
      <c r="G4" s="3233" t="s">
        <v>2648</v>
      </c>
      <c r="H4" s="3234"/>
      <c r="I4" s="3233" t="s">
        <v>2649</v>
      </c>
      <c r="J4" s="3234"/>
      <c r="K4" s="610" t="s">
        <v>2650</v>
      </c>
      <c r="L4" s="1129"/>
      <c r="M4" s="1130"/>
      <c r="N4" s="1130"/>
      <c r="O4" s="1130"/>
      <c r="P4" s="3237" t="s">
        <v>2651</v>
      </c>
      <c r="Q4" s="3238"/>
      <c r="R4" s="3220" t="s">
        <v>2647</v>
      </c>
      <c r="S4" s="3221"/>
      <c r="T4" s="3220" t="s">
        <v>2648</v>
      </c>
      <c r="U4" s="3221"/>
      <c r="V4" s="3245" t="s">
        <v>2649</v>
      </c>
      <c r="W4" s="3245"/>
      <c r="X4" s="1812"/>
      <c r="Y4" s="3220" t="s">
        <v>2651</v>
      </c>
      <c r="Z4" s="3221"/>
      <c r="AA4" s="3215" t="s">
        <v>2647</v>
      </c>
      <c r="AB4" s="3216" t="s">
        <v>2648</v>
      </c>
      <c r="AC4" s="3215" t="s">
        <v>2649</v>
      </c>
    </row>
    <row r="5" spans="1:29" ht="15">
      <c r="A5" s="404"/>
      <c r="B5" s="405"/>
      <c r="C5" s="3226" t="s">
        <v>2542</v>
      </c>
      <c r="D5" s="3227"/>
      <c r="E5" s="3224" t="s">
        <v>2543</v>
      </c>
      <c r="F5" s="3225"/>
      <c r="G5" s="3226" t="s">
        <v>2544</v>
      </c>
      <c r="H5" s="3227"/>
      <c r="I5" s="3226" t="s">
        <v>2545</v>
      </c>
      <c r="J5" s="3227"/>
      <c r="K5" s="610"/>
      <c r="L5" s="1129"/>
      <c r="M5" s="1130"/>
      <c r="N5" s="1130"/>
      <c r="O5" s="1130"/>
      <c r="P5" s="3239"/>
      <c r="Q5" s="3240"/>
      <c r="R5" s="3222"/>
      <c r="S5" s="3223"/>
      <c r="T5" s="3222"/>
      <c r="U5" s="3223"/>
      <c r="V5" s="3245"/>
      <c r="W5" s="3245"/>
      <c r="X5" s="1812"/>
      <c r="Y5" s="3222"/>
      <c r="Z5" s="3223"/>
      <c r="AA5" s="3216"/>
      <c r="AB5" s="3216"/>
      <c r="AC5" s="3216"/>
    </row>
    <row r="6" spans="1:29" ht="15.75" thickBot="1">
      <c r="A6" s="406"/>
      <c r="B6" s="407"/>
      <c r="C6" s="3281" t="s">
        <v>2797</v>
      </c>
      <c r="D6" s="3282"/>
      <c r="E6" s="3283" t="s">
        <v>2797</v>
      </c>
      <c r="F6" s="3284"/>
      <c r="G6" s="3281" t="s">
        <v>2797</v>
      </c>
      <c r="H6" s="3282"/>
      <c r="I6" s="3281" t="s">
        <v>2797</v>
      </c>
      <c r="J6" s="3282"/>
      <c r="K6" s="610" t="s">
        <v>2547</v>
      </c>
      <c r="L6" s="1129"/>
      <c r="M6" s="1130"/>
      <c r="N6" s="1130"/>
      <c r="O6" s="1130"/>
      <c r="P6" s="3241"/>
      <c r="Q6" s="3242"/>
      <c r="R6" s="3222"/>
      <c r="S6" s="3223"/>
      <c r="T6" s="3243"/>
      <c r="U6" s="3244"/>
      <c r="V6" s="3245"/>
      <c r="W6" s="3245"/>
      <c r="X6" s="1812"/>
      <c r="Y6" s="3243"/>
      <c r="Z6" s="3244"/>
      <c r="AA6" s="3217"/>
      <c r="AB6" s="3217"/>
      <c r="AC6" s="3217"/>
    </row>
    <row r="7" spans="1:29" s="117" customFormat="1" ht="15.75" thickBot="1">
      <c r="A7" s="408" t="s">
        <v>2548</v>
      </c>
      <c r="B7" s="409"/>
      <c r="C7" s="410">
        <f>'数据-取费表'!B2</f>
        <v>43761</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18" t="s">
        <v>2549</v>
      </c>
      <c r="Q7" s="3246"/>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0" si="3">D8/F8</f>
        <v>#DIV/0!</v>
      </c>
      <c r="AB8" s="772" t="e">
        <f t="shared" ref="AB8:AB40" si="4">D8/H8</f>
        <v>#DIV/0!</v>
      </c>
      <c r="AC8" s="772"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250" t="s">
        <v>2555</v>
      </c>
      <c r="Q9" s="1794" t="str">
        <f t="shared" ref="Q9:Q15" si="6">B9</f>
        <v>用途</v>
      </c>
      <c r="R9" s="769" t="s">
        <v>17</v>
      </c>
      <c r="S9" s="770">
        <f t="shared" si="0"/>
        <v>100</v>
      </c>
      <c r="T9" s="769" t="s">
        <v>17</v>
      </c>
      <c r="U9" s="770">
        <f t="shared" si="1"/>
        <v>100</v>
      </c>
      <c r="V9" s="769" t="s">
        <v>17</v>
      </c>
      <c r="W9" s="770">
        <f t="shared" si="2"/>
        <v>100</v>
      </c>
      <c r="X9" s="771"/>
      <c r="Y9" s="3065"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250"/>
      <c r="Q10" s="1794" t="str">
        <f t="shared" si="6"/>
        <v>土地使用年限（年）</v>
      </c>
      <c r="R10" s="769" t="s">
        <v>17</v>
      </c>
      <c r="S10" s="770">
        <f t="shared" si="0"/>
        <v>105</v>
      </c>
      <c r="T10" s="769" t="s">
        <v>17</v>
      </c>
      <c r="U10" s="770">
        <f t="shared" si="1"/>
        <v>105</v>
      </c>
      <c r="V10" s="769" t="s">
        <v>17</v>
      </c>
      <c r="W10" s="770">
        <f t="shared" si="2"/>
        <v>105</v>
      </c>
      <c r="X10" s="771"/>
      <c r="Y10" s="3065"/>
      <c r="Z10" s="55" t="str">
        <f t="shared" si="7"/>
        <v>土地使用年限（年）</v>
      </c>
      <c r="AA10" s="772">
        <f t="shared" si="3"/>
        <v>0.95238095238095233</v>
      </c>
      <c r="AB10" s="772">
        <f t="shared" si="4"/>
        <v>0.95238095238095233</v>
      </c>
      <c r="AC10" s="772">
        <f t="shared" si="5"/>
        <v>0.95238095238095233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0"/>
      <c r="Q11" s="1794" t="str">
        <f t="shared" si="6"/>
        <v>容积率</v>
      </c>
      <c r="R11" s="769" t="s">
        <v>17</v>
      </c>
      <c r="S11" s="770" t="e">
        <f t="shared" si="0"/>
        <v>#N/A</v>
      </c>
      <c r="T11" s="769" t="s">
        <v>17</v>
      </c>
      <c r="U11" s="770" t="e">
        <f t="shared" si="1"/>
        <v>#N/A</v>
      </c>
      <c r="V11" s="769" t="s">
        <v>17</v>
      </c>
      <c r="W11" s="770" t="e">
        <f t="shared" si="2"/>
        <v>#N/A</v>
      </c>
      <c r="X11" s="771"/>
      <c r="Y11" s="3065"/>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0"/>
      <c r="Q12" s="1794">
        <f t="shared" si="6"/>
        <v>111</v>
      </c>
      <c r="R12" s="769" t="s">
        <v>17</v>
      </c>
      <c r="S12" s="770">
        <f t="shared" si="0"/>
        <v>100</v>
      </c>
      <c r="T12" s="769" t="s">
        <v>17</v>
      </c>
      <c r="U12" s="770">
        <f t="shared" si="1"/>
        <v>100</v>
      </c>
      <c r="V12" s="769" t="s">
        <v>17</v>
      </c>
      <c r="W12" s="770">
        <f t="shared" si="2"/>
        <v>100</v>
      </c>
      <c r="X12" s="771"/>
      <c r="Y12" s="3065"/>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0"/>
      <c r="Q13" s="1794">
        <f t="shared" si="6"/>
        <v>111</v>
      </c>
      <c r="R13" s="769" t="s">
        <v>17</v>
      </c>
      <c r="S13" s="770">
        <f t="shared" si="0"/>
        <v>100</v>
      </c>
      <c r="T13" s="769" t="s">
        <v>17</v>
      </c>
      <c r="U13" s="770">
        <f t="shared" si="1"/>
        <v>100</v>
      </c>
      <c r="V13" s="769" t="s">
        <v>17</v>
      </c>
      <c r="W13" s="770">
        <f t="shared" si="2"/>
        <v>100</v>
      </c>
      <c r="X13" s="771"/>
      <c r="Y13" s="3065"/>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0"/>
      <c r="Q14" s="1794">
        <f t="shared" si="6"/>
        <v>111</v>
      </c>
      <c r="R14" s="769" t="s">
        <v>17</v>
      </c>
      <c r="S14" s="770">
        <f t="shared" si="0"/>
        <v>100</v>
      </c>
      <c r="T14" s="769" t="s">
        <v>17</v>
      </c>
      <c r="U14" s="770">
        <f t="shared" si="1"/>
        <v>100</v>
      </c>
      <c r="V14" s="769" t="s">
        <v>17</v>
      </c>
      <c r="W14" s="770">
        <f t="shared" si="2"/>
        <v>100</v>
      </c>
      <c r="X14" s="771"/>
      <c r="Y14" s="3065"/>
      <c r="Z14" s="55">
        <f t="shared" si="7"/>
        <v>111</v>
      </c>
      <c r="AA14" s="772">
        <f t="shared" si="3"/>
        <v>1</v>
      </c>
      <c r="AB14" s="772">
        <f t="shared" si="4"/>
        <v>1</v>
      </c>
      <c r="AC14" s="772">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2" t="s">
        <v>2560</v>
      </c>
      <c r="Q15" s="1809" t="str">
        <f t="shared" si="6"/>
        <v>产业集聚程度</v>
      </c>
      <c r="R15" s="773" t="s">
        <v>17</v>
      </c>
      <c r="S15" s="774">
        <f t="shared" si="0"/>
        <v>100</v>
      </c>
      <c r="T15" s="773" t="s">
        <v>17</v>
      </c>
      <c r="U15" s="774">
        <f t="shared" si="1"/>
        <v>100</v>
      </c>
      <c r="V15" s="773" t="s">
        <v>17</v>
      </c>
      <c r="W15" s="774">
        <f t="shared" si="2"/>
        <v>100</v>
      </c>
      <c r="X15" s="1812"/>
      <c r="Y15" s="3252" t="s">
        <v>2560</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253"/>
      <c r="Q16" s="1809"/>
      <c r="R16" s="773"/>
      <c r="S16" s="774"/>
      <c r="T16" s="773"/>
      <c r="U16" s="774"/>
      <c r="V16" s="773"/>
      <c r="W16" s="774"/>
      <c r="X16" s="1812"/>
      <c r="Y16" s="3253"/>
      <c r="Z16" s="1813"/>
      <c r="AA16" s="1810">
        <v>1</v>
      </c>
      <c r="AB16" s="1810">
        <v>1</v>
      </c>
      <c r="AC16" s="1810">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3"/>
      <c r="Q17" s="1809" t="str">
        <f>B17</f>
        <v>交通便捷度</v>
      </c>
      <c r="R17" s="773" t="s">
        <v>17</v>
      </c>
      <c r="S17" s="774">
        <f>F17</f>
        <v>100</v>
      </c>
      <c r="T17" s="773" t="s">
        <v>17</v>
      </c>
      <c r="U17" s="774">
        <f>H17</f>
        <v>100</v>
      </c>
      <c r="V17" s="773" t="s">
        <v>17</v>
      </c>
      <c r="W17" s="774">
        <f>J17</f>
        <v>100</v>
      </c>
      <c r="X17" s="1812"/>
      <c r="Y17" s="3253"/>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253"/>
      <c r="Q18" s="1809"/>
      <c r="R18" s="773"/>
      <c r="S18" s="774"/>
      <c r="T18" s="773"/>
      <c r="U18" s="774"/>
      <c r="V18" s="773"/>
      <c r="W18" s="774"/>
      <c r="X18" s="1812"/>
      <c r="Y18" s="3253"/>
      <c r="Z18" s="1813"/>
      <c r="AA18" s="1810">
        <v>1</v>
      </c>
      <c r="AB18" s="1810">
        <v>1</v>
      </c>
      <c r="AC18" s="1810">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3"/>
      <c r="Q19" s="1809" t="str">
        <f t="shared" ref="Q19:Q33" si="8">B19</f>
        <v>区域土地利用方向</v>
      </c>
      <c r="R19" s="773" t="s">
        <v>17</v>
      </c>
      <c r="S19" s="774">
        <f>F19</f>
        <v>100</v>
      </c>
      <c r="T19" s="773" t="s">
        <v>17</v>
      </c>
      <c r="U19" s="774">
        <f>H19</f>
        <v>100</v>
      </c>
      <c r="V19" s="773" t="s">
        <v>17</v>
      </c>
      <c r="W19" s="774">
        <f>J19</f>
        <v>100</v>
      </c>
      <c r="X19" s="1812"/>
      <c r="Y19" s="3253"/>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253"/>
      <c r="Q20" s="1809"/>
      <c r="R20" s="773"/>
      <c r="S20" s="774"/>
      <c r="T20" s="773"/>
      <c r="U20" s="774"/>
      <c r="V20" s="773"/>
      <c r="W20" s="774"/>
      <c r="X20" s="1812"/>
      <c r="Y20" s="3253"/>
      <c r="Z20" s="1813"/>
      <c r="AA20" s="1810"/>
      <c r="AB20" s="1810"/>
      <c r="AC20" s="1810"/>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3"/>
      <c r="Q21" s="1809" t="str">
        <f t="shared" si="8"/>
        <v>环境状况</v>
      </c>
      <c r="R21" s="773" t="s">
        <v>17</v>
      </c>
      <c r="S21" s="774">
        <f>F21</f>
        <v>100</v>
      </c>
      <c r="T21" s="773" t="s">
        <v>17</v>
      </c>
      <c r="U21" s="774">
        <f>H21</f>
        <v>100</v>
      </c>
      <c r="V21" s="773" t="s">
        <v>17</v>
      </c>
      <c r="W21" s="774">
        <f>J21</f>
        <v>100</v>
      </c>
      <c r="X21" s="1812"/>
      <c r="Y21" s="3253"/>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253"/>
      <c r="Q22" s="1809"/>
      <c r="R22" s="773"/>
      <c r="S22" s="774"/>
      <c r="T22" s="773"/>
      <c r="U22" s="774"/>
      <c r="V22" s="773"/>
      <c r="W22" s="774"/>
      <c r="X22" s="1812"/>
      <c r="Y22" s="3253"/>
      <c r="Z22" s="1813"/>
      <c r="AA22" s="1810">
        <v>1</v>
      </c>
      <c r="AB22" s="1810">
        <v>1</v>
      </c>
      <c r="AC22" s="1810">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3"/>
      <c r="Q23" s="1794" t="str">
        <f t="shared" si="8"/>
        <v>公共配套设施</v>
      </c>
      <c r="R23" s="769" t="s">
        <v>17</v>
      </c>
      <c r="S23" s="770">
        <f>F23</f>
        <v>100</v>
      </c>
      <c r="T23" s="769" t="s">
        <v>17</v>
      </c>
      <c r="U23" s="770">
        <f>H23</f>
        <v>100</v>
      </c>
      <c r="V23" s="769" t="s">
        <v>17</v>
      </c>
      <c r="W23" s="770">
        <f>J23</f>
        <v>100</v>
      </c>
      <c r="X23" s="771"/>
      <c r="Y23" s="3253"/>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253"/>
      <c r="Q24" s="1794"/>
      <c r="R24" s="769"/>
      <c r="S24" s="770"/>
      <c r="T24" s="769"/>
      <c r="U24" s="770"/>
      <c r="V24" s="769"/>
      <c r="W24" s="770"/>
      <c r="X24" s="771"/>
      <c r="Y24" s="3253"/>
      <c r="Z24" s="55"/>
      <c r="AA24" s="772">
        <v>1</v>
      </c>
      <c r="AB24" s="772">
        <v>1</v>
      </c>
      <c r="AC24" s="772">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3"/>
      <c r="Q25" s="1794" t="str">
        <f t="shared" ref="Q25" si="9">B25</f>
        <v>基础设施水平</v>
      </c>
      <c r="R25" s="769" t="s">
        <v>17</v>
      </c>
      <c r="S25" s="770">
        <f>F25</f>
        <v>100</v>
      </c>
      <c r="T25" s="769" t="s">
        <v>17</v>
      </c>
      <c r="U25" s="770">
        <f>H25</f>
        <v>100</v>
      </c>
      <c r="V25" s="769" t="s">
        <v>17</v>
      </c>
      <c r="W25" s="770">
        <f>J25</f>
        <v>100</v>
      </c>
      <c r="X25" s="771"/>
      <c r="Y25" s="3253"/>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253"/>
      <c r="Q26" s="1794"/>
      <c r="R26" s="769"/>
      <c r="S26" s="770"/>
      <c r="T26" s="769"/>
      <c r="U26" s="770"/>
      <c r="V26" s="769"/>
      <c r="W26" s="770"/>
      <c r="X26" s="771"/>
      <c r="Y26" s="3253"/>
      <c r="Z26" s="55"/>
      <c r="AA26" s="772">
        <v>1</v>
      </c>
      <c r="AB26" s="772">
        <v>1</v>
      </c>
      <c r="AC26" s="772">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3"/>
      <c r="Z27" s="1813" t="str">
        <f t="shared" ref="Z27:Z40" si="13">Q27</f>
        <v>临街状况</v>
      </c>
      <c r="AA27" s="1810">
        <f t="shared" si="3"/>
        <v>1</v>
      </c>
      <c r="AB27" s="1810">
        <f t="shared" si="4"/>
        <v>1</v>
      </c>
      <c r="AC27" s="1810">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3"/>
      <c r="Q28" s="1809" t="str">
        <f t="shared" si="8"/>
        <v>毗邻道路的类型与等级</v>
      </c>
      <c r="R28" s="773" t="s">
        <v>17</v>
      </c>
      <c r="S28" s="774">
        <f t="shared" si="10"/>
        <v>100</v>
      </c>
      <c r="T28" s="773" t="s">
        <v>17</v>
      </c>
      <c r="U28" s="774">
        <f t="shared" si="11"/>
        <v>100</v>
      </c>
      <c r="V28" s="773" t="s">
        <v>17</v>
      </c>
      <c r="W28" s="774">
        <f t="shared" si="12"/>
        <v>100</v>
      </c>
      <c r="X28" s="1812"/>
      <c r="Y28" s="3253"/>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253"/>
      <c r="Q29" s="1809"/>
      <c r="R29" s="773"/>
      <c r="S29" s="774"/>
      <c r="T29" s="773"/>
      <c r="U29" s="774"/>
      <c r="V29" s="773"/>
      <c r="W29" s="774"/>
      <c r="X29" s="1812"/>
      <c r="Y29" s="3253"/>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3"/>
      <c r="Q30" s="1809" t="str">
        <f t="shared" si="8"/>
        <v>土地级别</v>
      </c>
      <c r="R30" s="773" t="s">
        <v>17</v>
      </c>
      <c r="S30" s="774">
        <f t="shared" si="10"/>
        <v>100</v>
      </c>
      <c r="T30" s="773" t="s">
        <v>17</v>
      </c>
      <c r="U30" s="774">
        <f t="shared" si="11"/>
        <v>100</v>
      </c>
      <c r="V30" s="773" t="s">
        <v>17</v>
      </c>
      <c r="W30" s="774">
        <f t="shared" si="12"/>
        <v>100</v>
      </c>
      <c r="X30" s="1812"/>
      <c r="Y30" s="3253"/>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3"/>
      <c r="Q31" s="1809">
        <f t="shared" si="8"/>
        <v>111</v>
      </c>
      <c r="R31" s="773" t="s">
        <v>17</v>
      </c>
      <c r="S31" s="774">
        <f t="shared" si="10"/>
        <v>100</v>
      </c>
      <c r="T31" s="773" t="s">
        <v>17</v>
      </c>
      <c r="U31" s="774">
        <f t="shared" si="11"/>
        <v>100</v>
      </c>
      <c r="V31" s="773" t="s">
        <v>17</v>
      </c>
      <c r="W31" s="774">
        <f t="shared" si="12"/>
        <v>100</v>
      </c>
      <c r="X31" s="1812"/>
      <c r="Y31" s="3253"/>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6" t="s">
        <v>2565</v>
      </c>
      <c r="Q32" s="1809">
        <f t="shared" si="8"/>
        <v>111</v>
      </c>
      <c r="R32" s="773" t="s">
        <v>17</v>
      </c>
      <c r="S32" s="774">
        <f t="shared" si="10"/>
        <v>100</v>
      </c>
      <c r="T32" s="773" t="s">
        <v>17</v>
      </c>
      <c r="U32" s="774">
        <f t="shared" si="11"/>
        <v>100</v>
      </c>
      <c r="V32" s="773" t="s">
        <v>17</v>
      </c>
      <c r="W32" s="774">
        <f t="shared" si="12"/>
        <v>100</v>
      </c>
      <c r="X32" s="1812"/>
      <c r="Y32" s="3257" t="s">
        <v>2565</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57"/>
      <c r="Q33" s="1809">
        <f t="shared" si="8"/>
        <v>111</v>
      </c>
      <c r="R33" s="776" t="s">
        <v>17</v>
      </c>
      <c r="S33" s="777">
        <f t="shared" si="10"/>
        <v>100</v>
      </c>
      <c r="T33" s="776" t="s">
        <v>17</v>
      </c>
      <c r="U33" s="777">
        <f t="shared" si="11"/>
        <v>100</v>
      </c>
      <c r="V33" s="776" t="s">
        <v>17</v>
      </c>
      <c r="W33" s="777">
        <f t="shared" si="12"/>
        <v>100</v>
      </c>
      <c r="X33" s="778"/>
      <c r="Y33" s="3257"/>
      <c r="Z33" s="779">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57"/>
      <c r="Q34" s="1809" t="str">
        <f>B34</f>
        <v>宗地面积</v>
      </c>
      <c r="R34" s="773" t="s">
        <v>17</v>
      </c>
      <c r="S34" s="774" t="e">
        <f t="shared" si="10"/>
        <v>#N/A</v>
      </c>
      <c r="T34" s="773" t="s">
        <v>17</v>
      </c>
      <c r="U34" s="774" t="e">
        <f t="shared" si="11"/>
        <v>#N/A</v>
      </c>
      <c r="V34" s="773" t="s">
        <v>17</v>
      </c>
      <c r="W34" s="774" t="e">
        <f t="shared" si="12"/>
        <v>#N/A</v>
      </c>
      <c r="X34" s="1812"/>
      <c r="Y34" s="3257"/>
      <c r="Z34" s="1813" t="str">
        <f t="shared" si="13"/>
        <v>宗地面积</v>
      </c>
      <c r="AA34" s="1810" t="e">
        <f t="shared" si="3"/>
        <v>#N/A</v>
      </c>
      <c r="AB34" s="1810" t="e">
        <f t="shared" si="4"/>
        <v>#N/A</v>
      </c>
      <c r="AC34" s="1810"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257"/>
      <c r="Q35" s="1809" t="str">
        <f t="shared" ref="Q35:Q40" si="14">B35</f>
        <v>宗地形状</v>
      </c>
      <c r="R35" s="773" t="s">
        <v>17</v>
      </c>
      <c r="S35" s="774">
        <f t="shared" si="10"/>
        <v>100</v>
      </c>
      <c r="T35" s="773" t="s">
        <v>17</v>
      </c>
      <c r="U35" s="774">
        <f t="shared" si="11"/>
        <v>100</v>
      </c>
      <c r="V35" s="773" t="s">
        <v>17</v>
      </c>
      <c r="W35" s="774">
        <f t="shared" si="12"/>
        <v>100</v>
      </c>
      <c r="X35" s="1812"/>
      <c r="Y35" s="3257"/>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257"/>
      <c r="Q36" s="1809" t="str">
        <f t="shared" si="14"/>
        <v>宗地开发程度</v>
      </c>
      <c r="R36" s="769" t="s">
        <v>17</v>
      </c>
      <c r="S36" s="770">
        <f t="shared" si="10"/>
        <v>100</v>
      </c>
      <c r="T36" s="769" t="s">
        <v>17</v>
      </c>
      <c r="U36" s="770">
        <f t="shared" si="11"/>
        <v>100</v>
      </c>
      <c r="V36" s="769" t="s">
        <v>17</v>
      </c>
      <c r="W36" s="770">
        <f t="shared" si="12"/>
        <v>100</v>
      </c>
      <c r="X36" s="771"/>
      <c r="Y36" s="3257"/>
      <c r="Z36" s="55" t="str">
        <f t="shared" si="13"/>
        <v>宗地开发程度</v>
      </c>
      <c r="AA36" s="772">
        <f t="shared" si="3"/>
        <v>1</v>
      </c>
      <c r="AB36" s="772">
        <f t="shared" si="4"/>
        <v>1</v>
      </c>
      <c r="AC36" s="772">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257" t="s">
        <v>2565</v>
      </c>
      <c r="Q37" s="1809" t="str">
        <f t="shared" si="14"/>
        <v>工程地质条件</v>
      </c>
      <c r="R37" s="773" t="s">
        <v>17</v>
      </c>
      <c r="S37" s="774">
        <f t="shared" si="10"/>
        <v>100</v>
      </c>
      <c r="T37" s="773" t="s">
        <v>17</v>
      </c>
      <c r="U37" s="774">
        <f t="shared" si="11"/>
        <v>100</v>
      </c>
      <c r="V37" s="773" t="s">
        <v>17</v>
      </c>
      <c r="W37" s="774">
        <f t="shared" si="12"/>
        <v>100</v>
      </c>
      <c r="X37" s="1812"/>
      <c r="Y37" s="3257"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57"/>
      <c r="Q38" s="1809">
        <f t="shared" si="14"/>
        <v>111</v>
      </c>
      <c r="R38" s="773" t="s">
        <v>17</v>
      </c>
      <c r="S38" s="774">
        <f t="shared" si="10"/>
        <v>100</v>
      </c>
      <c r="T38" s="773" t="s">
        <v>17</v>
      </c>
      <c r="U38" s="774">
        <f t="shared" si="11"/>
        <v>100</v>
      </c>
      <c r="V38" s="773" t="s">
        <v>17</v>
      </c>
      <c r="W38" s="774">
        <f t="shared" si="12"/>
        <v>100</v>
      </c>
      <c r="X38" s="1812"/>
      <c r="Y38" s="325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57"/>
      <c r="Q39" s="1809">
        <f t="shared" si="14"/>
        <v>111</v>
      </c>
      <c r="R39" s="773" t="s">
        <v>17</v>
      </c>
      <c r="S39" s="774">
        <f t="shared" si="10"/>
        <v>100</v>
      </c>
      <c r="T39" s="773" t="s">
        <v>17</v>
      </c>
      <c r="U39" s="774">
        <f t="shared" si="11"/>
        <v>100</v>
      </c>
      <c r="V39" s="773" t="s">
        <v>17</v>
      </c>
      <c r="W39" s="774">
        <f t="shared" si="12"/>
        <v>100</v>
      </c>
      <c r="X39" s="1812"/>
      <c r="Y39" s="3257"/>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57"/>
      <c r="Q40" s="1809">
        <f t="shared" si="14"/>
        <v>111</v>
      </c>
      <c r="R40" s="776" t="s">
        <v>17</v>
      </c>
      <c r="S40" s="777">
        <f t="shared" si="10"/>
        <v>100</v>
      </c>
      <c r="T40" s="776" t="s">
        <v>17</v>
      </c>
      <c r="U40" s="777">
        <f t="shared" si="11"/>
        <v>100</v>
      </c>
      <c r="V40" s="776" t="s">
        <v>17</v>
      </c>
      <c r="W40" s="777">
        <f t="shared" si="12"/>
        <v>100</v>
      </c>
      <c r="X40" s="778"/>
      <c r="Y40" s="3257"/>
      <c r="Z40" s="779">
        <f t="shared" si="13"/>
        <v>111</v>
      </c>
      <c r="AA40" s="1810">
        <f t="shared" si="3"/>
        <v>1</v>
      </c>
      <c r="AB40" s="1810">
        <f t="shared" si="4"/>
        <v>1</v>
      </c>
      <c r="AC40" s="1810">
        <f t="shared" si="5"/>
        <v>1</v>
      </c>
    </row>
    <row r="41" spans="1:29" ht="15">
      <c r="A41" s="479" t="s">
        <v>2720</v>
      </c>
      <c r="B41" s="2704" t="s">
        <v>2800</v>
      </c>
      <c r="C41" s="682" t="s">
        <v>1</v>
      </c>
      <c r="D41" s="481"/>
      <c r="E41" s="482"/>
      <c r="F41" s="483"/>
      <c r="G41" s="484"/>
      <c r="H41" s="485"/>
      <c r="I41" s="482"/>
      <c r="J41" s="485"/>
      <c r="K41" s="782"/>
      <c r="L41" s="1142"/>
      <c r="M41" s="1130"/>
      <c r="N41" s="1130"/>
      <c r="O41" s="1143"/>
      <c r="P41" s="3250" t="str">
        <f>A41</f>
        <v>成交单价</v>
      </c>
      <c r="Q41" s="3250"/>
      <c r="R41" s="3245">
        <f>E41</f>
        <v>0</v>
      </c>
      <c r="S41" s="3245"/>
      <c r="T41" s="3245">
        <f>G41</f>
        <v>0</v>
      </c>
      <c r="U41" s="3245"/>
      <c r="V41" s="3245">
        <f>I41</f>
        <v>0</v>
      </c>
      <c r="W41" s="3245"/>
      <c r="X41" s="758"/>
      <c r="Y41" s="780"/>
      <c r="Z41" s="758"/>
      <c r="AA41" s="758"/>
      <c r="AB41" s="758"/>
      <c r="AC41" s="758"/>
    </row>
    <row r="42" spans="1:29" ht="15.75" thickBot="1">
      <c r="A42" s="486" t="s">
        <v>2669</v>
      </c>
      <c r="B42" s="683"/>
      <c r="C42" s="490" t="e">
        <f>R43</f>
        <v>#DIV/0!</v>
      </c>
      <c r="D42" s="489"/>
      <c r="E42" s="490" t="e">
        <f>R42</f>
        <v>#DIV/0!</v>
      </c>
      <c r="F42" s="491"/>
      <c r="G42" s="488" t="e">
        <f>T42</f>
        <v>#DIV/0!</v>
      </c>
      <c r="H42" s="489"/>
      <c r="I42" s="490" t="e">
        <f>V42</f>
        <v>#DIV/0!</v>
      </c>
      <c r="J42" s="489"/>
      <c r="K42" s="783"/>
      <c r="L42" s="1142"/>
      <c r="M42" s="1130"/>
      <c r="N42" s="1130"/>
      <c r="O42" s="1143"/>
      <c r="P42" s="3250" t="str">
        <f>A42</f>
        <v>比较价值（元/平方米）</v>
      </c>
      <c r="Q42" s="3250"/>
      <c r="R42" s="3277" t="e">
        <f>ROUND(PRODUCT(R41,AA7:AA40),0)</f>
        <v>#DIV/0!</v>
      </c>
      <c r="S42" s="3277"/>
      <c r="T42" s="3277" t="e">
        <f>ROUND(PRODUCT(T41,AB7:AB40),0)</f>
        <v>#DIV/0!</v>
      </c>
      <c r="U42" s="3277"/>
      <c r="V42" s="3277" t="e">
        <f>ROUND(PRODUCT(V41,AC7:AC40),0)</f>
        <v>#DIV/0!</v>
      </c>
      <c r="W42" s="3277"/>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2"/>
      <c r="M43" s="1130"/>
      <c r="N43" s="1130"/>
      <c r="O43" s="1143"/>
      <c r="P43" s="3247" t="str">
        <f>A43</f>
        <v>估价对象XX用房的比较价值（楼面单价，元/平方米）</v>
      </c>
      <c r="Q43" s="3248"/>
      <c r="R43" s="3278" t="e">
        <f>ROUND(AVERAGE(R42:V42),0)</f>
        <v>#DIV/0!</v>
      </c>
      <c r="S43" s="3278"/>
      <c r="T43" s="3278"/>
      <c r="U43" s="3278"/>
      <c r="V43" s="3278"/>
      <c r="W43" s="327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2758</v>
      </c>
      <c r="B50" s="685" t="s">
        <v>2759</v>
      </c>
      <c r="C50" s="2705" t="s">
        <v>2760</v>
      </c>
      <c r="D50" s="2706" t="s">
        <v>2761</v>
      </c>
      <c r="E50" s="686" t="s">
        <v>2762</v>
      </c>
      <c r="F50" s="687" t="s">
        <v>2763</v>
      </c>
      <c r="G50" s="3233" t="s">
        <v>2764</v>
      </c>
      <c r="H50" s="3279"/>
      <c r="I50" s="1813" t="s">
        <v>2801</v>
      </c>
      <c r="J50" s="1813">
        <f>项目基本情况!F35</f>
        <v>0</v>
      </c>
      <c r="K50" s="2708" t="s">
        <v>2766</v>
      </c>
      <c r="L50" s="1105"/>
      <c r="M50" s="1143"/>
      <c r="N50" s="1143"/>
      <c r="O50" s="1143"/>
    </row>
    <row r="51" spans="1:17" s="692" customFormat="1">
      <c r="A51" s="688" t="s">
        <v>2767</v>
      </c>
      <c r="B51" s="689" t="e">
        <f>C43</f>
        <v>#DIV/0!</v>
      </c>
      <c r="C51" s="690">
        <v>1</v>
      </c>
      <c r="D51" s="1162">
        <v>1</v>
      </c>
      <c r="E51" s="690">
        <f>'数据-汇总表'!E8+'数据-汇总表'!E9</f>
        <v>16248.41</v>
      </c>
      <c r="F51" s="691" t="e">
        <f t="shared" ref="F51:F60" si="15">ROUND(B51*E51/10000,0)</f>
        <v>#DIV/0!</v>
      </c>
      <c r="G51" s="3232"/>
      <c r="H51" s="3250"/>
      <c r="I51" s="941">
        <v>1</v>
      </c>
      <c r="J51" s="941">
        <v>1</v>
      </c>
      <c r="K51" s="1144"/>
      <c r="L51" s="940"/>
      <c r="M51" s="940"/>
      <c r="N51" s="940"/>
      <c r="O51" s="940"/>
    </row>
    <row r="52" spans="1:17" s="692" customFormat="1">
      <c r="A52" s="693" t="s">
        <v>2768</v>
      </c>
      <c r="B52" s="262" t="e">
        <f>ROUND($C$43*C52*D52,0)</f>
        <v>#DIV/0!</v>
      </c>
      <c r="C52" s="200">
        <f t="shared" ref="C52:C60" si="16">IF($C$50="北京市系数",I52,J52)</f>
        <v>0</v>
      </c>
      <c r="D52" s="1163">
        <v>0.25</v>
      </c>
      <c r="E52" s="694"/>
      <c r="F52" s="691" t="e">
        <f t="shared" si="15"/>
        <v>#DIV/0!</v>
      </c>
      <c r="G52" s="3280" t="s">
        <v>2769</v>
      </c>
      <c r="H52" s="1103">
        <f>项目基本情况!B37</f>
        <v>0</v>
      </c>
      <c r="I52" s="941">
        <f>SUMIF(修正!A45:A56,H52,修正!B45:B56)</f>
        <v>0</v>
      </c>
      <c r="J52" s="942"/>
      <c r="K52" s="1143"/>
      <c r="L52" s="940"/>
      <c r="M52" s="940"/>
      <c r="N52" s="940"/>
      <c r="O52" s="940"/>
    </row>
    <row r="53" spans="1:17" s="692" customFormat="1">
      <c r="A53" s="693" t="s">
        <v>2770</v>
      </c>
      <c r="B53" s="262" t="e">
        <f t="shared" ref="B53:B60" si="17">ROUND($C$43*C53*D53,0)</f>
        <v>#DIV/0!</v>
      </c>
      <c r="C53" s="200">
        <f t="shared" si="16"/>
        <v>0</v>
      </c>
      <c r="D53" s="1163">
        <v>0.25</v>
      </c>
      <c r="E53" s="694"/>
      <c r="F53" s="691" t="e">
        <f t="shared" si="15"/>
        <v>#DIV/0!</v>
      </c>
      <c r="G53" s="3280"/>
      <c r="H53" s="1103">
        <f>项目基本情况!B37</f>
        <v>0</v>
      </c>
      <c r="I53" s="941">
        <f>SUMIF(修正!A45:A56,H53,修正!C45:C56)</f>
        <v>0</v>
      </c>
      <c r="J53" s="942"/>
      <c r="K53" s="1144"/>
      <c r="L53" s="940"/>
      <c r="M53" s="940"/>
      <c r="N53" s="940"/>
      <c r="O53" s="940"/>
    </row>
    <row r="54" spans="1:17" s="692" customFormat="1">
      <c r="A54" s="693" t="s">
        <v>2771</v>
      </c>
      <c r="B54" s="262" t="e">
        <f t="shared" si="17"/>
        <v>#DIV/0!</v>
      </c>
      <c r="C54" s="200">
        <f t="shared" si="16"/>
        <v>0</v>
      </c>
      <c r="D54" s="1163">
        <v>0.25</v>
      </c>
      <c r="E54" s="694"/>
      <c r="F54" s="691" t="e">
        <f t="shared" si="15"/>
        <v>#DIV/0!</v>
      </c>
      <c r="G54" s="3280"/>
      <c r="H54" s="1103">
        <f>项目基本情况!B37</f>
        <v>0</v>
      </c>
      <c r="I54" s="941">
        <f>SUMIF(修正!A45:A56,H54,修正!D45:D56)</f>
        <v>0</v>
      </c>
      <c r="J54" s="942"/>
      <c r="K54" s="1143"/>
      <c r="L54" s="940"/>
      <c r="M54" s="940"/>
      <c r="N54" s="940"/>
      <c r="O54" s="940"/>
    </row>
    <row r="55" spans="1:17" s="692" customFormat="1">
      <c r="A55" s="693" t="s">
        <v>2772</v>
      </c>
      <c r="B55" s="262" t="e">
        <f t="shared" si="17"/>
        <v>#DIV/0!</v>
      </c>
      <c r="C55" s="200">
        <f t="shared" si="16"/>
        <v>0</v>
      </c>
      <c r="D55" s="1163">
        <v>0.25</v>
      </c>
      <c r="E55" s="694"/>
      <c r="F55" s="691" t="e">
        <f t="shared" si="15"/>
        <v>#DIV/0!</v>
      </c>
      <c r="G55" s="3280"/>
      <c r="H55" s="1103">
        <f>项目基本情况!B37</f>
        <v>0</v>
      </c>
      <c r="I55" s="941">
        <f>SUMIF(修正!A45:A56,H55,修正!E45:E56)</f>
        <v>0</v>
      </c>
      <c r="J55" s="942"/>
      <c r="K55" s="1144"/>
      <c r="L55" s="940"/>
      <c r="M55" s="940"/>
      <c r="N55" s="940"/>
      <c r="O55" s="940"/>
    </row>
    <row r="56" spans="1:17" s="692" customFormat="1">
      <c r="A56" s="693" t="s">
        <v>2773</v>
      </c>
      <c r="B56" s="262" t="e">
        <f t="shared" si="17"/>
        <v>#DIV/0!</v>
      </c>
      <c r="C56" s="200">
        <f t="shared" si="16"/>
        <v>0</v>
      </c>
      <c r="D56" s="1163">
        <v>0.25</v>
      </c>
      <c r="E56" s="261">
        <f>'数据-汇总表'!E11</f>
        <v>0</v>
      </c>
      <c r="F56" s="691" t="e">
        <f t="shared" si="15"/>
        <v>#DIV/0!</v>
      </c>
      <c r="G56" s="2709" t="s">
        <v>2774</v>
      </c>
      <c r="H56" s="1103">
        <f>项目基本情况!C37</f>
        <v>0</v>
      </c>
      <c r="I56" s="941">
        <f>SUMIF(修正!A45:A56,H56,修正!F45:F56)</f>
        <v>0</v>
      </c>
      <c r="J56" s="942"/>
      <c r="K56" s="1143"/>
      <c r="L56" s="940"/>
      <c r="M56" s="940"/>
      <c r="N56" s="940"/>
      <c r="O56" s="940"/>
    </row>
    <row r="57" spans="1:17" s="692" customFormat="1">
      <c r="A57" s="693" t="s">
        <v>2775</v>
      </c>
      <c r="B57" s="262" t="e">
        <f t="shared" si="17"/>
        <v>#DIV/0!</v>
      </c>
      <c r="C57" s="200">
        <f t="shared" si="16"/>
        <v>0</v>
      </c>
      <c r="D57" s="1163">
        <v>0.25</v>
      </c>
      <c r="E57" s="261">
        <f>'数据-汇总表'!E12</f>
        <v>0</v>
      </c>
      <c r="F57" s="691"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2777</v>
      </c>
      <c r="B58" s="262" t="e">
        <f t="shared" si="17"/>
        <v>#DIV/0!</v>
      </c>
      <c r="C58" s="200">
        <f t="shared" si="16"/>
        <v>0</v>
      </c>
      <c r="D58" s="1163">
        <v>0.25</v>
      </c>
      <c r="E58" s="261">
        <f>'数据-汇总表'!E13</f>
        <v>0</v>
      </c>
      <c r="F58" s="691"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2779</v>
      </c>
      <c r="B59" s="262" t="e">
        <f t="shared" si="17"/>
        <v>#DIV/0!</v>
      </c>
      <c r="C59" s="200">
        <f t="shared" si="16"/>
        <v>0</v>
      </c>
      <c r="D59" s="1163">
        <v>0.25</v>
      </c>
      <c r="E59" s="261">
        <f>'数据-汇总表'!E14</f>
        <v>0</v>
      </c>
      <c r="F59" s="691" t="e">
        <f t="shared" si="15"/>
        <v>#DIV/0!</v>
      </c>
      <c r="G59" s="2709" t="s">
        <v>2769</v>
      </c>
      <c r="H59" s="1103">
        <f>项目基本情况!B37</f>
        <v>0</v>
      </c>
      <c r="I59" s="941">
        <f>SUMIF(修正!A45:A56,H59,修正!H45:H56)</f>
        <v>0</v>
      </c>
      <c r="J59" s="942"/>
      <c r="K59" s="1144"/>
      <c r="L59" s="940"/>
      <c r="M59" s="940"/>
      <c r="N59" s="940"/>
      <c r="O59" s="940"/>
    </row>
    <row r="60" spans="1:17" s="692" customFormat="1" ht="15" thickBot="1">
      <c r="A60" s="693" t="s">
        <v>2780</v>
      </c>
      <c r="B60" s="262" t="e">
        <f t="shared" si="17"/>
        <v>#DIV/0!</v>
      </c>
      <c r="C60" s="200">
        <f t="shared" si="16"/>
        <v>0</v>
      </c>
      <c r="D60" s="1163">
        <v>0.25</v>
      </c>
      <c r="E60" s="261">
        <f>'数据-汇总表'!E15</f>
        <v>0</v>
      </c>
      <c r="F60" s="691" t="e">
        <f t="shared" si="15"/>
        <v>#DIV/0!</v>
      </c>
      <c r="G60" s="2710" t="s">
        <v>2774</v>
      </c>
      <c r="H60" s="1113">
        <f>项目基本情况!C37</f>
        <v>0</v>
      </c>
      <c r="I60" s="941">
        <f>SUMIF(修正!A45:A56,H60,修正!H45:H56)</f>
        <v>0</v>
      </c>
      <c r="J60" s="942"/>
      <c r="K60" s="1143"/>
      <c r="L60" s="940"/>
      <c r="M60" s="940"/>
      <c r="N60" s="940"/>
      <c r="O60" s="940"/>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2674</v>
      </c>
      <c r="B64" s="758"/>
      <c r="C64" s="763"/>
      <c r="D64" s="763"/>
      <c r="E64" s="763"/>
      <c r="F64" s="764"/>
      <c r="G64" s="764"/>
      <c r="H64" s="763"/>
      <c r="I64" s="763"/>
      <c r="J64" s="763"/>
      <c r="K64" s="765"/>
      <c r="L64" s="766"/>
      <c r="M64" s="763"/>
      <c r="N64" s="763"/>
      <c r="O64" s="1158"/>
      <c r="P64" s="503"/>
      <c r="Q64" s="504"/>
    </row>
    <row r="65" spans="1:17" s="508" customFormat="1" ht="15">
      <c r="A65" s="2711" t="s">
        <v>2782</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6" t="s">
        <v>2802</v>
      </c>
      <c r="B66" s="332" t="str">
        <f>"北京市平均增长率"&amp;TEXT(基准地价修正!P24,"0.00%")</f>
        <v>北京市平均增长率1.34%</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2588</v>
      </c>
      <c r="B70" s="528" t="s">
        <v>2554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2" sqref="H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7288</v>
      </c>
      <c r="C2" s="243" t="s">
        <v>2328</v>
      </c>
      <c r="D2" s="2547" t="s">
        <v>70</v>
      </c>
      <c r="E2" s="1439"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1836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8" t="s">
        <v>2337</v>
      </c>
      <c r="B6" s="259" t="s">
        <v>2338</v>
      </c>
      <c r="C6" s="260"/>
      <c r="D6" s="261"/>
      <c r="E6" s="262"/>
      <c r="F6" s="262"/>
      <c r="G6" s="263"/>
    </row>
    <row r="7" spans="1:9" s="258" customFormat="1" ht="13.5" customHeight="1">
      <c r="A7" s="948" t="s">
        <v>2339</v>
      </c>
      <c r="B7" s="259" t="s">
        <v>2340</v>
      </c>
      <c r="C7" s="264">
        <f>ROUND(C6*F7,0)</f>
        <v>0</v>
      </c>
      <c r="D7" s="264"/>
      <c r="E7" s="262"/>
      <c r="F7" s="265">
        <f>IF(项目基本情况!B8="出让",0,'数据-取费表'!B48+'数据-取费表'!B49)</f>
        <v>3.0499999999999999E-2</v>
      </c>
      <c r="G7" s="263"/>
    </row>
    <row r="8" spans="1:9" s="267" customFormat="1">
      <c r="A8" s="948" t="s">
        <v>2341</v>
      </c>
      <c r="B8" s="259" t="s">
        <v>2342</v>
      </c>
      <c r="C8" s="264">
        <f>IF(G8="已包含在土地购买价格中","0",IF(B1="",'数据-取费表'!B29,IF(G9="全部缴纳",C9+C10,H9)))</f>
        <v>0</v>
      </c>
      <c r="D8" s="266"/>
      <c r="E8" s="264"/>
      <c r="F8" s="265"/>
      <c r="G8" s="2550"/>
    </row>
    <row r="9" spans="1:9" s="258" customFormat="1" ht="13.5" customHeight="1">
      <c r="A9" s="949" t="s">
        <v>800</v>
      </c>
      <c r="B9" s="268" t="s">
        <v>2343</v>
      </c>
      <c r="C9" s="269">
        <f ca="1">ROUND(D9*E9/10000,0)</f>
        <v>0</v>
      </c>
      <c r="D9" s="1031">
        <f ca="1">IF(B1="",'数据-汇总表'!E5,IF(INDIRECT("'数据-取费表'!c"&amp;$G$1)="住宅",INDIRECT("'数据-取费表'!k"&amp;$G$1),0))</f>
        <v>0</v>
      </c>
      <c r="E9" s="269">
        <f>'数据-取费表'!B27</f>
        <v>150</v>
      </c>
      <c r="F9" s="265"/>
      <c r="G9" s="2551"/>
      <c r="H9" s="1389"/>
      <c r="I9" s="2552" t="s">
        <v>2344</v>
      </c>
    </row>
    <row r="10" spans="1:9" s="258" customFormat="1" ht="13.5" customHeight="1">
      <c r="A10" s="949" t="s">
        <v>801</v>
      </c>
      <c r="B10" s="268" t="s">
        <v>2345</v>
      </c>
      <c r="C10" s="269">
        <f ca="1">ROUND(D10*E10/10000,0)</f>
        <v>595</v>
      </c>
      <c r="D10" s="1031">
        <f ca="1">IF(B1="",'数据-汇总表'!E6,IF(INDIRECT("'数据-取费表'!c"&amp;$G$1)="住宅",INDIRECT("'数据-取费表'!s"&amp;$G$1),INDIRECT("'数据-取费表'!k"&amp;$G$1)+INDIRECT("'数据-取费表'!s"&amp;$G$1)))</f>
        <v>39697.29</v>
      </c>
      <c r="E10" s="269">
        <f>'数据-取费表'!B28</f>
        <v>150</v>
      </c>
      <c r="F10" s="265"/>
      <c r="G10" s="270"/>
    </row>
    <row r="11" spans="1:9" s="258" customFormat="1" ht="13.5" hidden="1" customHeight="1">
      <c r="A11" s="271" t="s">
        <v>7</v>
      </c>
      <c r="B11" s="259" t="s">
        <v>2346</v>
      </c>
      <c r="C11" s="255"/>
      <c r="D11" s="1033"/>
      <c r="E11" s="262"/>
      <c r="F11" s="262"/>
      <c r="G11" s="263"/>
    </row>
    <row r="12" spans="1:9" s="258" customFormat="1" ht="13.5" hidden="1" customHeight="1">
      <c r="A12" s="271" t="s">
        <v>8</v>
      </c>
      <c r="B12" s="259" t="s">
        <v>2347</v>
      </c>
      <c r="C12" s="255">
        <v>0</v>
      </c>
      <c r="D12" s="1033"/>
      <c r="E12" s="272"/>
      <c r="F12" s="265">
        <v>3.0499999999999999E-2</v>
      </c>
      <c r="G12" s="263"/>
    </row>
    <row r="13" spans="1:9" s="258" customFormat="1" ht="13.5" hidden="1" customHeight="1">
      <c r="A13" s="271" t="s">
        <v>9</v>
      </c>
      <c r="B13" s="259" t="s">
        <v>2348</v>
      </c>
      <c r="C13" s="255"/>
      <c r="D13" s="1033"/>
      <c r="E13" s="262"/>
      <c r="F13" s="262"/>
      <c r="G13" s="263"/>
    </row>
    <row r="14" spans="1:9" s="258" customFormat="1" ht="13.5" hidden="1" customHeight="1">
      <c r="A14" s="271" t="s">
        <v>10</v>
      </c>
      <c r="B14" s="259" t="s">
        <v>2349</v>
      </c>
      <c r="C14" s="255"/>
      <c r="D14" s="1033"/>
      <c r="E14" s="262"/>
      <c r="F14" s="262"/>
      <c r="G14" s="263" t="s">
        <v>2350</v>
      </c>
    </row>
    <row r="15" spans="1:9" s="258" customFormat="1" ht="13.5" hidden="1" customHeight="1">
      <c r="A15" s="271" t="s">
        <v>11</v>
      </c>
      <c r="B15" s="259" t="s">
        <v>2351</v>
      </c>
      <c r="C15" s="264"/>
      <c r="D15" s="1033"/>
      <c r="E15" s="262"/>
      <c r="F15" s="262"/>
      <c r="G15" s="263" t="s">
        <v>2352</v>
      </c>
    </row>
    <row r="16" spans="1:9" s="258" customFormat="1" ht="13.5" hidden="1" customHeight="1">
      <c r="A16" s="271" t="s">
        <v>12</v>
      </c>
      <c r="B16" s="259" t="s">
        <v>2349</v>
      </c>
      <c r="C16" s="264"/>
      <c r="D16" s="1033"/>
      <c r="E16" s="262"/>
      <c r="F16" s="262"/>
      <c r="G16" s="263"/>
    </row>
    <row r="17" spans="1:7" s="258" customFormat="1" ht="13.5" hidden="1" customHeight="1">
      <c r="A17" s="271" t="s">
        <v>13</v>
      </c>
      <c r="B17" s="259" t="s">
        <v>2353</v>
      </c>
      <c r="C17" s="273"/>
      <c r="D17" s="1034"/>
      <c r="E17" s="273"/>
      <c r="F17" s="273"/>
      <c r="G17" s="263" t="s">
        <v>2352</v>
      </c>
    </row>
    <row r="18" spans="1:7" s="258" customFormat="1" ht="13.5" hidden="1" customHeight="1">
      <c r="A18" s="271" t="s">
        <v>14</v>
      </c>
      <c r="B18" s="259" t="s">
        <v>2354</v>
      </c>
      <c r="C18" s="264">
        <v>0</v>
      </c>
      <c r="D18" s="1033"/>
      <c r="E18" s="262"/>
      <c r="F18" s="265">
        <v>3.0499999999999999E-2</v>
      </c>
      <c r="G18" s="263" t="s">
        <v>2355</v>
      </c>
    </row>
    <row r="19" spans="1:7" s="267" customFormat="1" ht="13.5" customHeight="1">
      <c r="A19" s="299" t="s">
        <v>2356</v>
      </c>
      <c r="B19" s="254" t="s">
        <v>2357</v>
      </c>
      <c r="C19" s="255">
        <f ca="1">IF(G19="已包含在土地取得成本中","0",ROUND(D19*E19/10000,0))</f>
        <v>595</v>
      </c>
      <c r="D19" s="1035">
        <f ca="1">D9+D10</f>
        <v>39697.29</v>
      </c>
      <c r="E19" s="255">
        <f>'数据-取费表'!B31</f>
        <v>150</v>
      </c>
      <c r="F19" s="275"/>
      <c r="G19" s="2550"/>
    </row>
    <row r="20" spans="1:7" s="258" customFormat="1" ht="13.5" customHeight="1">
      <c r="A20" s="299" t="s">
        <v>2358</v>
      </c>
      <c r="B20" s="254" t="s">
        <v>2359</v>
      </c>
      <c r="C20" s="276">
        <f ca="1">ROUND((C5+C19)*F20,0)</f>
        <v>12</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59</v>
      </c>
      <c r="D22" s="279">
        <f ca="1">C26</f>
        <v>1E-3</v>
      </c>
      <c r="E22" s="280" t="s">
        <v>2363</v>
      </c>
      <c r="F22" s="281">
        <f ca="1">'数据-取费表'!B40</f>
        <v>4.7500000000000001E-2</v>
      </c>
      <c r="G22" s="278" t="str">
        <f>IF('数据-取费表'!B22&lt;=1,"单利计息","复利计息")</f>
        <v>复利计息</v>
      </c>
    </row>
    <row r="23" spans="1:7" s="258" customFormat="1" ht="13.5" customHeight="1">
      <c r="A23" s="950" t="s">
        <v>2367</v>
      </c>
      <c r="B23" s="259" t="s">
        <v>2368</v>
      </c>
      <c r="C23" s="1354">
        <f ca="1">ROUND(IF('数据-取费表'!B22&lt;=1,C5*F22*'数据-取费表'!B23,C5*(POWER((1+F22),'数据-取费表'!B23)-1)),0)</f>
        <v>0</v>
      </c>
      <c r="D23" s="282"/>
      <c r="E23" s="282"/>
      <c r="F23" s="283"/>
      <c r="G23" s="284" t="s">
        <v>2369</v>
      </c>
    </row>
    <row r="24" spans="1:7" s="258" customFormat="1" ht="13.5" customHeight="1">
      <c r="A24" s="950" t="s">
        <v>2370</v>
      </c>
      <c r="B24" s="259" t="s">
        <v>2371</v>
      </c>
      <c r="C24" s="1354">
        <f ca="1">ROUND(IF('数据-取费表'!B22&lt;=1,C19*F22*('数据-取费表'!B19/2+'数据-取费表'!B21),C19*(POWER((1+F22),('数据-取费表'!B19/2+'数据-取费表'!B21))-1)),0)</f>
        <v>58</v>
      </c>
      <c r="D24" s="282"/>
      <c r="E24" s="282"/>
      <c r="F24" s="283"/>
      <c r="G24" s="284" t="s">
        <v>2372</v>
      </c>
    </row>
    <row r="25" spans="1:7" s="258" customFormat="1" ht="24">
      <c r="A25" s="950" t="s">
        <v>2373</v>
      </c>
      <c r="B25" s="259" t="s">
        <v>2374</v>
      </c>
      <c r="C25" s="1354">
        <f ca="1">ROUND(IF('数据-取费表'!B22&lt;=1,C20*F22*'数据-取费表'!B23/2,C20*(POWER((1+F22),'数据-取费表'!B23/2)-1)),0)</f>
        <v>1</v>
      </c>
      <c r="D25" s="282"/>
      <c r="E25" s="285"/>
      <c r="F25" s="283"/>
      <c r="G25" s="286" t="s">
        <v>2375</v>
      </c>
    </row>
    <row r="26" spans="1:7" s="258" customFormat="1">
      <c r="A26" s="950"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91</v>
      </c>
      <c r="D27" s="279">
        <f ca="1">C29</f>
        <v>3.0000000000000001E-3</v>
      </c>
      <c r="E27" s="280" t="s">
        <v>2379</v>
      </c>
      <c r="F27" s="290">
        <f ca="1">IF(B1="",'数据-取费表'!Q16,INDIRECT("'数据-取费表'!q"&amp;$G$1))</f>
        <v>0.15</v>
      </c>
      <c r="G27" s="291" t="s">
        <v>2380</v>
      </c>
    </row>
    <row r="28" spans="1:7" s="258" customFormat="1" ht="13.5" customHeight="1">
      <c r="A28" s="950" t="s">
        <v>791</v>
      </c>
      <c r="B28" s="292" t="s">
        <v>2381</v>
      </c>
      <c r="C28" s="293">
        <f ca="1">ROUND((C5+C19+C20)*F27*'数据-取费表'!B21/'数据-取费表'!B20,0)</f>
        <v>91</v>
      </c>
      <c r="D28" s="279"/>
      <c r="E28" s="280"/>
      <c r="F28" s="290"/>
      <c r="G28" s="291"/>
    </row>
    <row r="29" spans="1:7" s="258" customFormat="1" ht="13.5" customHeight="1">
      <c r="A29" s="950"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820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5037</v>
      </c>
      <c r="D33" s="276"/>
      <c r="E33" s="256"/>
      <c r="F33" s="285"/>
      <c r="G33" s="278"/>
    </row>
    <row r="34" spans="1:7" s="302" customFormat="1" ht="13.5" customHeight="1">
      <c r="A34" s="950" t="s">
        <v>791</v>
      </c>
      <c r="B34" s="259" t="s">
        <v>2390</v>
      </c>
      <c r="C34" s="264">
        <f ca="1">IF(B1="",IF(F34=100%,'数据-取费表'!M16,'数据-取费表'!O16),IF(F34=100%,INDIRECT("'数据-取费表'!m"&amp;$G$1)+INDIRECT("'数据-取费表'!t"&amp;$G$1),INDIRECT("'数据-取费表'!o"&amp;$G$1)+INDIRECT("'数据-取费表'!aq"&amp;$G$1)))</f>
        <v>4250</v>
      </c>
      <c r="D34" s="261"/>
      <c r="E34" s="264"/>
      <c r="F34" s="301">
        <f ca="1">IF('数据-取费表'!B24=0,1,IF(B1="",'数据-取费表'!N16,INDIRECT("'数据-取费表'!n"&amp;$G$1)))</f>
        <v>1</v>
      </c>
      <c r="G34" s="263" t="s">
        <v>2391</v>
      </c>
    </row>
    <row r="35" spans="1:7" ht="13.5" customHeight="1">
      <c r="A35" s="950" t="s">
        <v>796</v>
      </c>
      <c r="B35" s="259" t="s">
        <v>2392</v>
      </c>
      <c r="C35" s="264">
        <f ca="1">ROUND(C34*F35,0)</f>
        <v>128</v>
      </c>
      <c r="D35" s="264"/>
      <c r="E35" s="264"/>
      <c r="F35" s="303">
        <f>'数据-取费表'!B33</f>
        <v>0.03</v>
      </c>
      <c r="G35" s="263" t="s">
        <v>2393</v>
      </c>
    </row>
    <row r="36" spans="1:7" ht="24">
      <c r="A36" s="950"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2395</v>
      </c>
    </row>
    <row r="37" spans="1:7" s="302" customFormat="1" ht="13.5" customHeight="1">
      <c r="A37" s="950" t="s">
        <v>798</v>
      </c>
      <c r="B37" s="259" t="s">
        <v>2396</v>
      </c>
      <c r="C37" s="293">
        <f ca="1">ROUND(E37*D37*F34/10000,0)</f>
        <v>595</v>
      </c>
      <c r="D37" s="261">
        <f ca="1">D19</f>
        <v>39697.29</v>
      </c>
      <c r="E37" s="293">
        <f>'数据-取费表'!B35</f>
        <v>150</v>
      </c>
      <c r="F37" s="303"/>
      <c r="G37" s="305" t="s">
        <v>2397</v>
      </c>
    </row>
    <row r="38" spans="1:7" ht="13.5" customHeight="1">
      <c r="A38" s="950" t="s">
        <v>799</v>
      </c>
      <c r="B38" s="259" t="s">
        <v>2398</v>
      </c>
      <c r="C38" s="264">
        <f ca="1">ROUND(C34*F38,0)</f>
        <v>64</v>
      </c>
      <c r="D38" s="264"/>
      <c r="E38" s="264"/>
      <c r="F38" s="303">
        <f>'数据-取费表'!B36</f>
        <v>1.4999999999999999E-2</v>
      </c>
      <c r="G38" s="263" t="s">
        <v>2393</v>
      </c>
    </row>
    <row r="39" spans="1:7" s="258" customFormat="1" ht="13.5" customHeight="1">
      <c r="A39" s="299" t="s">
        <v>2399</v>
      </c>
      <c r="B39" s="254" t="s">
        <v>2400</v>
      </c>
      <c r="C39" s="276">
        <f ca="1">ROUND(C33*F20,0)</f>
        <v>101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244</v>
      </c>
      <c r="D41" s="279">
        <f ca="1">C44</f>
        <v>1E-3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ROUND(IF('数据-取费表'!B22&lt;=1,C33*F22*'数据-取费表'!B21/2,C33*(POWER((1+F22),'数据-取费表'!B21/2)-1)),0)</f>
        <v>239</v>
      </c>
      <c r="D42" s="282"/>
      <c r="E42" s="282"/>
      <c r="F42" s="283"/>
      <c r="G42" s="3185" t="s">
        <v>2409</v>
      </c>
    </row>
    <row r="43" spans="1:7" ht="13.5" customHeight="1">
      <c r="A43" s="950" t="s">
        <v>792</v>
      </c>
      <c r="B43" s="259" t="s">
        <v>2410</v>
      </c>
      <c r="C43" s="282">
        <f ca="1">ROUND(IF('数据-取费表'!B22&lt;=1,C39*F22*'数据-取费表'!B21/2,C39*(POWER((1+F22),'数据-取费表'!B21/2)-1)),0)</f>
        <v>5</v>
      </c>
      <c r="D43" s="282"/>
      <c r="E43" s="282"/>
      <c r="F43" s="283"/>
      <c r="G43" s="3186"/>
    </row>
    <row r="44" spans="1:7" ht="13.5" customHeight="1">
      <c r="A44" s="950" t="s">
        <v>793</v>
      </c>
      <c r="B44" s="259" t="s">
        <v>2411</v>
      </c>
      <c r="C44" s="282">
        <f ca="1">ROUND(IF('数据-取费表'!B22&lt;=1,C40*F22*'数据-取费表'!B21/2,C40*(POWER((1+F22),'数据-取费表'!B21/2)-1)),4)</f>
        <v>1E-3</v>
      </c>
      <c r="D44" s="282"/>
      <c r="E44" s="282"/>
      <c r="F44" s="283"/>
      <c r="G44" s="3187"/>
    </row>
    <row r="45" spans="1:7" s="258" customFormat="1" ht="13.5" customHeight="1">
      <c r="A45" s="299" t="s">
        <v>2412</v>
      </c>
      <c r="B45" s="288" t="s">
        <v>2378</v>
      </c>
      <c r="C45" s="289">
        <f ca="1">C46</f>
        <v>771</v>
      </c>
      <c r="D45" s="279">
        <f ca="1">C47</f>
        <v>3.0000000000000001E-3</v>
      </c>
      <c r="E45" s="280" t="s">
        <v>2404</v>
      </c>
      <c r="F45" s="290"/>
      <c r="G45" s="291" t="s">
        <v>2413</v>
      </c>
    </row>
    <row r="46" spans="1:7" s="258" customFormat="1" ht="13.5" customHeight="1">
      <c r="A46" s="950" t="s">
        <v>791</v>
      </c>
      <c r="B46" s="292" t="s">
        <v>2414</v>
      </c>
      <c r="C46" s="293">
        <f ca="1">ROUND((C33+C39)*F27,0)</f>
        <v>771</v>
      </c>
      <c r="D46" s="307"/>
      <c r="E46" s="280"/>
      <c r="F46" s="290"/>
      <c r="G46" s="291"/>
    </row>
    <row r="47" spans="1:7" s="258" customFormat="1" ht="13.5" customHeight="1">
      <c r="A47" s="950" t="s">
        <v>792</v>
      </c>
      <c r="B47" s="292" t="s">
        <v>2415</v>
      </c>
      <c r="C47" s="282">
        <f ca="1">ROUND(C40*F27,4)</f>
        <v>3.0000000000000001E-3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6668</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6468</v>
      </c>
      <c r="D51" s="276"/>
      <c r="E51" s="276"/>
      <c r="F51" s="308"/>
      <c r="G51" s="278" t="s">
        <v>2425</v>
      </c>
    </row>
    <row r="52" spans="1:7" s="252" customFormat="1" ht="16.5" thickBot="1">
      <c r="A52" s="309" t="s">
        <v>2426</v>
      </c>
      <c r="B52" s="310"/>
      <c r="C52" s="311">
        <f ca="1">C31+C51</f>
        <v>7288</v>
      </c>
      <c r="D52" s="310"/>
      <c r="E52" s="310"/>
      <c r="F52" s="310"/>
      <c r="G52" s="312"/>
    </row>
    <row r="55" spans="1:7" ht="15">
      <c r="B55" s="314" t="s">
        <v>2427</v>
      </c>
      <c r="C55" s="315"/>
    </row>
    <row r="56" spans="1:7">
      <c r="B56" s="317" t="s">
        <v>1508</v>
      </c>
      <c r="C56" s="319">
        <f ca="1">1-C57</f>
        <v>0.11299999999999999</v>
      </c>
    </row>
    <row r="57" spans="1:7">
      <c r="B57" s="317" t="s">
        <v>1509</v>
      </c>
      <c r="C57" s="318">
        <f ca="1">ROUND(C51/C52,3)</f>
        <v>0.88700000000000001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85" sqref="I8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2804</v>
      </c>
      <c r="B1" s="241"/>
      <c r="C1" s="245" t="s">
        <v>2805</v>
      </c>
      <c r="D1" s="388">
        <f>SUM(D29:D30,D33:D39)</f>
        <v>16248.41</v>
      </c>
      <c r="E1" s="2717"/>
      <c r="F1" s="2717"/>
      <c r="G1" s="2717"/>
      <c r="H1" s="2717"/>
      <c r="I1" s="2717"/>
      <c r="J1" s="2717"/>
      <c r="K1" s="1369"/>
      <c r="L1" s="2718" t="s">
        <v>2806</v>
      </c>
      <c r="M1" s="1079">
        <f>SUMPRODUCT((区片价!B5:B9=I2)*(区片价!C3:F3=E2)*(区片价!C5:F9))</f>
        <v>0</v>
      </c>
      <c r="N1" s="1082">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1" t="s">
        <v>2819</v>
      </c>
      <c r="D3" s="2722" t="s">
        <v>2820</v>
      </c>
      <c r="E3" s="2727"/>
      <c r="F3" s="2728"/>
      <c r="G3" s="915">
        <f>IF(F3="宗地容积率",'数据-汇总表'!I4,IF(F3="估价对象容积率",'数据-汇总表'!I6,'数据-汇总表'!I7))</f>
        <v>0</v>
      </c>
      <c r="H3" s="198" t="s">
        <v>2821</v>
      </c>
      <c r="I3" s="943"/>
      <c r="J3" s="2725" t="s">
        <v>2822</v>
      </c>
      <c r="K3" s="1369"/>
      <c r="L3" s="2726" t="s">
        <v>2823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1"/>
      <c r="B4" s="3302"/>
      <c r="C4" s="3302"/>
      <c r="D4" s="3303"/>
      <c r="E4" s="3303"/>
      <c r="F4" s="3303"/>
      <c r="G4" s="3303"/>
      <c r="H4" s="3303"/>
      <c r="I4" s="3303"/>
      <c r="J4" s="3304"/>
      <c r="K4" s="1369"/>
      <c r="L4" s="2726" t="s">
        <v>2824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2825</v>
      </c>
      <c r="C5" s="916" t="e">
        <f>ROUND(IF(E2="商业",C6*C7+C16,(IF(E2="住宅",C6*C12+C16,C6+C16))),0)</f>
        <v>#DIV/0!</v>
      </c>
      <c r="D5" s="1786" t="e">
        <f>ROUND(C6+C16,0)</f>
        <v>#DIV/0!</v>
      </c>
      <c r="E5" s="1786"/>
      <c r="F5" s="2731"/>
      <c r="G5" s="2732"/>
      <c r="H5" s="2732"/>
      <c r="I5" s="2732"/>
      <c r="J5" s="2733"/>
      <c r="K5" s="2734"/>
      <c r="L5" s="2726" t="s">
        <v>2826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2827</v>
      </c>
      <c r="B6" s="2740" t="s">
        <v>2828</v>
      </c>
      <c r="C6" s="917">
        <f>SUMIF(L1:L12,G2,M1:M12)</f>
        <v>0</v>
      </c>
      <c r="D6" s="2741" t="s">
        <v>2829</v>
      </c>
      <c r="E6" s="2742"/>
      <c r="F6" s="2742"/>
      <c r="G6" s="2743"/>
      <c r="H6" s="2743"/>
      <c r="I6" s="2743"/>
      <c r="J6" s="2744"/>
      <c r="K6" s="1841"/>
      <c r="L6" s="2726" t="s">
        <v>2830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85" t="str">
        <f>IF(E2="商业",IF(C8="不临58条商业街","",2),"")</f>
        <v/>
      </c>
      <c r="B7" s="2745" t="s">
        <v>2831</v>
      </c>
      <c r="C7" s="918" t="e">
        <f>IF(C8="不临58条商业街",1,ROUND(1+(1.6*E8+1.2*E9+0.8*E10+0.4*E11)*C9,4))</f>
        <v>#DIV/0!</v>
      </c>
      <c r="D7" s="2746" t="s">
        <v>2832</v>
      </c>
      <c r="E7" s="944"/>
      <c r="F7" s="2747"/>
      <c r="G7" s="2748"/>
      <c r="H7" s="2748"/>
      <c r="I7" s="2748"/>
      <c r="J7" s="2749"/>
      <c r="K7" s="1841"/>
      <c r="L7" s="2726" t="s">
        <v>2833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f>G3</f>
        <v>0</v>
      </c>
      <c r="AA7" s="1605"/>
      <c r="AB7" s="1605"/>
      <c r="AC7" s="1606"/>
      <c r="AD7" s="1607"/>
      <c r="AE7" s="1607"/>
      <c r="AF7" s="1607"/>
      <c r="AG7" s="1607"/>
      <c r="AH7" s="1607"/>
      <c r="AI7" s="1607"/>
      <c r="AJ7" s="1608"/>
    </row>
    <row r="8" spans="1:36" ht="15">
      <c r="A8" s="3305"/>
      <c r="B8" s="198" t="s">
        <v>2836</v>
      </c>
      <c r="C8" s="2750"/>
      <c r="D8" s="919" t="s">
        <v>139</v>
      </c>
      <c r="E8" s="920" t="e">
        <f>ROUND(C11/E7,4)</f>
        <v>#DIV/0!</v>
      </c>
      <c r="F8" s="2751" t="s">
        <v>2837</v>
      </c>
      <c r="G8" s="2752"/>
      <c r="H8" s="2752"/>
      <c r="I8" s="2752"/>
      <c r="J8" s="2753"/>
      <c r="K8" s="1369"/>
      <c r="L8" s="2726"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98" t="s">
        <v>2839</v>
      </c>
      <c r="X8" s="3299"/>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05"/>
      <c r="B9" s="198" t="s">
        <v>2852</v>
      </c>
      <c r="C9" s="921">
        <f>SUMIF(修正!C59:C119,C8,修正!E59:E119)</f>
        <v>0</v>
      </c>
      <c r="D9" s="200" t="s">
        <v>140</v>
      </c>
      <c r="E9" s="200" t="e">
        <f>ROUND(C11/E7,4)</f>
        <v>#DIV/0!</v>
      </c>
      <c r="F9" s="2751" t="s">
        <v>2853</v>
      </c>
      <c r="G9" s="2752"/>
      <c r="H9" s="2752"/>
      <c r="I9" s="2752"/>
      <c r="J9" s="2753"/>
      <c r="K9" s="1369"/>
      <c r="L9" s="2726"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00"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5"/>
      <c r="B10" s="198" t="s">
        <v>2857</v>
      </c>
      <c r="C10" s="200">
        <f>SUMIF(修正!C59:C119,C8,修正!F59:F119)</f>
        <v>0</v>
      </c>
      <c r="D10" s="200" t="s">
        <v>141</v>
      </c>
      <c r="E10" s="200" t="e">
        <f>ROUND(C11/E7,4)</f>
        <v>#DIV/0!</v>
      </c>
      <c r="F10" s="2751" t="s">
        <v>2858</v>
      </c>
      <c r="G10" s="2752"/>
      <c r="H10" s="2752"/>
      <c r="I10" s="2752"/>
      <c r="J10" s="2753"/>
      <c r="K10" s="1369"/>
      <c r="L10" s="2726"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0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5"/>
      <c r="B11" s="2754" t="s">
        <v>2860</v>
      </c>
      <c r="C11" s="922">
        <f>C10/4</f>
        <v>0</v>
      </c>
      <c r="D11" s="922" t="s">
        <v>142</v>
      </c>
      <c r="E11" s="922" t="e">
        <f>ROUND(C11/E7,4)</f>
        <v>#DIV/0!</v>
      </c>
      <c r="F11" s="2755" t="s">
        <v>2861</v>
      </c>
      <c r="G11" s="2756"/>
      <c r="H11" s="2756"/>
      <c r="I11" s="2756"/>
      <c r="J11" s="2757"/>
      <c r="K11" s="1369"/>
      <c r="L11" s="2726"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00" t="s">
        <v>2863</v>
      </c>
      <c r="X11" s="1613" t="s">
        <v>2864</v>
      </c>
      <c r="Y11" s="1614">
        <f>$G$3</f>
        <v>0</v>
      </c>
      <c r="Z11" s="1614">
        <f t="shared" ref="Z11:AJ11" si="3">$G$3</f>
        <v>0</v>
      </c>
      <c r="AA11" s="1614">
        <f t="shared" si="3"/>
        <v>0</v>
      </c>
      <c r="AB11" s="1614">
        <f t="shared" si="3"/>
        <v>0</v>
      </c>
      <c r="AC11" s="1614">
        <f t="shared" si="3"/>
        <v>0</v>
      </c>
      <c r="AD11" s="1614">
        <f t="shared" si="3"/>
        <v>0</v>
      </c>
      <c r="AE11" s="1614">
        <f t="shared" si="3"/>
        <v>0</v>
      </c>
      <c r="AF11" s="1614">
        <f t="shared" si="3"/>
        <v>0</v>
      </c>
      <c r="AG11" s="1614">
        <f t="shared" si="3"/>
        <v>0</v>
      </c>
      <c r="AH11" s="1614">
        <f t="shared" si="3"/>
        <v>0</v>
      </c>
      <c r="AI11" s="1614">
        <f t="shared" si="3"/>
        <v>0</v>
      </c>
      <c r="AJ11" s="1614">
        <f t="shared" si="3"/>
        <v>0</v>
      </c>
    </row>
    <row r="12" spans="1:36" ht="25.5" thickBot="1">
      <c r="A12" s="3285" t="s">
        <v>2865</v>
      </c>
      <c r="B12" s="2758" t="s">
        <v>2866</v>
      </c>
      <c r="C12" s="918">
        <f>ROUND(C15*D15*E15*F15*G15*H15*I15*J15,4)</f>
        <v>1</v>
      </c>
      <c r="D12" s="2759" t="s">
        <v>2867</v>
      </c>
      <c r="E12" s="2760"/>
      <c r="F12" s="2760"/>
      <c r="G12" s="2761"/>
      <c r="H12" s="2761"/>
      <c r="I12" s="2761"/>
      <c r="J12" s="2762"/>
      <c r="K12" s="1369"/>
      <c r="L12" s="2763"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00"/>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6"/>
      <c r="B13" s="2764" t="s">
        <v>2870</v>
      </c>
      <c r="C13" s="2765" t="s">
        <v>2871</v>
      </c>
      <c r="D13" s="1807" t="s">
        <v>2872</v>
      </c>
      <c r="E13" s="1807" t="s">
        <v>2873</v>
      </c>
      <c r="F13" s="30" t="s">
        <v>2874</v>
      </c>
      <c r="G13" s="2766" t="s">
        <v>2875</v>
      </c>
      <c r="H13" s="2766" t="s">
        <v>2875</v>
      </c>
      <c r="I13" s="2766" t="s">
        <v>2875</v>
      </c>
      <c r="J13" s="2767" t="s">
        <v>2875</v>
      </c>
      <c r="K13" s="1369"/>
      <c r="L13" s="1369"/>
      <c r="M13" s="1369"/>
      <c r="N13" s="1369"/>
      <c r="O13" s="1369"/>
      <c r="P13" s="1369"/>
      <c r="Q13" s="1369"/>
      <c r="R13" s="1601">
        <v>12</v>
      </c>
      <c r="S13" s="1602"/>
      <c r="T13" s="1601" t="e">
        <f t="shared" si="0"/>
        <v>#DIV/0!</v>
      </c>
      <c r="U13" s="1602"/>
      <c r="V13" s="1601" t="e">
        <f t="shared" si="1"/>
        <v>#DIV/0!</v>
      </c>
      <c r="W13" s="3300"/>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06"/>
      <c r="B14" s="2768"/>
      <c r="C14" s="2769"/>
      <c r="D14" s="2770"/>
      <c r="E14" s="2770"/>
      <c r="F14" s="2771"/>
      <c r="G14" s="2772" t="s">
        <v>2876</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7"/>
      <c r="B15" s="2776" t="s">
        <v>2877</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5" t="s">
        <v>2882</v>
      </c>
      <c r="B16" s="2745" t="s">
        <v>2883</v>
      </c>
      <c r="C16" s="2932" t="e">
        <f>ROUND(IF(F17="与级别开发程度一致",0,(G17-E17)/C17),0)</f>
        <v>#DIV/0!</v>
      </c>
      <c r="D16" s="3296" t="s">
        <v>2887</v>
      </c>
      <c r="E16" s="3297"/>
      <c r="F16" s="3296" t="s">
        <v>2884</v>
      </c>
      <c r="G16" s="329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943" t="s">
        <v>2886</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2889</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2890</v>
      </c>
      <c r="C19" s="923" t="e">
        <f>ROUND(IF(H19="按公示增长率计算",SUMPRODUCT((地价!A3:A28=YEAR(G19)&amp;"-"&amp;ROUNDUP(MONTH(G19)/3,0))*(地价!X2:AB2=E2)*(地价!X3:AB28)),IF(H19="地价指数",M20/M19,(1+I19)^O19)),4)</f>
        <v>#DIV/0!</v>
      </c>
      <c r="D19" s="2789" t="s">
        <v>2891</v>
      </c>
      <c r="E19" s="924">
        <v>41640</v>
      </c>
      <c r="F19" s="2789" t="s">
        <v>2892</v>
      </c>
      <c r="G19" s="925">
        <f>'数据-取费表'!B2</f>
        <v>43761</v>
      </c>
      <c r="H19" s="2790" t="s">
        <v>3062</v>
      </c>
      <c r="I19" s="926" t="str">
        <f>IF(H19="季度增幅（自定义）",SUMIF(N21:N24,E2,O21:O24),"")</f>
        <v/>
      </c>
      <c r="J19" s="2787"/>
      <c r="K19" s="1376"/>
      <c r="L19" s="2791" t="s">
        <v>2893</v>
      </c>
      <c r="M19" s="1733">
        <f>ROUND(SUMIF(地价!B2:F2,E2,地价!B28:F28),0)</f>
        <v>0</v>
      </c>
      <c r="N19" s="2792" t="s">
        <v>2894</v>
      </c>
      <c r="O19" s="927">
        <f>ROUNDDOWN(DATEDIF(E19,G19,"M")/3,0)</f>
        <v>23</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2895</v>
      </c>
      <c r="C20" s="928" t="e">
        <f>ROUND(POWER(1+G20,J20-I20)*(POWER(1+G20,I20)-1)/(POWER(1+G20,J20)-1),4)</f>
        <v>#DIV/0!</v>
      </c>
      <c r="D20" s="2798" t="s">
        <v>2896</v>
      </c>
      <c r="E20" s="1767">
        <f ca="1">存贷款利率!D4/100</f>
        <v>4.3499999999999997E-2</v>
      </c>
      <c r="F20" s="2798" t="s">
        <v>2888</v>
      </c>
      <c r="G20" s="933">
        <f>SUMIF(M26:P26,E2,M28:P28)</f>
        <v>0</v>
      </c>
      <c r="H20" s="2798" t="s">
        <v>2897</v>
      </c>
      <c r="I20" s="934" t="e">
        <f>SUMIF('数据-取费表'!C6:C15,E2,'数据-取费表'!F6:F15)/COUNTIF('数据-取费表'!C6:C15,E2)</f>
        <v>#DIV/0!</v>
      </c>
      <c r="J20" s="935">
        <f>IF(E2="住宅",70,IF(E2="商业",40,50))</f>
        <v>50</v>
      </c>
      <c r="K20" s="1376"/>
      <c r="L20" s="2799" t="s">
        <v>2898</v>
      </c>
      <c r="M20" s="1734">
        <f>ROUND(SUMPRODUCT((地价!A4:A28=YEAR(G19)&amp;"-"&amp;ROUNDUP(MONTH(G19)/3,0))*(地价!B2:F2=E2)*(地价!B4:F28)),0)</f>
        <v>0</v>
      </c>
      <c r="N20" s="2800" t="s">
        <v>2899</v>
      </c>
      <c r="O20" s="2801" t="s">
        <v>2900</v>
      </c>
      <c r="P20" s="2802" t="s">
        <v>2901</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3061</v>
      </c>
      <c r="C21" s="936" t="b">
        <f>IF(B21="容积率修正",IF(G3&lt;=10,D22,J22),C23)</f>
        <v>0</v>
      </c>
      <c r="D21" s="2805"/>
      <c r="E21" s="2805"/>
      <c r="F21" s="2805"/>
      <c r="G21" s="2805"/>
      <c r="H21" s="2805"/>
      <c r="I21" s="2805"/>
      <c r="J21" s="2806"/>
      <c r="K21" s="1376"/>
      <c r="N21" s="2807" t="s">
        <v>2902</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8" customFormat="1" ht="14.25">
      <c r="A22" s="2664" t="s">
        <v>2903</v>
      </c>
      <c r="B22" s="2808" t="s">
        <v>2904</v>
      </c>
      <c r="C22" s="1809" t="s">
        <v>2905</v>
      </c>
      <c r="D22" s="1809" t="b">
        <f>IF(E22=G22,F22,IF(G3&lt;=10,ROUND(F22+(H22-F22)*(G3-E22)/(G22-E22),4),"——"))</f>
        <v>0</v>
      </c>
      <c r="E22" s="915">
        <f>ROUNDDOWN(G3,1)</f>
        <v>0</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2906</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4" t="s">
        <v>2907</v>
      </c>
      <c r="B23" s="2809" t="s">
        <v>2908</v>
      </c>
      <c r="C23" s="1012" t="e">
        <f>ROUND(IF(G3&gt;1,IF(I3&lt;7,SUMPRODUCT((B93:B98=I3)*(C92:N92=G2)*(C93:N98)),SUMIF(C92:N92,G2,C100:N100)),IF(I3&lt;7,SUMPRODUCT((B102:B107=I3)*(C92:N92=G2)*(C102:N107)),SUMIF(C92:N92,G2,C109:N109))),4)</f>
        <v>#DIV/0!</v>
      </c>
      <c r="D23" s="2773"/>
      <c r="E23" s="2773"/>
      <c r="F23" s="2810"/>
      <c r="G23" s="2811"/>
      <c r="H23" s="2812"/>
      <c r="I23" s="2813"/>
      <c r="J23" s="2814"/>
      <c r="K23" s="1369"/>
      <c r="N23" s="2807" t="s">
        <v>2909</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2910</v>
      </c>
      <c r="C24" s="923">
        <f>SUMIF(A45:A88,E2,B45:B88)</f>
        <v>0</v>
      </c>
      <c r="D24" s="2786"/>
      <c r="E24" s="2815"/>
      <c r="F24" s="2815"/>
      <c r="G24" s="2815"/>
      <c r="H24" s="2815"/>
      <c r="I24" s="2815"/>
      <c r="J24" s="2816"/>
      <c r="K24" s="1376"/>
      <c r="N24" s="2817" t="s">
        <v>2911</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2912</v>
      </c>
      <c r="C25" s="929"/>
      <c r="D25" s="2748"/>
      <c r="E25" s="2748"/>
      <c r="F25" s="2819"/>
      <c r="G25" s="2748"/>
      <c r="H25" s="2748"/>
      <c r="I25" s="2748"/>
      <c r="J25" s="2749"/>
      <c r="K25" s="1369"/>
      <c r="N25" s="2820" t="s">
        <v>2913</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21"/>
      <c r="B26" s="2808" t="s">
        <v>2914</v>
      </c>
      <c r="C26" s="206" t="e">
        <f>E29+SUM(E33:E39)</f>
        <v>#DIV/0!</v>
      </c>
      <c r="D26" s="2822"/>
      <c r="E26" s="2773"/>
      <c r="F26" s="2823"/>
      <c r="G26" s="2773"/>
      <c r="H26" s="2773"/>
      <c r="I26" s="2773"/>
      <c r="J26" s="2824"/>
      <c r="K26" s="1369"/>
      <c r="L26" s="2777" t="s">
        <v>2814</v>
      </c>
      <c r="M26" s="919" t="s">
        <v>2878</v>
      </c>
      <c r="N26" s="919" t="s">
        <v>2879</v>
      </c>
      <c r="O26" s="919" t="s">
        <v>2880</v>
      </c>
      <c r="P26" s="2778" t="s">
        <v>2881</v>
      </c>
      <c r="R26" s="1375"/>
      <c r="S26" s="1375"/>
      <c r="T26" s="1370"/>
      <c r="U26" s="1370"/>
      <c r="V26" s="1370"/>
      <c r="W26" s="1369"/>
      <c r="X26" s="1369"/>
      <c r="Y26" s="1369"/>
      <c r="Z26" s="1376"/>
      <c r="AA26" s="1377"/>
      <c r="AB26" s="1377"/>
      <c r="AC26" s="1377"/>
      <c r="AD26" s="1377"/>
    </row>
    <row r="27" spans="1:37" ht="15.75" thickBot="1">
      <c r="A27" s="2821"/>
      <c r="B27" s="2825" t="s">
        <v>2915</v>
      </c>
      <c r="C27" s="930" t="e">
        <f>E30+SUM(I33:I39)</f>
        <v>#DIV/0!</v>
      </c>
      <c r="D27" s="2826"/>
      <c r="E27" s="2827"/>
      <c r="F27" s="2828"/>
      <c r="G27" s="2827"/>
      <c r="H27" s="2827"/>
      <c r="I27" s="2827"/>
      <c r="J27" s="2829"/>
      <c r="K27" s="1369"/>
      <c r="L27" s="2781"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2916</v>
      </c>
      <c r="C28" s="2832" t="s">
        <v>2917</v>
      </c>
      <c r="D28" s="2832" t="s">
        <v>2918</v>
      </c>
      <c r="E28" s="2833" t="s">
        <v>2919</v>
      </c>
      <c r="F28" s="2834"/>
      <c r="G28" s="2761"/>
      <c r="H28" s="2761"/>
      <c r="I28" s="2761"/>
      <c r="J28" s="2762"/>
      <c r="K28" s="1369"/>
      <c r="L28" s="2782"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2920</v>
      </c>
      <c r="C29" s="206" t="e">
        <f>ROUND(C5*C18*C19*C20*C21*C24,0)</f>
        <v>#DIV/0!</v>
      </c>
      <c r="D29" s="2837">
        <f>'数据-汇总表'!F27</f>
        <v>16248.41</v>
      </c>
      <c r="E29" s="941" t="e">
        <f>ROUND(C29*D29/10000,0)</f>
        <v>#DIV/0!</v>
      </c>
      <c r="F29" s="2838" t="s">
        <v>2921</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2922</v>
      </c>
      <c r="C30" s="229" t="e">
        <f>ROUND(IF(E2="工业",C29*M39,C29*M38),0)</f>
        <v>#DIV/0!</v>
      </c>
      <c r="D30" s="2843"/>
      <c r="E30" s="941" t="e">
        <f>ROUND(C30*D30/10000,0)</f>
        <v>#DIV/0!</v>
      </c>
      <c r="F30" s="2844" t="s">
        <v>2923</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93"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4"/>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4"/>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295"/>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2934</v>
      </c>
      <c r="M37" s="2857"/>
      <c r="N37" s="1369"/>
      <c r="O37" s="1369"/>
      <c r="P37" s="1369"/>
      <c r="Q37" s="1369"/>
      <c r="R37" s="1369"/>
      <c r="S37" s="1369"/>
      <c r="T37" s="1369"/>
      <c r="U37" s="1369"/>
      <c r="V37" s="1369"/>
      <c r="W37" s="1369"/>
      <c r="X37" s="1369"/>
      <c r="Y37" s="1369"/>
      <c r="Z37" s="1370"/>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2936</v>
      </c>
      <c r="M38" s="2858">
        <v>0.25</v>
      </c>
      <c r="N38" s="1369"/>
      <c r="O38" s="1369"/>
      <c r="P38" s="1369"/>
      <c r="Q38" s="1369"/>
      <c r="R38" s="1369"/>
      <c r="S38" s="1369"/>
      <c r="T38" s="1369"/>
      <c r="U38" s="1369"/>
      <c r="V38" s="1369"/>
      <c r="W38" s="1369"/>
      <c r="X38" s="1369"/>
      <c r="Y38" s="1369"/>
      <c r="Z38" s="1370"/>
    </row>
    <row r="39" spans="1:37" ht="13.5" thickBot="1">
      <c r="A39" s="2841"/>
      <c r="B39" s="2859" t="s">
        <v>2937</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2881</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3047</v>
      </c>
      <c r="C41" s="388" t="e">
        <f>ROUND(POWER(1+E41,H41-G41)*(POWER(1+E41,G41)-1)/(POWER(1+E41,H41)-1),4)</f>
        <v>#DIV/0!</v>
      </c>
      <c r="D41" s="200" t="s">
        <v>2888</v>
      </c>
      <c r="E41" s="2929">
        <f>G20</f>
        <v>0</v>
      </c>
      <c r="F41" s="200" t="s">
        <v>2897</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2938</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2939</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2940</v>
      </c>
      <c r="B47" s="1808" t="s">
        <v>2941</v>
      </c>
      <c r="C47" s="1808" t="s">
        <v>2942</v>
      </c>
      <c r="D47" s="1808" t="s">
        <v>2943</v>
      </c>
      <c r="E47" s="818" t="s">
        <v>2944</v>
      </c>
      <c r="F47" s="2871" t="s">
        <v>2945</v>
      </c>
      <c r="G47" s="1808" t="s">
        <v>754</v>
      </c>
      <c r="H47" s="2872" t="s">
        <v>2946</v>
      </c>
      <c r="I47" s="1808" t="s">
        <v>2947</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0" t="s">
        <v>2948</v>
      </c>
      <c r="B48" s="2873" t="str">
        <f>估价对象房地状况!C4</f>
        <v>估价对象位于XX商圈，周边商业氛围成熟，人流量大，商业繁华度好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2949</v>
      </c>
      <c r="B49" s="2874" t="str">
        <f>估价对象房地状况!C18</f>
        <v>估价对象周边道路状况、公共交通通达情况、停车便捷程度，综合评价交通便捷度较好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2950</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2951</v>
      </c>
      <c r="B51" s="2875" t="s">
        <v>2952</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2953</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2954</v>
      </c>
      <c r="B53" s="2876" t="s">
        <v>2955</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2956</v>
      </c>
      <c r="B54" s="1724" t="str">
        <f>估价对象房地状况!C21</f>
        <v>估价对象所在区域公共配套设施齐备情况</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2957</v>
      </c>
      <c r="B55" s="2874" t="str">
        <f>估价对象房地状况!C22</f>
        <v>估价对象所在区域基础设施水平</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2958</v>
      </c>
      <c r="B56" s="2879" t="str">
        <f>估价对象房地状况!C20</f>
        <v>区域自然环境：；人文环境；综合评价环境状况一般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2959</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2940</v>
      </c>
      <c r="B58" s="1808"/>
      <c r="C58" s="1808" t="s">
        <v>2942</v>
      </c>
      <c r="D58" s="1808" t="s">
        <v>2943</v>
      </c>
      <c r="E58" s="818" t="s">
        <v>2944</v>
      </c>
      <c r="F58" s="2871" t="s">
        <v>2960</v>
      </c>
      <c r="G58" s="1808" t="s">
        <v>754</v>
      </c>
      <c r="H58" s="2872" t="s">
        <v>2946</v>
      </c>
      <c r="I58" s="1808" t="s">
        <v>2947</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0" t="s">
        <v>2961</v>
      </c>
      <c r="B59" s="2873" t="str">
        <f>估价对象房地状况!C17</f>
        <v>估价对象位于XX商圈，周边办公楼项目较多，入驻率高，办公集聚程度较好</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2949</v>
      </c>
      <c r="B60" s="2874" t="str">
        <f>估价对象房地状况!C18</f>
        <v>估价对象周边道路状况、公共交通通达情况、停车便捷程度，综合评价交通便捷度较好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2950</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2951</v>
      </c>
      <c r="B62" s="2875" t="s">
        <v>2952</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2953</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2954</v>
      </c>
      <c r="B64" s="2876" t="s">
        <v>2955</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2956</v>
      </c>
      <c r="B65" s="1724" t="str">
        <f>估价对象房地状况!C21</f>
        <v>估价对象所在区域公共配套设施齐备情况</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2957</v>
      </c>
      <c r="B66" s="1724" t="str">
        <f>估价对象房地状况!C22</f>
        <v>估价对象所在区域基础设施水平</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2958</v>
      </c>
      <c r="B67" s="2880" t="str">
        <f>估价对象房地状况!C20</f>
        <v>区域自然环境：；人文环境；综合评价环境状况一般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2962</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2940</v>
      </c>
      <c r="B69" s="1808"/>
      <c r="C69" s="1808" t="s">
        <v>2942</v>
      </c>
      <c r="D69" s="1808" t="s">
        <v>2943</v>
      </c>
      <c r="E69" s="818" t="s">
        <v>2944</v>
      </c>
      <c r="F69" s="2871" t="s">
        <v>2960</v>
      </c>
      <c r="G69" s="1808" t="s">
        <v>754</v>
      </c>
      <c r="H69" s="2872" t="s">
        <v>2946</v>
      </c>
      <c r="I69" s="1808" t="s">
        <v>2947</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0" t="s">
        <v>2963</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2949</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2950</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2964</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2956</v>
      </c>
      <c r="B74" s="1724"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2957</v>
      </c>
      <c r="B75" s="1724"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2954</v>
      </c>
      <c r="B76" s="2876" t="s">
        <v>2955</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2958</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2965</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2966</v>
      </c>
      <c r="B79" s="2867">
        <f>1+E81</f>
        <v>1</v>
      </c>
      <c r="C79" s="813"/>
      <c r="D79" s="813"/>
      <c r="E79" s="814"/>
      <c r="F79" s="2869"/>
      <c r="G79" s="6"/>
      <c r="H79" s="6"/>
      <c r="I79" s="6"/>
      <c r="J79" s="7"/>
      <c r="K79" s="7"/>
      <c r="L79" s="7"/>
      <c r="M79" s="7"/>
      <c r="N79" s="7"/>
      <c r="Z79" s="2720"/>
      <c r="AA79" s="2788"/>
      <c r="AG79" s="1371"/>
      <c r="AK79" s="2788"/>
    </row>
    <row r="80" spans="1:37" ht="24.75">
      <c r="A80" s="2870" t="s">
        <v>2940</v>
      </c>
      <c r="B80" s="1808"/>
      <c r="C80" s="1808" t="s">
        <v>2942</v>
      </c>
      <c r="D80" s="1808" t="s">
        <v>2943</v>
      </c>
      <c r="E80" s="818" t="s">
        <v>2944</v>
      </c>
      <c r="F80" s="2871" t="s">
        <v>2960</v>
      </c>
      <c r="G80" s="1808" t="s">
        <v>754</v>
      </c>
      <c r="H80" s="2872" t="s">
        <v>2946</v>
      </c>
      <c r="I80" s="1808" t="s">
        <v>2947</v>
      </c>
      <c r="J80" s="603" t="s">
        <v>2597</v>
      </c>
      <c r="K80" s="603" t="s">
        <v>2598</v>
      </c>
      <c r="L80" s="603" t="s">
        <v>2599</v>
      </c>
      <c r="M80" s="603" t="s">
        <v>2600</v>
      </c>
      <c r="N80" s="603" t="s">
        <v>2601</v>
      </c>
      <c r="Z80" s="2720"/>
      <c r="AA80" s="2788"/>
      <c r="AG80" s="1371"/>
      <c r="AK80" s="2788"/>
    </row>
    <row r="81" spans="1:37" ht="38.25">
      <c r="A81" s="2870" t="s">
        <v>2967</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2949</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2950</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2964</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2956</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2957</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2954</v>
      </c>
      <c r="B87" s="2876" t="s">
        <v>2968</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2969</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287" t="s">
        <v>2970</v>
      </c>
      <c r="B90" s="3287"/>
      <c r="C90" s="3287"/>
      <c r="D90" s="3287"/>
      <c r="E90" s="3287"/>
      <c r="F90" s="3287"/>
      <c r="G90" s="3287"/>
      <c r="H90" s="3287"/>
      <c r="I90" s="3287"/>
      <c r="J90" s="3287"/>
      <c r="K90" s="2884"/>
      <c r="L90" s="2884"/>
      <c r="M90" s="2884"/>
      <c r="N90" s="2884"/>
    </row>
    <row r="91" spans="1:37">
      <c r="A91" s="3289" t="s">
        <v>2971</v>
      </c>
      <c r="B91" s="3289" t="s">
        <v>2972</v>
      </c>
      <c r="C91" s="2838" t="s">
        <v>2973</v>
      </c>
      <c r="D91" s="2839"/>
      <c r="E91" s="2839"/>
      <c r="F91" s="2839"/>
      <c r="G91" s="2839"/>
      <c r="H91" s="2839"/>
      <c r="I91" s="2839"/>
      <c r="J91" s="2885"/>
      <c r="K91" s="2886"/>
      <c r="L91" s="2886"/>
      <c r="M91" s="2886"/>
      <c r="N91" s="2886"/>
    </row>
    <row r="92" spans="1:37">
      <c r="A92" s="3289"/>
      <c r="B92" s="3289"/>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90"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1"/>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0" t="s">
        <v>2975</v>
      </c>
      <c r="B101" s="2891" t="s">
        <v>2976</v>
      </c>
      <c r="C101" s="2892">
        <f>$G$3</f>
        <v>0</v>
      </c>
      <c r="D101" s="2892">
        <f t="shared" ref="D101:N101" si="31">$G$3</f>
        <v>0</v>
      </c>
      <c r="E101" s="2892">
        <f t="shared" si="31"/>
        <v>0</v>
      </c>
      <c r="F101" s="2892">
        <f t="shared" si="31"/>
        <v>0</v>
      </c>
      <c r="G101" s="2892">
        <f t="shared" si="31"/>
        <v>0</v>
      </c>
      <c r="H101" s="2892">
        <f t="shared" si="31"/>
        <v>0</v>
      </c>
      <c r="I101" s="2892">
        <f t="shared" si="31"/>
        <v>0</v>
      </c>
      <c r="J101" s="2892">
        <f t="shared" si="31"/>
        <v>0</v>
      </c>
      <c r="K101" s="2892">
        <f t="shared" si="31"/>
        <v>0</v>
      </c>
      <c r="L101" s="2892">
        <f t="shared" si="31"/>
        <v>0</v>
      </c>
      <c r="M101" s="2892">
        <f t="shared" si="31"/>
        <v>0</v>
      </c>
      <c r="N101" s="2892">
        <f t="shared" si="31"/>
        <v>0</v>
      </c>
    </row>
    <row r="102" spans="1:14">
      <c r="A102" s="3291"/>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291"/>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291"/>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291"/>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291"/>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291"/>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291"/>
      <c r="B108" s="3119"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2"/>
      <c r="B109" s="3120"/>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288" t="s">
        <v>2978</v>
      </c>
      <c r="B110" s="3288"/>
      <c r="C110" s="3288"/>
      <c r="D110" s="3288"/>
      <c r="E110" s="3288"/>
      <c r="F110" s="3288"/>
      <c r="G110" s="3288"/>
      <c r="H110" s="3288"/>
      <c r="I110" s="3288"/>
      <c r="J110" s="3288"/>
      <c r="K110" s="2893"/>
      <c r="L110" s="2893"/>
      <c r="M110" s="2893"/>
      <c r="N110" s="2893"/>
    </row>
    <row r="112" spans="1:14" ht="13.5" thickBot="1"/>
    <row r="113" spans="1:13" ht="25.5" thickBot="1">
      <c r="A113" s="902" t="s">
        <v>2979</v>
      </c>
      <c r="B113" s="1286">
        <f>G3</f>
        <v>0</v>
      </c>
      <c r="C113" s="903" t="s">
        <v>2980</v>
      </c>
      <c r="D113" s="904">
        <f>SUMPRODUCT((A115:A118=F113)*(B114:M114=H113)*B115:M118)</f>
        <v>0</v>
      </c>
      <c r="E113" s="2724" t="s">
        <v>2814</v>
      </c>
      <c r="F113" s="2895">
        <f>E2</f>
        <v>0</v>
      </c>
      <c r="G113" s="2724" t="s">
        <v>2815</v>
      </c>
      <c r="H113" s="2895">
        <f>G2</f>
        <v>0</v>
      </c>
      <c r="I113" s="2724"/>
      <c r="J113" s="2896"/>
      <c r="K113" s="2896"/>
      <c r="L113" s="2896"/>
      <c r="M113" s="2896"/>
    </row>
    <row r="114" spans="1:13">
      <c r="A114" s="907"/>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8" t="s">
        <v>2878</v>
      </c>
      <c r="B115" s="909">
        <f>ROUND(0.9335-0.0094*B113,4)</f>
        <v>0.9335</v>
      </c>
      <c r="C115" s="909">
        <f>B115</f>
        <v>0.9335</v>
      </c>
      <c r="D115" s="909">
        <f>ROUND(0.8331-0.0109*B113,4)</f>
        <v>0.83309999999999995</v>
      </c>
      <c r="E115" s="909">
        <f>D115</f>
        <v>0.83309999999999995</v>
      </c>
      <c r="F115" s="909">
        <f>E115</f>
        <v>0.83309999999999995</v>
      </c>
      <c r="G115" s="909">
        <f>F115</f>
        <v>0.83309999999999995</v>
      </c>
      <c r="H115" s="909">
        <f>G115</f>
        <v>0.83309999999999995</v>
      </c>
      <c r="I115" s="909">
        <f>ROUND(0.689-0.0155*B113,4)</f>
        <v>0.68899999999999995</v>
      </c>
      <c r="J115" s="909">
        <f t="shared" ref="J115:M118" si="33">I115</f>
        <v>0.68899999999999995</v>
      </c>
      <c r="K115" s="909">
        <f t="shared" si="33"/>
        <v>0.68899999999999995</v>
      </c>
      <c r="L115" s="909">
        <f t="shared" si="33"/>
        <v>0.68899999999999995</v>
      </c>
      <c r="M115" s="910">
        <f t="shared" si="33"/>
        <v>0.68899999999999995</v>
      </c>
    </row>
    <row r="116" spans="1:13">
      <c r="A116" s="908" t="s">
        <v>2879</v>
      </c>
      <c r="B116" s="909">
        <f>ROUND(0.949-0.012*B113,4)</f>
        <v>0.94899999999999995</v>
      </c>
      <c r="C116" s="909">
        <f>B116</f>
        <v>0.94899999999999995</v>
      </c>
      <c r="D116" s="909">
        <f>ROUND(0.8567-0.013*B113,4)</f>
        <v>0.85670000000000002</v>
      </c>
      <c r="E116" s="909">
        <f t="shared" ref="E116:H117" si="34">D116</f>
        <v>0.85670000000000002</v>
      </c>
      <c r="F116" s="909">
        <f t="shared" si="34"/>
        <v>0.85670000000000002</v>
      </c>
      <c r="G116" s="909">
        <f t="shared" si="34"/>
        <v>0.85670000000000002</v>
      </c>
      <c r="H116" s="909">
        <f t="shared" si="34"/>
        <v>0.85670000000000002</v>
      </c>
      <c r="I116" s="909">
        <f>ROUND(0.7694-0.014*B113,4)</f>
        <v>0.76939999999999997</v>
      </c>
      <c r="J116" s="909">
        <f t="shared" si="33"/>
        <v>0.76939999999999997</v>
      </c>
      <c r="K116" s="909">
        <f t="shared" si="33"/>
        <v>0.76939999999999997</v>
      </c>
      <c r="L116" s="909">
        <f t="shared" si="33"/>
        <v>0.76939999999999997</v>
      </c>
      <c r="M116" s="910">
        <f t="shared" si="33"/>
        <v>0.76939999999999997</v>
      </c>
    </row>
    <row r="117" spans="1:13">
      <c r="A117" s="908" t="s">
        <v>2880</v>
      </c>
      <c r="B117" s="909">
        <f>ROUND(0.8808-0.006*B113,4)</f>
        <v>0.88080000000000003</v>
      </c>
      <c r="C117" s="909">
        <f>B117</f>
        <v>0.88080000000000003</v>
      </c>
      <c r="D117" s="909">
        <f>ROUND(0.8748-0.008*B113,4)</f>
        <v>0.87480000000000002</v>
      </c>
      <c r="E117" s="909">
        <f t="shared" si="34"/>
        <v>0.87480000000000002</v>
      </c>
      <c r="F117" s="909">
        <f t="shared" si="34"/>
        <v>0.87480000000000002</v>
      </c>
      <c r="G117" s="909">
        <f t="shared" si="34"/>
        <v>0.87480000000000002</v>
      </c>
      <c r="H117" s="909">
        <f t="shared" si="34"/>
        <v>0.87480000000000002</v>
      </c>
      <c r="I117" s="909">
        <f>ROUND(0.7412-0.0095*B113,4)</f>
        <v>0.74119999999999997</v>
      </c>
      <c r="J117" s="909">
        <f t="shared" si="33"/>
        <v>0.74119999999999997</v>
      </c>
      <c r="K117" s="909">
        <f t="shared" si="33"/>
        <v>0.74119999999999997</v>
      </c>
      <c r="L117" s="909">
        <f t="shared" si="33"/>
        <v>0.74119999999999997</v>
      </c>
      <c r="M117" s="910">
        <f t="shared" si="33"/>
        <v>0.74119999999999997</v>
      </c>
    </row>
    <row r="118" spans="1:13" ht="13.5" thickBot="1">
      <c r="A118" s="713" t="s">
        <v>2881</v>
      </c>
      <c r="B118" s="911">
        <f>ROUND(0.7275-0.01*B113,4)</f>
        <v>0.72750000000000004</v>
      </c>
      <c r="C118" s="911">
        <f>B118</f>
        <v>0.72750000000000004</v>
      </c>
      <c r="D118" s="911">
        <f>ROUND(0.7043-0.012*B113,4)</f>
        <v>0.70430000000000004</v>
      </c>
      <c r="E118" s="911">
        <f>D118</f>
        <v>0.70430000000000004</v>
      </c>
      <c r="F118" s="911">
        <f>E118</f>
        <v>0.70430000000000004</v>
      </c>
      <c r="G118" s="911">
        <f>ROUND(0.6299-0.0122*B113,4)</f>
        <v>0.62990000000000002</v>
      </c>
      <c r="H118" s="911">
        <f>G118</f>
        <v>0.62990000000000002</v>
      </c>
      <c r="I118" s="911">
        <f>ROUND(0.5667-0.0136*B113,4)</f>
        <v>0.56669999999999998</v>
      </c>
      <c r="J118" s="911">
        <f t="shared" si="33"/>
        <v>0.56669999999999998</v>
      </c>
      <c r="K118" s="911">
        <f t="shared" si="33"/>
        <v>0.56669999999999998</v>
      </c>
      <c r="L118" s="911">
        <f t="shared" si="33"/>
        <v>0.56669999999999998</v>
      </c>
      <c r="M118" s="912">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8" t="s">
        <v>183</v>
      </c>
      <c r="B18" s="881" t="s">
        <v>560</v>
      </c>
      <c r="C18" s="882" t="s">
        <v>561</v>
      </c>
      <c r="D18" s="883"/>
      <c r="E18" s="881">
        <v>1</v>
      </c>
      <c r="F18" s="884" t="s">
        <v>562</v>
      </c>
      <c r="G18" s="885"/>
      <c r="H18" s="877"/>
      <c r="I18" s="877"/>
    </row>
    <row r="19" spans="1:9" s="886" customFormat="1" ht="19.5" customHeight="1">
      <c r="A19" s="3308"/>
      <c r="B19" s="3308" t="s">
        <v>563</v>
      </c>
      <c r="C19" s="882" t="s">
        <v>564</v>
      </c>
      <c r="D19" s="883"/>
      <c r="E19" s="881">
        <v>0.9</v>
      </c>
      <c r="F19" s="884" t="s">
        <v>565</v>
      </c>
      <c r="G19" s="885"/>
      <c r="H19" s="877"/>
      <c r="I19" s="877"/>
    </row>
    <row r="20" spans="1:9" s="886" customFormat="1" ht="19.5" customHeight="1">
      <c r="A20" s="3308"/>
      <c r="B20" s="3308"/>
      <c r="C20" s="882" t="s">
        <v>566</v>
      </c>
      <c r="D20" s="883"/>
      <c r="E20" s="881">
        <v>1.1000000000000001</v>
      </c>
      <c r="F20" s="884" t="s">
        <v>567</v>
      </c>
      <c r="G20" s="885"/>
      <c r="H20" s="877"/>
      <c r="I20" s="877"/>
    </row>
    <row r="21" spans="1:9" s="886" customFormat="1" ht="19.5" customHeight="1">
      <c r="A21" s="3308"/>
      <c r="B21" s="3308"/>
      <c r="C21" s="882" t="s">
        <v>568</v>
      </c>
      <c r="D21" s="883"/>
      <c r="E21" s="881">
        <v>0.8</v>
      </c>
      <c r="F21" s="884" t="s">
        <v>569</v>
      </c>
      <c r="G21" s="885"/>
      <c r="H21" s="877"/>
      <c r="I21" s="877"/>
    </row>
    <row r="22" spans="1:9" s="886" customFormat="1" ht="19.5" customHeight="1">
      <c r="A22" s="3308"/>
      <c r="B22" s="3308"/>
      <c r="C22" s="882" t="s">
        <v>570</v>
      </c>
      <c r="D22" s="883"/>
      <c r="E22" s="881">
        <v>0.5</v>
      </c>
      <c r="F22" s="884"/>
      <c r="G22" s="885"/>
      <c r="H22" s="877"/>
      <c r="I22" s="877"/>
    </row>
    <row r="23" spans="1:9" s="886" customFormat="1" ht="19.5" customHeight="1">
      <c r="A23" s="3308" t="s">
        <v>184</v>
      </c>
      <c r="B23" s="881" t="s">
        <v>560</v>
      </c>
      <c r="C23" s="882" t="s">
        <v>571</v>
      </c>
      <c r="D23" s="883"/>
      <c r="E23" s="881">
        <v>1</v>
      </c>
      <c r="F23" s="884" t="s">
        <v>572</v>
      </c>
      <c r="G23" s="885"/>
      <c r="H23" s="877"/>
      <c r="I23" s="877"/>
    </row>
    <row r="24" spans="1:9" s="886" customFormat="1" ht="19.5" customHeight="1">
      <c r="A24" s="3308"/>
      <c r="B24" s="3308" t="s">
        <v>563</v>
      </c>
      <c r="C24" s="882" t="s">
        <v>573</v>
      </c>
      <c r="D24" s="883"/>
      <c r="E24" s="881">
        <v>0.5</v>
      </c>
      <c r="F24" s="884"/>
      <c r="G24" s="885"/>
      <c r="H24" s="877"/>
      <c r="I24" s="877"/>
    </row>
    <row r="25" spans="1:9" s="886" customFormat="1" ht="19.5" customHeight="1">
      <c r="A25" s="3308"/>
      <c r="B25" s="3308"/>
      <c r="C25" s="882" t="s">
        <v>574</v>
      </c>
      <c r="D25" s="883"/>
      <c r="E25" s="881">
        <v>1.1000000000000001</v>
      </c>
      <c r="F25" s="884"/>
      <c r="G25" s="885"/>
      <c r="H25" s="877"/>
      <c r="I25" s="877"/>
    </row>
    <row r="26" spans="1:9" s="886" customFormat="1" ht="19.5" customHeight="1">
      <c r="A26" s="3308"/>
      <c r="B26" s="3308"/>
      <c r="C26" s="882" t="s">
        <v>575</v>
      </c>
      <c r="D26" s="883"/>
      <c r="E26" s="881">
        <v>1.1000000000000001</v>
      </c>
      <c r="F26" s="884"/>
      <c r="G26" s="885"/>
      <c r="H26" s="877"/>
      <c r="I26" s="877"/>
    </row>
    <row r="27" spans="1:9" s="886" customFormat="1" ht="19.5" customHeight="1">
      <c r="A27" s="3308"/>
      <c r="B27" s="3308"/>
      <c r="C27" s="882" t="s">
        <v>576</v>
      </c>
      <c r="D27" s="883"/>
      <c r="E27" s="881">
        <v>0.9</v>
      </c>
      <c r="F27" s="884" t="s">
        <v>577</v>
      </c>
      <c r="G27" s="885"/>
      <c r="H27" s="877"/>
      <c r="I27" s="877"/>
    </row>
    <row r="28" spans="1:9" s="886" customFormat="1" ht="19.5" customHeight="1">
      <c r="A28" s="3308"/>
      <c r="B28" s="3308"/>
      <c r="C28" s="882" t="s">
        <v>578</v>
      </c>
      <c r="D28" s="883"/>
      <c r="E28" s="881">
        <v>0.9</v>
      </c>
      <c r="F28" s="884" t="s">
        <v>579</v>
      </c>
      <c r="G28" s="885"/>
      <c r="H28" s="877"/>
      <c r="I28" s="877"/>
    </row>
    <row r="29" spans="1:9" s="886" customFormat="1" ht="19.5" customHeight="1">
      <c r="A29" s="3308"/>
      <c r="B29" s="3308"/>
      <c r="C29" s="882" t="s">
        <v>580</v>
      </c>
      <c r="D29" s="883"/>
      <c r="E29" s="881">
        <v>0.9</v>
      </c>
      <c r="F29" s="884" t="s">
        <v>581</v>
      </c>
      <c r="G29" s="885"/>
      <c r="H29" s="877"/>
      <c r="I29" s="877"/>
    </row>
    <row r="30" spans="1:9" s="886" customFormat="1" ht="19.5" customHeight="1">
      <c r="A30" s="3308"/>
      <c r="B30" s="3308"/>
      <c r="C30" s="882" t="s">
        <v>582</v>
      </c>
      <c r="D30" s="883"/>
      <c r="E30" s="881">
        <v>0.9</v>
      </c>
      <c r="F30" s="884" t="s">
        <v>583</v>
      </c>
      <c r="G30" s="885"/>
      <c r="H30" s="877"/>
      <c r="I30" s="877"/>
    </row>
    <row r="31" spans="1:9" s="886" customFormat="1" ht="19.5" customHeight="1">
      <c r="A31" s="3308"/>
      <c r="B31" s="3308"/>
      <c r="C31" s="882" t="s">
        <v>584</v>
      </c>
      <c r="D31" s="883"/>
      <c r="E31" s="881">
        <v>0.8</v>
      </c>
      <c r="F31" s="884" t="s">
        <v>585</v>
      </c>
      <c r="G31" s="885"/>
      <c r="H31" s="877"/>
      <c r="I31" s="877"/>
    </row>
    <row r="32" spans="1:9" s="886" customFormat="1" ht="19.5" customHeight="1">
      <c r="A32" s="3308"/>
      <c r="B32" s="3308"/>
      <c r="C32" s="882" t="s">
        <v>586</v>
      </c>
      <c r="D32" s="883"/>
      <c r="E32" s="881">
        <v>0.8</v>
      </c>
      <c r="F32" s="884" t="s">
        <v>587</v>
      </c>
      <c r="G32" s="885"/>
      <c r="H32" s="877"/>
      <c r="I32" s="877"/>
    </row>
    <row r="33" spans="1:9" s="886" customFormat="1" ht="19.5" customHeight="1">
      <c r="A33" s="3308" t="s">
        <v>185</v>
      </c>
      <c r="B33" s="881" t="s">
        <v>560</v>
      </c>
      <c r="C33" s="882" t="s">
        <v>588</v>
      </c>
      <c r="D33" s="883"/>
      <c r="E33" s="881">
        <v>1</v>
      </c>
      <c r="F33" s="884" t="s">
        <v>589</v>
      </c>
      <c r="G33" s="885"/>
      <c r="H33" s="877"/>
      <c r="I33" s="877"/>
    </row>
    <row r="34" spans="1:9" s="886" customFormat="1" ht="19.5" customHeight="1">
      <c r="A34" s="3308"/>
      <c r="B34" s="881" t="s">
        <v>563</v>
      </c>
      <c r="C34" s="882" t="s">
        <v>590</v>
      </c>
      <c r="D34" s="883"/>
      <c r="E34" s="881">
        <v>1.5</v>
      </c>
      <c r="F34" s="884" t="s">
        <v>591</v>
      </c>
      <c r="G34" s="885"/>
      <c r="H34" s="877"/>
      <c r="I34" s="877"/>
    </row>
    <row r="35" spans="1:9" s="886" customFormat="1" ht="19.5" customHeight="1">
      <c r="A35" s="3308" t="s">
        <v>186</v>
      </c>
      <c r="B35" s="881" t="s">
        <v>560</v>
      </c>
      <c r="C35" s="882" t="s">
        <v>592</v>
      </c>
      <c r="D35" s="883"/>
      <c r="E35" s="881">
        <v>1</v>
      </c>
      <c r="F35" s="884" t="s">
        <v>593</v>
      </c>
      <c r="G35" s="885"/>
      <c r="H35" s="877"/>
      <c r="I35" s="877"/>
    </row>
    <row r="36" spans="1:9" s="886" customFormat="1" ht="19.5" customHeight="1">
      <c r="A36" s="3308"/>
      <c r="B36" s="3308" t="s">
        <v>563</v>
      </c>
      <c r="C36" s="882" t="s">
        <v>594</v>
      </c>
      <c r="D36" s="883"/>
      <c r="E36" s="881">
        <v>1</v>
      </c>
      <c r="F36" s="884" t="s">
        <v>595</v>
      </c>
      <c r="G36" s="885"/>
      <c r="H36" s="877"/>
      <c r="I36" s="877"/>
    </row>
    <row r="37" spans="1:9" s="886" customFormat="1" ht="19.5" customHeight="1">
      <c r="A37" s="3308"/>
      <c r="B37" s="3308"/>
      <c r="C37" s="882" t="s">
        <v>596</v>
      </c>
      <c r="D37" s="883"/>
      <c r="E37" s="881">
        <v>1.5</v>
      </c>
      <c r="F37" s="884" t="s">
        <v>597</v>
      </c>
      <c r="G37" s="885"/>
      <c r="H37" s="877"/>
      <c r="I37" s="877"/>
    </row>
    <row r="38" spans="1:9" s="886" customFormat="1" ht="19.5" customHeight="1">
      <c r="A38" s="3308"/>
      <c r="B38" s="3308"/>
      <c r="C38" s="882" t="s">
        <v>598</v>
      </c>
      <c r="D38" s="883"/>
      <c r="E38" s="881">
        <v>1</v>
      </c>
      <c r="F38" s="884" t="s">
        <v>599</v>
      </c>
      <c r="G38" s="885"/>
      <c r="H38" s="877"/>
      <c r="I38" s="877"/>
    </row>
    <row r="39" spans="1:9" s="886" customFormat="1" ht="19.5" customHeight="1">
      <c r="A39" s="3308"/>
      <c r="B39" s="330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8" t="s">
        <v>614</v>
      </c>
      <c r="C61" s="817" t="s">
        <v>615</v>
      </c>
      <c r="D61" s="817" t="s">
        <v>616</v>
      </c>
      <c r="E61" s="894">
        <v>0.5</v>
      </c>
      <c r="F61" s="881">
        <v>80</v>
      </c>
    </row>
    <row r="62" spans="1:8" s="877" customFormat="1" ht="24">
      <c r="A62" s="881">
        <v>2</v>
      </c>
      <c r="B62" s="3308"/>
      <c r="C62" s="817" t="s">
        <v>617</v>
      </c>
      <c r="D62" s="817" t="s">
        <v>618</v>
      </c>
      <c r="E62" s="894">
        <v>0.5</v>
      </c>
      <c r="F62" s="881">
        <v>80</v>
      </c>
    </row>
    <row r="63" spans="1:8" s="877" customFormat="1" ht="36">
      <c r="A63" s="881">
        <v>3</v>
      </c>
      <c r="B63" s="3308"/>
      <c r="C63" s="817" t="s">
        <v>619</v>
      </c>
      <c r="D63" s="817" t="s">
        <v>620</v>
      </c>
      <c r="E63" s="894">
        <v>0.5</v>
      </c>
      <c r="F63" s="881">
        <v>80</v>
      </c>
    </row>
    <row r="64" spans="1:8" s="877" customFormat="1" ht="36">
      <c r="A64" s="881">
        <v>4</v>
      </c>
      <c r="B64" s="3308"/>
      <c r="C64" s="817" t="s">
        <v>621</v>
      </c>
      <c r="D64" s="817" t="s">
        <v>622</v>
      </c>
      <c r="E64" s="894">
        <v>0.4</v>
      </c>
      <c r="F64" s="881">
        <v>60</v>
      </c>
    </row>
    <row r="65" spans="1:6" s="877" customFormat="1" ht="36">
      <c r="A65" s="881">
        <v>5</v>
      </c>
      <c r="B65" s="3308"/>
      <c r="C65" s="817" t="s">
        <v>623</v>
      </c>
      <c r="D65" s="817" t="s">
        <v>624</v>
      </c>
      <c r="E65" s="894">
        <v>0.2</v>
      </c>
      <c r="F65" s="881">
        <v>30</v>
      </c>
    </row>
    <row r="66" spans="1:6" s="877" customFormat="1" ht="36">
      <c r="A66" s="881">
        <v>6</v>
      </c>
      <c r="B66" s="3308"/>
      <c r="C66" s="817" t="s">
        <v>625</v>
      </c>
      <c r="D66" s="817" t="s">
        <v>626</v>
      </c>
      <c r="E66" s="894">
        <v>0.3</v>
      </c>
      <c r="F66" s="881">
        <v>50</v>
      </c>
    </row>
    <row r="67" spans="1:6" s="877" customFormat="1" ht="36">
      <c r="A67" s="881">
        <v>7</v>
      </c>
      <c r="B67" s="3308"/>
      <c r="C67" s="817" t="s">
        <v>627</v>
      </c>
      <c r="D67" s="817" t="s">
        <v>628</v>
      </c>
      <c r="E67" s="894">
        <v>0.2</v>
      </c>
      <c r="F67" s="881">
        <v>30</v>
      </c>
    </row>
    <row r="68" spans="1:6" s="877" customFormat="1" ht="36">
      <c r="A68" s="881">
        <v>8</v>
      </c>
      <c r="B68" s="3308"/>
      <c r="C68" s="817" t="s">
        <v>629</v>
      </c>
      <c r="D68" s="817" t="s">
        <v>630</v>
      </c>
      <c r="E68" s="894">
        <v>0.2</v>
      </c>
      <c r="F68" s="881">
        <v>30</v>
      </c>
    </row>
    <row r="69" spans="1:6" s="877" customFormat="1" ht="36">
      <c r="A69" s="881">
        <v>9</v>
      </c>
      <c r="B69" s="3308"/>
      <c r="C69" s="817" t="s">
        <v>631</v>
      </c>
      <c r="D69" s="817" t="s">
        <v>632</v>
      </c>
      <c r="E69" s="894">
        <v>0.2</v>
      </c>
      <c r="F69" s="881">
        <v>30</v>
      </c>
    </row>
    <row r="70" spans="1:6" s="877" customFormat="1" ht="48">
      <c r="A70" s="881">
        <v>10</v>
      </c>
      <c r="B70" s="3308"/>
      <c r="C70" s="817" t="s">
        <v>633</v>
      </c>
      <c r="D70" s="817" t="s">
        <v>634</v>
      </c>
      <c r="E70" s="894">
        <v>0.2</v>
      </c>
      <c r="F70" s="881">
        <v>30</v>
      </c>
    </row>
    <row r="71" spans="1:6" s="877" customFormat="1" ht="48">
      <c r="A71" s="881">
        <v>11</v>
      </c>
      <c r="B71" s="3308"/>
      <c r="C71" s="817" t="s">
        <v>635</v>
      </c>
      <c r="D71" s="817" t="s">
        <v>636</v>
      </c>
      <c r="E71" s="894">
        <v>0.2</v>
      </c>
      <c r="F71" s="881">
        <v>30</v>
      </c>
    </row>
    <row r="72" spans="1:6" s="877" customFormat="1" ht="36">
      <c r="A72" s="881">
        <v>12</v>
      </c>
      <c r="B72" s="3308"/>
      <c r="C72" s="817" t="s">
        <v>637</v>
      </c>
      <c r="D72" s="817" t="s">
        <v>638</v>
      </c>
      <c r="E72" s="894">
        <v>0.5</v>
      </c>
      <c r="F72" s="881">
        <v>80</v>
      </c>
    </row>
    <row r="73" spans="1:6" s="877" customFormat="1" ht="24">
      <c r="A73" s="881">
        <v>13</v>
      </c>
      <c r="B73" s="3308"/>
      <c r="C73" s="817" t="s">
        <v>639</v>
      </c>
      <c r="D73" s="817" t="s">
        <v>640</v>
      </c>
      <c r="E73" s="894">
        <v>0.4</v>
      </c>
      <c r="F73" s="881">
        <v>60</v>
      </c>
    </row>
    <row r="74" spans="1:6" s="877" customFormat="1" ht="24">
      <c r="A74" s="881">
        <v>14</v>
      </c>
      <c r="B74" s="3308"/>
      <c r="C74" s="817" t="s">
        <v>641</v>
      </c>
      <c r="D74" s="817" t="s">
        <v>642</v>
      </c>
      <c r="E74" s="894">
        <v>0.2</v>
      </c>
      <c r="F74" s="881">
        <v>30</v>
      </c>
    </row>
    <row r="75" spans="1:6" s="877" customFormat="1" ht="24">
      <c r="A75" s="881">
        <v>15</v>
      </c>
      <c r="B75" s="3308"/>
      <c r="C75" s="817" t="s">
        <v>643</v>
      </c>
      <c r="D75" s="817" t="s">
        <v>644</v>
      </c>
      <c r="E75" s="894">
        <v>0.2</v>
      </c>
      <c r="F75" s="881">
        <v>30</v>
      </c>
    </row>
    <row r="76" spans="1:6" s="877" customFormat="1" ht="24">
      <c r="A76" s="881">
        <v>16</v>
      </c>
      <c r="B76" s="3308" t="s">
        <v>645</v>
      </c>
      <c r="C76" s="817" t="s">
        <v>646</v>
      </c>
      <c r="D76" s="817" t="s">
        <v>647</v>
      </c>
      <c r="E76" s="894">
        <v>0.5</v>
      </c>
      <c r="F76" s="881">
        <v>80</v>
      </c>
    </row>
    <row r="77" spans="1:6" s="877" customFormat="1" ht="24">
      <c r="A77" s="881">
        <v>17</v>
      </c>
      <c r="B77" s="3308"/>
      <c r="C77" s="817" t="s">
        <v>648</v>
      </c>
      <c r="D77" s="817" t="s">
        <v>649</v>
      </c>
      <c r="E77" s="894">
        <v>0.5</v>
      </c>
      <c r="F77" s="881">
        <v>80</v>
      </c>
    </row>
    <row r="78" spans="1:6" s="877" customFormat="1" ht="24">
      <c r="A78" s="881">
        <v>18</v>
      </c>
      <c r="B78" s="3308"/>
      <c r="C78" s="817" t="s">
        <v>650</v>
      </c>
      <c r="D78" s="817" t="s">
        <v>651</v>
      </c>
      <c r="E78" s="894">
        <v>0.2</v>
      </c>
      <c r="F78" s="881">
        <v>30</v>
      </c>
    </row>
    <row r="79" spans="1:6" s="877" customFormat="1" ht="24">
      <c r="A79" s="881">
        <v>19</v>
      </c>
      <c r="B79" s="3308"/>
      <c r="C79" s="817" t="s">
        <v>652</v>
      </c>
      <c r="D79" s="817" t="s">
        <v>653</v>
      </c>
      <c r="E79" s="894">
        <v>0.5</v>
      </c>
      <c r="F79" s="881">
        <v>80</v>
      </c>
    </row>
    <row r="80" spans="1:6" s="877" customFormat="1" ht="36">
      <c r="A80" s="881">
        <v>20</v>
      </c>
      <c r="B80" s="3308"/>
      <c r="C80" s="817" t="s">
        <v>654</v>
      </c>
      <c r="D80" s="817" t="s">
        <v>655</v>
      </c>
      <c r="E80" s="894">
        <v>0.2</v>
      </c>
      <c r="F80" s="881">
        <v>30</v>
      </c>
    </row>
    <row r="81" spans="1:6" s="877" customFormat="1" ht="36">
      <c r="A81" s="881">
        <v>21</v>
      </c>
      <c r="B81" s="3308"/>
      <c r="C81" s="817" t="s">
        <v>656</v>
      </c>
      <c r="D81" s="817" t="s">
        <v>657</v>
      </c>
      <c r="E81" s="894">
        <v>0.2</v>
      </c>
      <c r="F81" s="881">
        <v>30</v>
      </c>
    </row>
    <row r="82" spans="1:6" s="877" customFormat="1" ht="48">
      <c r="A82" s="881">
        <v>22</v>
      </c>
      <c r="B82" s="3308"/>
      <c r="C82" s="817" t="s">
        <v>658</v>
      </c>
      <c r="D82" s="817" t="s">
        <v>659</v>
      </c>
      <c r="E82" s="894">
        <v>0.2</v>
      </c>
      <c r="F82" s="881">
        <v>30</v>
      </c>
    </row>
    <row r="83" spans="1:6" s="877" customFormat="1" ht="48">
      <c r="A83" s="881">
        <v>23</v>
      </c>
      <c r="B83" s="3308"/>
      <c r="C83" s="817" t="s">
        <v>660</v>
      </c>
      <c r="D83" s="817" t="s">
        <v>661</v>
      </c>
      <c r="E83" s="894">
        <v>0.2</v>
      </c>
      <c r="F83" s="881">
        <v>30</v>
      </c>
    </row>
    <row r="84" spans="1:6" s="877" customFormat="1" ht="36">
      <c r="A84" s="881">
        <v>24</v>
      </c>
      <c r="B84" s="3308"/>
      <c r="C84" s="817" t="s">
        <v>662</v>
      </c>
      <c r="D84" s="817" t="s">
        <v>663</v>
      </c>
      <c r="E84" s="894">
        <v>0.2</v>
      </c>
      <c r="F84" s="881">
        <v>30</v>
      </c>
    </row>
    <row r="85" spans="1:6" s="877" customFormat="1" ht="36">
      <c r="A85" s="881">
        <v>25</v>
      </c>
      <c r="B85" s="3308"/>
      <c r="C85" s="817" t="s">
        <v>664</v>
      </c>
      <c r="D85" s="817" t="s">
        <v>665</v>
      </c>
      <c r="E85" s="894">
        <v>0.5</v>
      </c>
      <c r="F85" s="881">
        <v>80</v>
      </c>
    </row>
    <row r="86" spans="1:6" s="877" customFormat="1" ht="36">
      <c r="A86" s="881">
        <v>26</v>
      </c>
      <c r="B86" s="3308"/>
      <c r="C86" s="817" t="s">
        <v>666</v>
      </c>
      <c r="D86" s="817" t="s">
        <v>667</v>
      </c>
      <c r="E86" s="894">
        <v>0.2</v>
      </c>
      <c r="F86" s="881">
        <v>30</v>
      </c>
    </row>
    <row r="87" spans="1:6" s="877" customFormat="1" ht="36">
      <c r="A87" s="881">
        <v>27</v>
      </c>
      <c r="B87" s="3308"/>
      <c r="C87" s="817" t="s">
        <v>668</v>
      </c>
      <c r="D87" s="817" t="s">
        <v>669</v>
      </c>
      <c r="E87" s="894">
        <v>0.2</v>
      </c>
      <c r="F87" s="881">
        <v>30</v>
      </c>
    </row>
    <row r="88" spans="1:6" s="877" customFormat="1" ht="36">
      <c r="A88" s="881">
        <v>28</v>
      </c>
      <c r="B88" s="3308"/>
      <c r="C88" s="817" t="s">
        <v>670</v>
      </c>
      <c r="D88" s="817" t="s">
        <v>671</v>
      </c>
      <c r="E88" s="894">
        <v>0.2</v>
      </c>
      <c r="F88" s="881">
        <v>30</v>
      </c>
    </row>
    <row r="89" spans="1:6" s="877" customFormat="1" ht="24">
      <c r="A89" s="881">
        <v>29</v>
      </c>
      <c r="B89" s="3308"/>
      <c r="C89" s="817" t="s">
        <v>672</v>
      </c>
      <c r="D89" s="817" t="s">
        <v>673</v>
      </c>
      <c r="E89" s="894">
        <v>0.2</v>
      </c>
      <c r="F89" s="881">
        <v>30</v>
      </c>
    </row>
    <row r="90" spans="1:6" s="877" customFormat="1" ht="24">
      <c r="A90" s="881">
        <v>30</v>
      </c>
      <c r="B90" s="3308"/>
      <c r="C90" s="817" t="s">
        <v>674</v>
      </c>
      <c r="D90" s="817" t="s">
        <v>675</v>
      </c>
      <c r="E90" s="894">
        <v>0.2</v>
      </c>
      <c r="F90" s="881">
        <v>30</v>
      </c>
    </row>
    <row r="91" spans="1:6" s="877" customFormat="1" ht="36">
      <c r="A91" s="881">
        <v>31</v>
      </c>
      <c r="B91" s="3308"/>
      <c r="C91" s="817" t="s">
        <v>676</v>
      </c>
      <c r="D91" s="817" t="s">
        <v>677</v>
      </c>
      <c r="E91" s="894">
        <v>0.2</v>
      </c>
      <c r="F91" s="881">
        <v>30</v>
      </c>
    </row>
    <row r="92" spans="1:6" s="877" customFormat="1" ht="24">
      <c r="A92" s="881">
        <v>32</v>
      </c>
      <c r="B92" s="3308" t="s">
        <v>678</v>
      </c>
      <c r="C92" s="881" t="s">
        <v>679</v>
      </c>
      <c r="D92" s="817" t="s">
        <v>680</v>
      </c>
      <c r="E92" s="894">
        <v>0.2</v>
      </c>
      <c r="F92" s="881">
        <v>30</v>
      </c>
    </row>
    <row r="93" spans="1:6" s="877" customFormat="1" ht="36">
      <c r="A93" s="881">
        <v>33</v>
      </c>
      <c r="B93" s="3308"/>
      <c r="C93" s="881" t="s">
        <v>681</v>
      </c>
      <c r="D93" s="817" t="s">
        <v>682</v>
      </c>
      <c r="E93" s="894">
        <v>0.2</v>
      </c>
      <c r="F93" s="881">
        <v>30</v>
      </c>
    </row>
    <row r="94" spans="1:6" s="877" customFormat="1" ht="48">
      <c r="A94" s="881">
        <v>34</v>
      </c>
      <c r="B94" s="3308"/>
      <c r="C94" s="881" t="s">
        <v>683</v>
      </c>
      <c r="D94" s="817" t="s">
        <v>684</v>
      </c>
      <c r="E94" s="894">
        <v>0.2</v>
      </c>
      <c r="F94" s="881">
        <v>30</v>
      </c>
    </row>
    <row r="95" spans="1:6" s="877" customFormat="1" ht="36">
      <c r="A95" s="881">
        <v>35</v>
      </c>
      <c r="B95" s="3308"/>
      <c r="C95" s="881" t="s">
        <v>685</v>
      </c>
      <c r="D95" s="817" t="s">
        <v>686</v>
      </c>
      <c r="E95" s="894">
        <v>0.2</v>
      </c>
      <c r="F95" s="881">
        <v>30</v>
      </c>
    </row>
    <row r="96" spans="1:6" s="877" customFormat="1" ht="48">
      <c r="A96" s="881">
        <v>36</v>
      </c>
      <c r="B96" s="3308"/>
      <c r="C96" s="817" t="s">
        <v>687</v>
      </c>
      <c r="D96" s="817" t="s">
        <v>688</v>
      </c>
      <c r="E96" s="894">
        <v>0.2</v>
      </c>
      <c r="F96" s="881">
        <v>30</v>
      </c>
    </row>
    <row r="97" spans="1:6" s="877" customFormat="1" ht="36">
      <c r="A97" s="881">
        <v>37</v>
      </c>
      <c r="B97" s="3308"/>
      <c r="C97" s="881" t="s">
        <v>689</v>
      </c>
      <c r="D97" s="817" t="s">
        <v>690</v>
      </c>
      <c r="E97" s="894">
        <v>0.2</v>
      </c>
      <c r="F97" s="881">
        <v>30</v>
      </c>
    </row>
    <row r="98" spans="1:6" s="877" customFormat="1" ht="36">
      <c r="A98" s="881">
        <v>38</v>
      </c>
      <c r="B98" s="3308"/>
      <c r="C98" s="881" t="s">
        <v>691</v>
      </c>
      <c r="D98" s="817" t="s">
        <v>692</v>
      </c>
      <c r="E98" s="894">
        <v>0.2</v>
      </c>
      <c r="F98" s="881">
        <v>30</v>
      </c>
    </row>
    <row r="99" spans="1:6" s="877" customFormat="1" ht="36">
      <c r="A99" s="881">
        <v>39</v>
      </c>
      <c r="B99" s="3308" t="s">
        <v>693</v>
      </c>
      <c r="C99" s="881" t="s">
        <v>694</v>
      </c>
      <c r="D99" s="817" t="s">
        <v>695</v>
      </c>
      <c r="E99" s="894">
        <v>0.3</v>
      </c>
      <c r="F99" s="881">
        <v>50</v>
      </c>
    </row>
    <row r="100" spans="1:6" s="877" customFormat="1" ht="24">
      <c r="A100" s="881">
        <v>40</v>
      </c>
      <c r="B100" s="3308"/>
      <c r="C100" s="881" t="s">
        <v>696</v>
      </c>
      <c r="D100" s="817" t="s">
        <v>697</v>
      </c>
      <c r="E100" s="894">
        <v>0.2</v>
      </c>
      <c r="F100" s="881">
        <v>30</v>
      </c>
    </row>
    <row r="101" spans="1:6" s="877" customFormat="1" ht="36">
      <c r="A101" s="881">
        <v>41</v>
      </c>
      <c r="B101" s="330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8" t="s">
        <v>708</v>
      </c>
      <c r="C105" s="881" t="s">
        <v>709</v>
      </c>
      <c r="D105" s="817" t="s">
        <v>710</v>
      </c>
      <c r="E105" s="894">
        <v>0.2</v>
      </c>
      <c r="F105" s="881">
        <v>30</v>
      </c>
    </row>
    <row r="106" spans="1:6" s="877" customFormat="1" ht="36">
      <c r="A106" s="881">
        <v>46</v>
      </c>
      <c r="B106" s="3308"/>
      <c r="C106" s="881" t="s">
        <v>711</v>
      </c>
      <c r="D106" s="817" t="s">
        <v>712</v>
      </c>
      <c r="E106" s="894">
        <v>0.2</v>
      </c>
      <c r="F106" s="881">
        <v>30</v>
      </c>
    </row>
    <row r="107" spans="1:6" s="877" customFormat="1" ht="36">
      <c r="A107" s="881">
        <v>47</v>
      </c>
      <c r="B107" s="3308" t="s">
        <v>713</v>
      </c>
      <c r="C107" s="881" t="s">
        <v>714</v>
      </c>
      <c r="D107" s="817" t="s">
        <v>715</v>
      </c>
      <c r="E107" s="894">
        <v>0.3</v>
      </c>
      <c r="F107" s="881">
        <v>50</v>
      </c>
    </row>
    <row r="108" spans="1:6" s="877" customFormat="1" ht="36">
      <c r="A108" s="881">
        <v>48</v>
      </c>
      <c r="B108" s="330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8" t="s">
        <v>724</v>
      </c>
      <c r="C111" s="881" t="s">
        <v>725</v>
      </c>
      <c r="D111" s="817" t="s">
        <v>726</v>
      </c>
      <c r="E111" s="894">
        <v>0.2</v>
      </c>
      <c r="F111" s="881">
        <v>30</v>
      </c>
    </row>
    <row r="112" spans="1:6" s="877" customFormat="1" ht="24">
      <c r="A112" s="881">
        <v>52</v>
      </c>
      <c r="B112" s="3308"/>
      <c r="C112" s="881" t="s">
        <v>727</v>
      </c>
      <c r="D112" s="817" t="s">
        <v>728</v>
      </c>
      <c r="E112" s="894">
        <v>0.2</v>
      </c>
      <c r="F112" s="881">
        <v>30</v>
      </c>
    </row>
    <row r="113" spans="1:6" s="877" customFormat="1" ht="24">
      <c r="A113" s="881">
        <v>53</v>
      </c>
      <c r="B113" s="330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8" t="s">
        <v>737</v>
      </c>
      <c r="C116" s="881" t="s">
        <v>738</v>
      </c>
      <c r="D116" s="817" t="s">
        <v>739</v>
      </c>
      <c r="E116" s="894">
        <v>0.2</v>
      </c>
      <c r="F116" s="881">
        <v>30</v>
      </c>
    </row>
    <row r="117" spans="1:6" ht="36">
      <c r="A117" s="881">
        <v>57</v>
      </c>
      <c r="B117" s="330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16248.41</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16248.41</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4" t="s">
        <v>1146</v>
      </c>
      <c r="C1" s="3314"/>
      <c r="D1" s="3314"/>
      <c r="E1" s="3314"/>
      <c r="F1" s="3314"/>
      <c r="G1" s="3310" t="s">
        <v>1147</v>
      </c>
      <c r="H1" s="3310"/>
      <c r="I1" s="3310"/>
      <c r="J1" s="3310"/>
      <c r="K1" s="3310"/>
      <c r="L1" s="3310"/>
      <c r="N1" s="3310" t="s">
        <v>1148</v>
      </c>
      <c r="O1" s="3310"/>
      <c r="P1" s="3310"/>
      <c r="Q1" s="3310"/>
      <c r="R1" s="1445"/>
      <c r="S1" s="3310" t="s">
        <v>1149</v>
      </c>
      <c r="T1" s="3310"/>
      <c r="U1" s="3310"/>
      <c r="V1" s="3310"/>
      <c r="X1" s="3309" t="s">
        <v>1150</v>
      </c>
      <c r="Y1" s="3310"/>
      <c r="Z1" s="3310"/>
      <c r="AA1" s="3310"/>
      <c r="AB1" s="3310"/>
      <c r="AD1" s="3309" t="s">
        <v>1151</v>
      </c>
      <c r="AE1" s="3310"/>
      <c r="AF1" s="3310"/>
      <c r="AG1" s="3310"/>
      <c r="AH1" s="3310"/>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3035</v>
      </c>
      <c r="B3" s="2919"/>
      <c r="C3" s="2919"/>
      <c r="D3" s="2920"/>
      <c r="E3" s="2920"/>
      <c r="F3" s="2919"/>
      <c r="G3" s="2921"/>
      <c r="H3" s="2922"/>
      <c r="I3" s="2923">
        <f>ROUND(AVERAGE($I4:$I28),2)</f>
        <v>1.96</v>
      </c>
      <c r="J3" s="2923">
        <f>ROUND(AVERAGE($J4:$J28),2)</f>
        <v>1.38</v>
      </c>
      <c r="K3" s="2923">
        <f>ROUND(AVERAGE($K4:$K28),2)</f>
        <v>2.14</v>
      </c>
      <c r="L3" s="2923">
        <f>ROUND(AVERAGE($L4:$L28),2)</f>
        <v>1.34</v>
      </c>
      <c r="N3" s="2921"/>
      <c r="O3" s="2924"/>
      <c r="P3" s="2924"/>
      <c r="Q3" s="2924"/>
      <c r="R3" s="2924"/>
      <c r="S3" s="2921"/>
      <c r="T3" s="2924"/>
      <c r="U3" s="2924"/>
      <c r="V3" s="2924"/>
      <c r="W3" s="2916"/>
      <c r="X3" s="2925">
        <f>ROUND(SUMPRODUCT(PRODUCT(1+N3:N$27)),4)</f>
        <v>1.5422</v>
      </c>
      <c r="Y3" s="2925">
        <f>ROUND(SUMPRODUCT(PRODUCT(1+O3:O$27)),4)</f>
        <v>1.3557999999999999</v>
      </c>
      <c r="Z3" s="2925">
        <f t="shared" ref="Z3:Z25" si="0">Y3</f>
        <v>1.3557999999999999</v>
      </c>
      <c r="AA3" s="2925">
        <f>ROUND(SUMPRODUCT(PRODUCT(1+P3:P$27)),4)</f>
        <v>1.6036999999999999</v>
      </c>
      <c r="AB3" s="2925">
        <f>ROUND(SUMPRODUCT(PRODUCT(1+Q3:Q$27)),4)</f>
        <v>1.3573</v>
      </c>
      <c r="AD3" s="2926">
        <f>ROUND(AVERAGE(I3:I$28)/100,4)</f>
        <v>1.9599999999999999E-2</v>
      </c>
      <c r="AE3" s="2926">
        <f>ROUND(AVERAGE(J3:J$28)/100,4)</f>
        <v>1.38E-2</v>
      </c>
      <c r="AF3" s="2926">
        <f t="shared" ref="AF3:AF26" si="1">AE3</f>
        <v>1.38E-2</v>
      </c>
      <c r="AG3" s="2926">
        <f>ROUND(AVERAGE(K3:K$28)/100,4)</f>
        <v>2.1399999999999999E-2</v>
      </c>
      <c r="AH3" s="2926">
        <f>ROUND(AVERAGE(L3:L$28)/100,4)</f>
        <v>1.34E-2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3054</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53">
        <v>2019</v>
      </c>
      <c r="H5" s="1729">
        <v>4</v>
      </c>
      <c r="I5" s="2914">
        <v>0</v>
      </c>
      <c r="J5" s="2914">
        <v>0</v>
      </c>
      <c r="K5" s="2914">
        <v>0</v>
      </c>
      <c r="L5" s="2914">
        <v>0</v>
      </c>
      <c r="N5" s="1466">
        <f t="shared" ref="N5:N10" si="7">I5/100</f>
        <v>0</v>
      </c>
      <c r="O5" s="1466">
        <f t="shared" ref="O5" si="8">J5/100</f>
        <v>0</v>
      </c>
      <c r="P5" s="1466">
        <f t="shared" ref="P5" si="9">K5/100</f>
        <v>0</v>
      </c>
      <c r="Q5" s="1466">
        <f t="shared" ref="Q5" si="10">L5/100</f>
        <v>0</v>
      </c>
      <c r="R5" s="1731"/>
      <c r="S5" s="1732"/>
      <c r="T5" s="1731"/>
      <c r="U5" s="1731"/>
      <c r="V5" s="1731"/>
      <c r="W5" s="2917" t="s">
        <v>3036</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5" thickBot="1">
      <c r="A6" s="1460" t="s">
        <v>3053</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53">
        <v>2019</v>
      </c>
      <c r="H6" s="1461">
        <v>3</v>
      </c>
      <c r="I6" s="2951">
        <v>0</v>
      </c>
      <c r="J6" s="2951">
        <v>0</v>
      </c>
      <c r="K6" s="2951">
        <v>0</v>
      </c>
      <c r="L6" s="2952">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3051</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7">
        <v>2019</v>
      </c>
      <c r="H7" s="1461">
        <v>2</v>
      </c>
      <c r="I7" s="2951">
        <v>1.53</v>
      </c>
      <c r="J7" s="2951">
        <v>1.01</v>
      </c>
      <c r="K7" s="2951">
        <v>1.62</v>
      </c>
      <c r="L7" s="295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3048</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1">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3052</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312">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3042</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312"/>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3041</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312"/>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3034</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319"/>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3031</v>
      </c>
      <c r="B13" s="1468">
        <v>439</v>
      </c>
      <c r="C13" s="1468">
        <v>327</v>
      </c>
      <c r="D13" s="1468">
        <f>C13</f>
        <v>327</v>
      </c>
      <c r="E13" s="1468">
        <v>627</v>
      </c>
      <c r="F13" s="1469">
        <v>283</v>
      </c>
      <c r="G13" s="3315">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3032</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312"/>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312"/>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319"/>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315">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312"/>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312"/>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313"/>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311">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312"/>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312"/>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313"/>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311">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312"/>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312"/>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313"/>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316">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317"/>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317"/>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318"/>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311">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312"/>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312"/>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313"/>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311">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312">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312">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313">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311">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312">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312">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313">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311">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312">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312">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313">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311">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312">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312">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313">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311">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312">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312">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313">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311">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312">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312">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313">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311">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312">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312">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313">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311">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312">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312">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313">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311">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312">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312">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313">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311">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312">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312">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313">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3003</v>
      </c>
      <c r="C1" s="3321" t="s">
        <v>3004</v>
      </c>
      <c r="D1" s="3322"/>
      <c r="E1" s="3322"/>
      <c r="F1" s="3322"/>
      <c r="G1" s="3322"/>
      <c r="H1" s="3322"/>
      <c r="I1" s="3322"/>
      <c r="J1" s="3322"/>
      <c r="K1" s="3322"/>
      <c r="L1" s="3322"/>
      <c r="M1" s="3322"/>
      <c r="N1" s="3322"/>
      <c r="O1" s="3322"/>
      <c r="P1" s="3322"/>
      <c r="Q1" s="3322"/>
      <c r="R1" s="3322"/>
      <c r="S1" s="3323"/>
      <c r="T1" s="1203" t="s">
        <v>3005</v>
      </c>
    </row>
    <row r="2" spans="1:45" s="707" customFormat="1" ht="38.25">
      <c r="A2" s="1204"/>
      <c r="B2" s="703" t="s">
        <v>3006</v>
      </c>
      <c r="C2" s="704" t="str">
        <f t="shared" ref="C2:L2" si="0">C3&amp;"(含)"&amp;"-"&amp;D3</f>
        <v>0(含)-300</v>
      </c>
      <c r="D2" s="705" t="str">
        <f t="shared" si="0"/>
        <v>300(含)-900</v>
      </c>
      <c r="E2" s="705" t="str">
        <f t="shared" si="0"/>
        <v>900(含)-2000</v>
      </c>
      <c r="F2" s="705" t="str">
        <f t="shared" si="0"/>
        <v>2000(含)-4000</v>
      </c>
      <c r="G2" s="705" t="str">
        <f t="shared" si="0"/>
        <v>4000(含)-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300</v>
      </c>
      <c r="E3" s="709">
        <f>'比较法-商业'!E103</f>
        <v>900</v>
      </c>
      <c r="F3" s="709">
        <f>'比较法-商业'!F103</f>
        <v>2000</v>
      </c>
      <c r="G3" s="709">
        <f>'比较法-商业'!G103</f>
        <v>4000</v>
      </c>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8" t="s">
        <v>3013</v>
      </c>
      <c r="B17" s="2909" t="s">
        <v>3014</v>
      </c>
      <c r="C17" s="1230">
        <f>租金!C44</f>
        <v>1</v>
      </c>
      <c r="D17" s="1231">
        <v>2</v>
      </c>
      <c r="E17" s="1231">
        <v>3</v>
      </c>
      <c r="F17" s="1231">
        <v>4</v>
      </c>
      <c r="G17" s="1231">
        <v>5</v>
      </c>
      <c r="H17" s="2995" t="s">
        <v>3181</v>
      </c>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80</v>
      </c>
      <c r="E18" s="1243">
        <v>70</v>
      </c>
      <c r="F18" s="1243">
        <v>60</v>
      </c>
      <c r="G18" s="1243">
        <v>50</v>
      </c>
      <c r="H18" s="1243">
        <v>50</v>
      </c>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0" t="s">
        <v>3015</v>
      </c>
      <c r="E19" s="1791"/>
      <c r="F19" s="1791"/>
      <c r="G19" s="1791"/>
      <c r="H19" s="1279"/>
      <c r="I19" s="168"/>
      <c r="J19" s="168"/>
      <c r="K19" s="168"/>
      <c r="L19" s="168"/>
      <c r="M19" s="168"/>
      <c r="N19" s="168"/>
      <c r="O19" s="168"/>
      <c r="P19" s="168"/>
      <c r="Q19" s="168"/>
      <c r="R19" s="787"/>
      <c r="S19" s="138"/>
    </row>
    <row r="20" spans="1:45" ht="16.5" thickBot="1">
      <c r="A20" s="714" t="s">
        <v>3016</v>
      </c>
      <c r="B20" s="338">
        <f>IF(D20="——",S22,S22-F20)</f>
        <v>32659</v>
      </c>
      <c r="C20" s="168"/>
      <c r="D20" s="2911" t="s">
        <v>70</v>
      </c>
      <c r="E20" s="1792"/>
      <c r="F20" s="1203" t="e">
        <f ca="1">SUMIF(INDIRECT("'"&amp;H20&amp;"'"&amp;"!A:A"),"承租人权益价值",INDIRECT("'"&amp;H20&amp;"'"&amp;"!c:c"))</f>
        <v>#REF!</v>
      </c>
      <c r="G20" s="1203" t="s">
        <v>3017</v>
      </c>
      <c r="H20" s="2912"/>
      <c r="I20" s="168"/>
      <c r="J20" s="168"/>
      <c r="K20" s="168"/>
      <c r="L20" s="168"/>
      <c r="M20" s="168"/>
      <c r="N20" s="168"/>
      <c r="O20" s="168"/>
      <c r="P20" s="168"/>
      <c r="Q20" s="168"/>
      <c r="R20" s="787"/>
      <c r="S20" s="138"/>
    </row>
    <row r="21" spans="1:45" ht="15.75">
      <c r="A21" s="714" t="s">
        <v>3018</v>
      </c>
      <c r="B21" s="338">
        <f>R22</f>
        <v>16905</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19318.75</v>
      </c>
      <c r="C22" s="3100" t="s">
        <v>33</v>
      </c>
      <c r="D22" s="3101"/>
      <c r="E22" s="3101"/>
      <c r="F22" s="3101"/>
      <c r="G22" s="3101"/>
      <c r="H22" s="3101"/>
      <c r="I22" s="3101"/>
      <c r="J22" s="3101"/>
      <c r="K22" s="3101"/>
      <c r="L22" s="3101"/>
      <c r="M22" s="3101"/>
      <c r="N22" s="3101"/>
      <c r="O22" s="3101"/>
      <c r="P22" s="3101"/>
      <c r="Q22" s="3320"/>
      <c r="R22" s="715">
        <f>ROUND(S22*10000/B22,0)</f>
        <v>16905</v>
      </c>
      <c r="S22" s="24">
        <f>SUM(S24:S10000)</f>
        <v>32659</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f>商业面积!C11</f>
        <v>3717.54</v>
      </c>
      <c r="C24" s="718">
        <v>1</v>
      </c>
      <c r="D24" s="719"/>
      <c r="E24" s="718">
        <v>1</v>
      </c>
      <c r="F24" s="719"/>
      <c r="G24" s="718">
        <v>1</v>
      </c>
      <c r="H24" s="719"/>
      <c r="I24" s="718">
        <v>1</v>
      </c>
      <c r="J24" s="719"/>
      <c r="K24" s="718">
        <v>1</v>
      </c>
      <c r="L24" s="719"/>
      <c r="M24" s="718">
        <v>1</v>
      </c>
      <c r="N24" s="719"/>
      <c r="O24" s="718">
        <v>1</v>
      </c>
      <c r="P24" s="719">
        <v>1</v>
      </c>
      <c r="Q24" s="718">
        <v>1</v>
      </c>
      <c r="R24" s="720">
        <f>'比较法-商业'!C49</f>
        <v>24500</v>
      </c>
      <c r="S24" s="718">
        <f t="shared" ref="S24:S54" si="11">ROUND(R24*B24/10000,0)</f>
        <v>9108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f>商业面积!C12</f>
        <v>2967.28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0.8</v>
      </c>
      <c r="R25" s="715">
        <f>IF(B25="",0,ROUND($R$24*C25*E25*G25*I25*K25*M25*O25*Q25,0))</f>
        <v>19600</v>
      </c>
      <c r="S25" s="361">
        <f t="shared" si="11"/>
        <v>5816</v>
      </c>
    </row>
    <row r="26" spans="1:45">
      <c r="A26" s="159"/>
      <c r="B26" s="717">
        <f>商业面积!C13</f>
        <v>3071.18</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0.7</v>
      </c>
      <c r="R26" s="715">
        <f t="shared" ref="R26:R89" si="20">IF(B26="",0,ROUND($R$24*C26*E26*G26*I26*K26*M26*O26*Q26,0))</f>
        <v>17150</v>
      </c>
      <c r="S26" s="361">
        <f t="shared" si="11"/>
        <v>5267</v>
      </c>
    </row>
    <row r="27" spans="1:45">
      <c r="A27" s="159"/>
      <c r="B27" s="59">
        <f>商业面积!C14+商业面积!E14</f>
        <v>3078.3</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4</v>
      </c>
      <c r="Q27" s="24">
        <f t="shared" si="19"/>
        <v>0.6</v>
      </c>
      <c r="R27" s="715">
        <f t="shared" si="20"/>
        <v>14700</v>
      </c>
      <c r="S27" s="361">
        <f t="shared" si="11"/>
        <v>4525</v>
      </c>
    </row>
    <row r="28" spans="1:45">
      <c r="A28" s="159"/>
      <c r="B28" s="59">
        <f>商业面积!E15+商业面积!F15+商业面积!G15</f>
        <v>3414.11</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5</v>
      </c>
      <c r="Q28" s="24">
        <f t="shared" si="19"/>
        <v>0.5</v>
      </c>
      <c r="R28" s="715">
        <f t="shared" si="20"/>
        <v>12250</v>
      </c>
      <c r="S28" s="361">
        <f t="shared" si="11"/>
        <v>4182</v>
      </c>
    </row>
    <row r="29" spans="1:45">
      <c r="A29" s="159"/>
      <c r="B29" s="59">
        <f>商业面积!C9+商业面积!N9</f>
        <v>3070.34</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3172</v>
      </c>
      <c r="Q29" s="24">
        <f t="shared" si="19"/>
        <v>0.5</v>
      </c>
      <c r="R29" s="715">
        <f t="shared" si="20"/>
        <v>12250</v>
      </c>
      <c r="S29" s="361">
        <f t="shared" si="11"/>
        <v>3761</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9"/>
      <c r="B4" s="3003" t="s">
        <v>1625</v>
      </c>
      <c r="C4" s="3003"/>
      <c r="D4" s="3003"/>
      <c r="E4" s="1959"/>
    </row>
    <row r="5" spans="1:5" ht="16.5" thickTop="1">
      <c r="A5" s="1957"/>
      <c r="B5" s="3001" t="s">
        <v>1617</v>
      </c>
      <c r="C5" s="1960" t="s">
        <v>1618</v>
      </c>
      <c r="D5" s="1039">
        <f ca="1">结果表!H101</f>
        <v>28352</v>
      </c>
      <c r="E5" s="1957"/>
    </row>
    <row r="6" spans="1:5" ht="15.75">
      <c r="A6" s="1957"/>
      <c r="B6" s="3001"/>
      <c r="C6" s="1960" t="s">
        <v>1619</v>
      </c>
      <c r="D6" s="1039" t="str">
        <f ca="1">NUMBERSTRING(INT(D5*10000),2)&amp;"元整"</f>
        <v>贰亿捌仟叁佰伍拾贰万元整</v>
      </c>
      <c r="E6" s="1957"/>
    </row>
    <row r="7" spans="1:5" ht="15.75">
      <c r="A7" s="1957"/>
      <c r="B7" s="3006"/>
      <c r="C7" s="1961" t="s">
        <v>1620</v>
      </c>
      <c r="D7" s="1040">
        <f ca="1">结果表!H102</f>
        <v>7142</v>
      </c>
      <c r="E7" s="1957"/>
    </row>
    <row r="8" spans="1:5" ht="15.75">
      <c r="A8" s="1957"/>
      <c r="B8" s="3007" t="str">
        <f>结果表!E103</f>
        <v>2.估价师知悉的法定优先受偿款</v>
      </c>
      <c r="C8" s="1962" t="s">
        <v>1621</v>
      </c>
      <c r="D8" s="1040">
        <f>结果表!H103</f>
        <v>0</v>
      </c>
      <c r="E8" s="1957"/>
    </row>
    <row r="9" spans="1:5" ht="15.75">
      <c r="A9" s="1957"/>
      <c r="B9" s="3009"/>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00" t="str">
        <f>结果表!E107</f>
        <v>3.房地产抵押价值</v>
      </c>
      <c r="C13" s="1965" t="s">
        <v>1618</v>
      </c>
      <c r="D13" s="1042">
        <f ca="1">结果表!H107</f>
        <v>28352</v>
      </c>
      <c r="E13" s="1957"/>
    </row>
    <row r="14" spans="1:5" ht="15.75">
      <c r="A14" s="1957"/>
      <c r="B14" s="3001"/>
      <c r="C14" s="1960" t="s">
        <v>1619</v>
      </c>
      <c r="D14" s="1039" t="str">
        <f ca="1">NUMBERSTRING(INT(D13*10000),2)&amp;"元整"</f>
        <v>贰亿捌仟叁佰伍拾贰万元整</v>
      </c>
      <c r="E14" s="1957"/>
    </row>
    <row r="15" spans="1:5" ht="15">
      <c r="A15" s="1957"/>
      <c r="B15" s="3006"/>
      <c r="C15" s="1961" t="s">
        <v>1629</v>
      </c>
      <c r="D15" s="1051">
        <f ca="1">结果表!H108</f>
        <v>7142</v>
      </c>
      <c r="E15" s="1957"/>
    </row>
    <row r="16" spans="1:5" ht="15">
      <c r="A16" s="1957"/>
      <c r="B16" s="3007" t="str">
        <f>结果表!E109</f>
        <v>——</v>
      </c>
      <c r="C16" s="1965" t="s">
        <v>1630</v>
      </c>
      <c r="D16" s="1966" t="str">
        <f>结果表!H109</f>
        <v>——</v>
      </c>
      <c r="E16" s="1957"/>
    </row>
    <row r="17" spans="1:5" ht="15.75">
      <c r="A17" s="1957"/>
      <c r="B17" s="3008"/>
      <c r="C17" s="1960" t="s">
        <v>1631</v>
      </c>
      <c r="D17" s="1039" t="e">
        <f>NUMBERSTRING(INT(D16*10000),2)&amp;"元整"</f>
        <v>#VALUE!</v>
      </c>
      <c r="E17" s="1957"/>
    </row>
    <row r="18" spans="1:5" ht="15">
      <c r="A18" s="1957"/>
      <c r="B18" s="3009"/>
      <c r="C18" s="1961" t="s">
        <v>1620</v>
      </c>
      <c r="D18" s="1051" t="str">
        <f>结果表!H110</f>
        <v>——</v>
      </c>
      <c r="E18" s="1957"/>
    </row>
    <row r="19" spans="1:5" ht="15.75">
      <c r="A19" s="1957"/>
      <c r="B19" s="3000" t="str">
        <f>结果表!E111</f>
        <v>——</v>
      </c>
      <c r="C19" s="1965" t="s">
        <v>1618</v>
      </c>
      <c r="D19" s="1040" t="str">
        <f>结果表!H111</f>
        <v>——</v>
      </c>
      <c r="E19" s="1957"/>
    </row>
    <row r="20" spans="1:5" ht="15.75">
      <c r="A20" s="1957"/>
      <c r="B20" s="3001"/>
      <c r="C20" s="1960" t="s">
        <v>1631</v>
      </c>
      <c r="D20" s="1039" t="e">
        <f>NUMBERSTRING(INT(D19*10000),2)&amp;"元整"</f>
        <v>#VALUE!</v>
      </c>
      <c r="E20" s="1957"/>
    </row>
    <row r="21" spans="1:5" ht="15.75" thickBot="1">
      <c r="A21" s="1957"/>
      <c r="B21" s="3002"/>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S53"/>
  <sheetViews>
    <sheetView topLeftCell="A28" zoomScaleSheetLayoutView="100" workbookViewId="0">
      <selection activeCell="I46" sqref="I46:K46"/>
    </sheetView>
  </sheetViews>
  <sheetFormatPr defaultColWidth="8" defaultRowHeight="14.25"/>
  <cols>
    <col min="1" max="1" width="8" style="2957"/>
    <col min="2" max="2" width="7.25" style="2957" customWidth="1"/>
    <col min="3" max="3" width="10.25" style="2957" customWidth="1"/>
    <col min="4" max="4" width="10.125" style="2957" customWidth="1"/>
    <col min="5" max="5" width="9.75" style="2957" customWidth="1"/>
    <col min="6" max="6" width="10" style="2957" customWidth="1"/>
    <col min="7" max="7" width="9.375" style="2957" customWidth="1"/>
    <col min="8" max="8" width="10.625" style="2957" customWidth="1"/>
    <col min="9" max="9" width="12" style="2957" customWidth="1"/>
    <col min="10" max="10" width="12.375" style="2957" customWidth="1"/>
    <col min="11" max="11" width="10.75" style="2957" customWidth="1"/>
    <col min="12" max="12" width="13.75" style="2957" customWidth="1"/>
    <col min="13" max="13" width="11.5" style="2957" customWidth="1"/>
    <col min="14" max="14" width="10.375" style="2957" customWidth="1"/>
    <col min="15" max="15" width="13.75" style="2957" customWidth="1"/>
    <col min="16" max="16" width="10" style="2957" customWidth="1"/>
    <col min="17" max="17" width="11.75" style="2957" customWidth="1"/>
    <col min="18" max="18" width="11.375" style="2957" customWidth="1"/>
    <col min="19" max="20" width="13.125" style="2957" customWidth="1"/>
    <col min="21" max="21" width="10.5" style="2957" bestFit="1" customWidth="1"/>
    <col min="22" max="253" width="8" style="2957"/>
    <col min="254" max="257" width="8" style="2976"/>
    <col min="258" max="258" width="7.25" style="2976" customWidth="1"/>
    <col min="259" max="259" width="10.25" style="2976" customWidth="1"/>
    <col min="260" max="260" width="10.125" style="2976" customWidth="1"/>
    <col min="261" max="261" width="9.75" style="2976" customWidth="1"/>
    <col min="262" max="262" width="10" style="2976" customWidth="1"/>
    <col min="263" max="263" width="9.375" style="2976" customWidth="1"/>
    <col min="264" max="264" width="10.625" style="2976" customWidth="1"/>
    <col min="265" max="265" width="10.75" style="2976" customWidth="1"/>
    <col min="266" max="266" width="10.625" style="2976" customWidth="1"/>
    <col min="267" max="267" width="9.125" style="2976" customWidth="1"/>
    <col min="268" max="268" width="13.75" style="2976" customWidth="1"/>
    <col min="269" max="269" width="11.5" style="2976" customWidth="1"/>
    <col min="270" max="270" width="10.375" style="2976" customWidth="1"/>
    <col min="271" max="271" width="13.75" style="2976" customWidth="1"/>
    <col min="272" max="272" width="10" style="2976" customWidth="1"/>
    <col min="273" max="273" width="11.75" style="2976" customWidth="1"/>
    <col min="274" max="274" width="11.375" style="2976" customWidth="1"/>
    <col min="275" max="276" width="13.125" style="2976" customWidth="1"/>
    <col min="277" max="513" width="8" style="2976"/>
    <col min="514" max="514" width="7.25" style="2976" customWidth="1"/>
    <col min="515" max="515" width="10.25" style="2976" customWidth="1"/>
    <col min="516" max="516" width="10.125" style="2976" customWidth="1"/>
    <col min="517" max="517" width="9.75" style="2976" customWidth="1"/>
    <col min="518" max="518" width="10" style="2976" customWidth="1"/>
    <col min="519" max="519" width="9.375" style="2976" customWidth="1"/>
    <col min="520" max="520" width="10.625" style="2976" customWidth="1"/>
    <col min="521" max="521" width="10.75" style="2976" customWidth="1"/>
    <col min="522" max="522" width="10.625" style="2976" customWidth="1"/>
    <col min="523" max="523" width="9.125" style="2976" customWidth="1"/>
    <col min="524" max="524" width="13.75" style="2976" customWidth="1"/>
    <col min="525" max="525" width="11.5" style="2976" customWidth="1"/>
    <col min="526" max="526" width="10.375" style="2976" customWidth="1"/>
    <col min="527" max="527" width="13.75" style="2976" customWidth="1"/>
    <col min="528" max="528" width="10" style="2976" customWidth="1"/>
    <col min="529" max="529" width="11.75" style="2976" customWidth="1"/>
    <col min="530" max="530" width="11.375" style="2976" customWidth="1"/>
    <col min="531" max="532" width="13.125" style="2976" customWidth="1"/>
    <col min="533" max="769" width="8" style="2976"/>
    <col min="770" max="770" width="7.25" style="2976" customWidth="1"/>
    <col min="771" max="771" width="10.25" style="2976" customWidth="1"/>
    <col min="772" max="772" width="10.125" style="2976" customWidth="1"/>
    <col min="773" max="773" width="9.75" style="2976" customWidth="1"/>
    <col min="774" max="774" width="10" style="2976" customWidth="1"/>
    <col min="775" max="775" width="9.375" style="2976" customWidth="1"/>
    <col min="776" max="776" width="10.625" style="2976" customWidth="1"/>
    <col min="777" max="777" width="10.75" style="2976" customWidth="1"/>
    <col min="778" max="778" width="10.625" style="2976" customWidth="1"/>
    <col min="779" max="779" width="9.125" style="2976" customWidth="1"/>
    <col min="780" max="780" width="13.75" style="2976" customWidth="1"/>
    <col min="781" max="781" width="11.5" style="2976" customWidth="1"/>
    <col min="782" max="782" width="10.375" style="2976" customWidth="1"/>
    <col min="783" max="783" width="13.75" style="2976" customWidth="1"/>
    <col min="784" max="784" width="10" style="2976" customWidth="1"/>
    <col min="785" max="785" width="11.75" style="2976" customWidth="1"/>
    <col min="786" max="786" width="11.375" style="2976" customWidth="1"/>
    <col min="787" max="788" width="13.125" style="2976" customWidth="1"/>
    <col min="789" max="1025" width="8" style="2976"/>
    <col min="1026" max="1026" width="7.25" style="2976" customWidth="1"/>
    <col min="1027" max="1027" width="10.25" style="2976" customWidth="1"/>
    <col min="1028" max="1028" width="10.125" style="2976" customWidth="1"/>
    <col min="1029" max="1029" width="9.75" style="2976" customWidth="1"/>
    <col min="1030" max="1030" width="10" style="2976" customWidth="1"/>
    <col min="1031" max="1031" width="9.375" style="2976" customWidth="1"/>
    <col min="1032" max="1032" width="10.625" style="2976" customWidth="1"/>
    <col min="1033" max="1033" width="10.75" style="2976" customWidth="1"/>
    <col min="1034" max="1034" width="10.625" style="2976" customWidth="1"/>
    <col min="1035" max="1035" width="9.125" style="2976" customWidth="1"/>
    <col min="1036" max="1036" width="13.75" style="2976" customWidth="1"/>
    <col min="1037" max="1037" width="11.5" style="2976" customWidth="1"/>
    <col min="1038" max="1038" width="10.375" style="2976" customWidth="1"/>
    <col min="1039" max="1039" width="13.75" style="2976" customWidth="1"/>
    <col min="1040" max="1040" width="10" style="2976" customWidth="1"/>
    <col min="1041" max="1041" width="11.75" style="2976" customWidth="1"/>
    <col min="1042" max="1042" width="11.375" style="2976" customWidth="1"/>
    <col min="1043" max="1044" width="13.125" style="2976" customWidth="1"/>
    <col min="1045" max="1281" width="8" style="2976"/>
    <col min="1282" max="1282" width="7.25" style="2976" customWidth="1"/>
    <col min="1283" max="1283" width="10.25" style="2976" customWidth="1"/>
    <col min="1284" max="1284" width="10.125" style="2976" customWidth="1"/>
    <col min="1285" max="1285" width="9.75" style="2976" customWidth="1"/>
    <col min="1286" max="1286" width="10" style="2976" customWidth="1"/>
    <col min="1287" max="1287" width="9.375" style="2976" customWidth="1"/>
    <col min="1288" max="1288" width="10.625" style="2976" customWidth="1"/>
    <col min="1289" max="1289" width="10.75" style="2976" customWidth="1"/>
    <col min="1290" max="1290" width="10.625" style="2976" customWidth="1"/>
    <col min="1291" max="1291" width="9.125" style="2976" customWidth="1"/>
    <col min="1292" max="1292" width="13.75" style="2976" customWidth="1"/>
    <col min="1293" max="1293" width="11.5" style="2976" customWidth="1"/>
    <col min="1294" max="1294" width="10.375" style="2976" customWidth="1"/>
    <col min="1295" max="1295" width="13.75" style="2976" customWidth="1"/>
    <col min="1296" max="1296" width="10" style="2976" customWidth="1"/>
    <col min="1297" max="1297" width="11.75" style="2976" customWidth="1"/>
    <col min="1298" max="1298" width="11.375" style="2976" customWidth="1"/>
    <col min="1299" max="1300" width="13.125" style="2976" customWidth="1"/>
    <col min="1301" max="1537" width="8" style="2976"/>
    <col min="1538" max="1538" width="7.25" style="2976" customWidth="1"/>
    <col min="1539" max="1539" width="10.25" style="2976" customWidth="1"/>
    <col min="1540" max="1540" width="10.125" style="2976" customWidth="1"/>
    <col min="1541" max="1541" width="9.75" style="2976" customWidth="1"/>
    <col min="1542" max="1542" width="10" style="2976" customWidth="1"/>
    <col min="1543" max="1543" width="9.375" style="2976" customWidth="1"/>
    <col min="1544" max="1544" width="10.625" style="2976" customWidth="1"/>
    <col min="1545" max="1545" width="10.75" style="2976" customWidth="1"/>
    <col min="1546" max="1546" width="10.625" style="2976" customWidth="1"/>
    <col min="1547" max="1547" width="9.125" style="2976" customWidth="1"/>
    <col min="1548" max="1548" width="13.75" style="2976" customWidth="1"/>
    <col min="1549" max="1549" width="11.5" style="2976" customWidth="1"/>
    <col min="1550" max="1550" width="10.375" style="2976" customWidth="1"/>
    <col min="1551" max="1551" width="13.75" style="2976" customWidth="1"/>
    <col min="1552" max="1552" width="10" style="2976" customWidth="1"/>
    <col min="1553" max="1553" width="11.75" style="2976" customWidth="1"/>
    <col min="1554" max="1554" width="11.375" style="2976" customWidth="1"/>
    <col min="1555" max="1556" width="13.125" style="2976" customWidth="1"/>
    <col min="1557" max="1793" width="8" style="2976"/>
    <col min="1794" max="1794" width="7.25" style="2976" customWidth="1"/>
    <col min="1795" max="1795" width="10.25" style="2976" customWidth="1"/>
    <col min="1796" max="1796" width="10.125" style="2976" customWidth="1"/>
    <col min="1797" max="1797" width="9.75" style="2976" customWidth="1"/>
    <col min="1798" max="1798" width="10" style="2976" customWidth="1"/>
    <col min="1799" max="1799" width="9.375" style="2976" customWidth="1"/>
    <col min="1800" max="1800" width="10.625" style="2976" customWidth="1"/>
    <col min="1801" max="1801" width="10.75" style="2976" customWidth="1"/>
    <col min="1802" max="1802" width="10.625" style="2976" customWidth="1"/>
    <col min="1803" max="1803" width="9.125" style="2976" customWidth="1"/>
    <col min="1804" max="1804" width="13.75" style="2976" customWidth="1"/>
    <col min="1805" max="1805" width="11.5" style="2976" customWidth="1"/>
    <col min="1806" max="1806" width="10.375" style="2976" customWidth="1"/>
    <col min="1807" max="1807" width="13.75" style="2976" customWidth="1"/>
    <col min="1808" max="1808" width="10" style="2976" customWidth="1"/>
    <col min="1809" max="1809" width="11.75" style="2976" customWidth="1"/>
    <col min="1810" max="1810" width="11.375" style="2976" customWidth="1"/>
    <col min="1811" max="1812" width="13.125" style="2976" customWidth="1"/>
    <col min="1813" max="2049" width="8" style="2976"/>
    <col min="2050" max="2050" width="7.25" style="2976" customWidth="1"/>
    <col min="2051" max="2051" width="10.25" style="2976" customWidth="1"/>
    <col min="2052" max="2052" width="10.125" style="2976" customWidth="1"/>
    <col min="2053" max="2053" width="9.75" style="2976" customWidth="1"/>
    <col min="2054" max="2054" width="10" style="2976" customWidth="1"/>
    <col min="2055" max="2055" width="9.375" style="2976" customWidth="1"/>
    <col min="2056" max="2056" width="10.625" style="2976" customWidth="1"/>
    <col min="2057" max="2057" width="10.75" style="2976" customWidth="1"/>
    <col min="2058" max="2058" width="10.625" style="2976" customWidth="1"/>
    <col min="2059" max="2059" width="9.125" style="2976" customWidth="1"/>
    <col min="2060" max="2060" width="13.75" style="2976" customWidth="1"/>
    <col min="2061" max="2061" width="11.5" style="2976" customWidth="1"/>
    <col min="2062" max="2062" width="10.375" style="2976" customWidth="1"/>
    <col min="2063" max="2063" width="13.75" style="2976" customWidth="1"/>
    <col min="2064" max="2064" width="10" style="2976" customWidth="1"/>
    <col min="2065" max="2065" width="11.75" style="2976" customWidth="1"/>
    <col min="2066" max="2066" width="11.375" style="2976" customWidth="1"/>
    <col min="2067" max="2068" width="13.125" style="2976" customWidth="1"/>
    <col min="2069" max="2305" width="8" style="2976"/>
    <col min="2306" max="2306" width="7.25" style="2976" customWidth="1"/>
    <col min="2307" max="2307" width="10.25" style="2976" customWidth="1"/>
    <col min="2308" max="2308" width="10.125" style="2976" customWidth="1"/>
    <col min="2309" max="2309" width="9.75" style="2976" customWidth="1"/>
    <col min="2310" max="2310" width="10" style="2976" customWidth="1"/>
    <col min="2311" max="2311" width="9.375" style="2976" customWidth="1"/>
    <col min="2312" max="2312" width="10.625" style="2976" customWidth="1"/>
    <col min="2313" max="2313" width="10.75" style="2976" customWidth="1"/>
    <col min="2314" max="2314" width="10.625" style="2976" customWidth="1"/>
    <col min="2315" max="2315" width="9.125" style="2976" customWidth="1"/>
    <col min="2316" max="2316" width="13.75" style="2976" customWidth="1"/>
    <col min="2317" max="2317" width="11.5" style="2976" customWidth="1"/>
    <col min="2318" max="2318" width="10.375" style="2976" customWidth="1"/>
    <col min="2319" max="2319" width="13.75" style="2976" customWidth="1"/>
    <col min="2320" max="2320" width="10" style="2976" customWidth="1"/>
    <col min="2321" max="2321" width="11.75" style="2976" customWidth="1"/>
    <col min="2322" max="2322" width="11.375" style="2976" customWidth="1"/>
    <col min="2323" max="2324" width="13.125" style="2976" customWidth="1"/>
    <col min="2325" max="2561" width="8" style="2976"/>
    <col min="2562" max="2562" width="7.25" style="2976" customWidth="1"/>
    <col min="2563" max="2563" width="10.25" style="2976" customWidth="1"/>
    <col min="2564" max="2564" width="10.125" style="2976" customWidth="1"/>
    <col min="2565" max="2565" width="9.75" style="2976" customWidth="1"/>
    <col min="2566" max="2566" width="10" style="2976" customWidth="1"/>
    <col min="2567" max="2567" width="9.375" style="2976" customWidth="1"/>
    <col min="2568" max="2568" width="10.625" style="2976" customWidth="1"/>
    <col min="2569" max="2569" width="10.75" style="2976" customWidth="1"/>
    <col min="2570" max="2570" width="10.625" style="2976" customWidth="1"/>
    <col min="2571" max="2571" width="9.125" style="2976" customWidth="1"/>
    <col min="2572" max="2572" width="13.75" style="2976" customWidth="1"/>
    <col min="2573" max="2573" width="11.5" style="2976" customWidth="1"/>
    <col min="2574" max="2574" width="10.375" style="2976" customWidth="1"/>
    <col min="2575" max="2575" width="13.75" style="2976" customWidth="1"/>
    <col min="2576" max="2576" width="10" style="2976" customWidth="1"/>
    <col min="2577" max="2577" width="11.75" style="2976" customWidth="1"/>
    <col min="2578" max="2578" width="11.375" style="2976" customWidth="1"/>
    <col min="2579" max="2580" width="13.125" style="2976" customWidth="1"/>
    <col min="2581" max="2817" width="8" style="2976"/>
    <col min="2818" max="2818" width="7.25" style="2976" customWidth="1"/>
    <col min="2819" max="2819" width="10.25" style="2976" customWidth="1"/>
    <col min="2820" max="2820" width="10.125" style="2976" customWidth="1"/>
    <col min="2821" max="2821" width="9.75" style="2976" customWidth="1"/>
    <col min="2822" max="2822" width="10" style="2976" customWidth="1"/>
    <col min="2823" max="2823" width="9.375" style="2976" customWidth="1"/>
    <col min="2824" max="2824" width="10.625" style="2976" customWidth="1"/>
    <col min="2825" max="2825" width="10.75" style="2976" customWidth="1"/>
    <col min="2826" max="2826" width="10.625" style="2976" customWidth="1"/>
    <col min="2827" max="2827" width="9.125" style="2976" customWidth="1"/>
    <col min="2828" max="2828" width="13.75" style="2976" customWidth="1"/>
    <col min="2829" max="2829" width="11.5" style="2976" customWidth="1"/>
    <col min="2830" max="2830" width="10.375" style="2976" customWidth="1"/>
    <col min="2831" max="2831" width="13.75" style="2976" customWidth="1"/>
    <col min="2832" max="2832" width="10" style="2976" customWidth="1"/>
    <col min="2833" max="2833" width="11.75" style="2976" customWidth="1"/>
    <col min="2834" max="2834" width="11.375" style="2976" customWidth="1"/>
    <col min="2835" max="2836" width="13.125" style="2976" customWidth="1"/>
    <col min="2837" max="3073" width="8" style="2976"/>
    <col min="3074" max="3074" width="7.25" style="2976" customWidth="1"/>
    <col min="3075" max="3075" width="10.25" style="2976" customWidth="1"/>
    <col min="3076" max="3076" width="10.125" style="2976" customWidth="1"/>
    <col min="3077" max="3077" width="9.75" style="2976" customWidth="1"/>
    <col min="3078" max="3078" width="10" style="2976" customWidth="1"/>
    <col min="3079" max="3079" width="9.375" style="2976" customWidth="1"/>
    <col min="3080" max="3080" width="10.625" style="2976" customWidth="1"/>
    <col min="3081" max="3081" width="10.75" style="2976" customWidth="1"/>
    <col min="3082" max="3082" width="10.625" style="2976" customWidth="1"/>
    <col min="3083" max="3083" width="9.125" style="2976" customWidth="1"/>
    <col min="3084" max="3084" width="13.75" style="2976" customWidth="1"/>
    <col min="3085" max="3085" width="11.5" style="2976" customWidth="1"/>
    <col min="3086" max="3086" width="10.375" style="2976" customWidth="1"/>
    <col min="3087" max="3087" width="13.75" style="2976" customWidth="1"/>
    <col min="3088" max="3088" width="10" style="2976" customWidth="1"/>
    <col min="3089" max="3089" width="11.75" style="2976" customWidth="1"/>
    <col min="3090" max="3090" width="11.375" style="2976" customWidth="1"/>
    <col min="3091" max="3092" width="13.125" style="2976" customWidth="1"/>
    <col min="3093" max="3329" width="8" style="2976"/>
    <col min="3330" max="3330" width="7.25" style="2976" customWidth="1"/>
    <col min="3331" max="3331" width="10.25" style="2976" customWidth="1"/>
    <col min="3332" max="3332" width="10.125" style="2976" customWidth="1"/>
    <col min="3333" max="3333" width="9.75" style="2976" customWidth="1"/>
    <col min="3334" max="3334" width="10" style="2976" customWidth="1"/>
    <col min="3335" max="3335" width="9.375" style="2976" customWidth="1"/>
    <col min="3336" max="3336" width="10.625" style="2976" customWidth="1"/>
    <col min="3337" max="3337" width="10.75" style="2976" customWidth="1"/>
    <col min="3338" max="3338" width="10.625" style="2976" customWidth="1"/>
    <col min="3339" max="3339" width="9.125" style="2976" customWidth="1"/>
    <col min="3340" max="3340" width="13.75" style="2976" customWidth="1"/>
    <col min="3341" max="3341" width="11.5" style="2976" customWidth="1"/>
    <col min="3342" max="3342" width="10.375" style="2976" customWidth="1"/>
    <col min="3343" max="3343" width="13.75" style="2976" customWidth="1"/>
    <col min="3344" max="3344" width="10" style="2976" customWidth="1"/>
    <col min="3345" max="3345" width="11.75" style="2976" customWidth="1"/>
    <col min="3346" max="3346" width="11.375" style="2976" customWidth="1"/>
    <col min="3347" max="3348" width="13.125" style="2976" customWidth="1"/>
    <col min="3349" max="3585" width="8" style="2976"/>
    <col min="3586" max="3586" width="7.25" style="2976" customWidth="1"/>
    <col min="3587" max="3587" width="10.25" style="2976" customWidth="1"/>
    <col min="3588" max="3588" width="10.125" style="2976" customWidth="1"/>
    <col min="3589" max="3589" width="9.75" style="2976" customWidth="1"/>
    <col min="3590" max="3590" width="10" style="2976" customWidth="1"/>
    <col min="3591" max="3591" width="9.375" style="2976" customWidth="1"/>
    <col min="3592" max="3592" width="10.625" style="2976" customWidth="1"/>
    <col min="3593" max="3593" width="10.75" style="2976" customWidth="1"/>
    <col min="3594" max="3594" width="10.625" style="2976" customWidth="1"/>
    <col min="3595" max="3595" width="9.125" style="2976" customWidth="1"/>
    <col min="3596" max="3596" width="13.75" style="2976" customWidth="1"/>
    <col min="3597" max="3597" width="11.5" style="2976" customWidth="1"/>
    <col min="3598" max="3598" width="10.375" style="2976" customWidth="1"/>
    <col min="3599" max="3599" width="13.75" style="2976" customWidth="1"/>
    <col min="3600" max="3600" width="10" style="2976" customWidth="1"/>
    <col min="3601" max="3601" width="11.75" style="2976" customWidth="1"/>
    <col min="3602" max="3602" width="11.375" style="2976" customWidth="1"/>
    <col min="3603" max="3604" width="13.125" style="2976" customWidth="1"/>
    <col min="3605" max="3841" width="8" style="2976"/>
    <col min="3842" max="3842" width="7.25" style="2976" customWidth="1"/>
    <col min="3843" max="3843" width="10.25" style="2976" customWidth="1"/>
    <col min="3844" max="3844" width="10.125" style="2976" customWidth="1"/>
    <col min="3845" max="3845" width="9.75" style="2976" customWidth="1"/>
    <col min="3846" max="3846" width="10" style="2976" customWidth="1"/>
    <col min="3847" max="3847" width="9.375" style="2976" customWidth="1"/>
    <col min="3848" max="3848" width="10.625" style="2976" customWidth="1"/>
    <col min="3849" max="3849" width="10.75" style="2976" customWidth="1"/>
    <col min="3850" max="3850" width="10.625" style="2976" customWidth="1"/>
    <col min="3851" max="3851" width="9.125" style="2976" customWidth="1"/>
    <col min="3852" max="3852" width="13.75" style="2976" customWidth="1"/>
    <col min="3853" max="3853" width="11.5" style="2976" customWidth="1"/>
    <col min="3854" max="3854" width="10.375" style="2976" customWidth="1"/>
    <col min="3855" max="3855" width="13.75" style="2976" customWidth="1"/>
    <col min="3856" max="3856" width="10" style="2976" customWidth="1"/>
    <col min="3857" max="3857" width="11.75" style="2976" customWidth="1"/>
    <col min="3858" max="3858" width="11.375" style="2976" customWidth="1"/>
    <col min="3859" max="3860" width="13.125" style="2976" customWidth="1"/>
    <col min="3861" max="4097" width="8" style="2976"/>
    <col min="4098" max="4098" width="7.25" style="2976" customWidth="1"/>
    <col min="4099" max="4099" width="10.25" style="2976" customWidth="1"/>
    <col min="4100" max="4100" width="10.125" style="2976" customWidth="1"/>
    <col min="4101" max="4101" width="9.75" style="2976" customWidth="1"/>
    <col min="4102" max="4102" width="10" style="2976" customWidth="1"/>
    <col min="4103" max="4103" width="9.375" style="2976" customWidth="1"/>
    <col min="4104" max="4104" width="10.625" style="2976" customWidth="1"/>
    <col min="4105" max="4105" width="10.75" style="2976" customWidth="1"/>
    <col min="4106" max="4106" width="10.625" style="2976" customWidth="1"/>
    <col min="4107" max="4107" width="9.125" style="2976" customWidth="1"/>
    <col min="4108" max="4108" width="13.75" style="2976" customWidth="1"/>
    <col min="4109" max="4109" width="11.5" style="2976" customWidth="1"/>
    <col min="4110" max="4110" width="10.375" style="2976" customWidth="1"/>
    <col min="4111" max="4111" width="13.75" style="2976" customWidth="1"/>
    <col min="4112" max="4112" width="10" style="2976" customWidth="1"/>
    <col min="4113" max="4113" width="11.75" style="2976" customWidth="1"/>
    <col min="4114" max="4114" width="11.375" style="2976" customWidth="1"/>
    <col min="4115" max="4116" width="13.125" style="2976" customWidth="1"/>
    <col min="4117" max="4353" width="8" style="2976"/>
    <col min="4354" max="4354" width="7.25" style="2976" customWidth="1"/>
    <col min="4355" max="4355" width="10.25" style="2976" customWidth="1"/>
    <col min="4356" max="4356" width="10.125" style="2976" customWidth="1"/>
    <col min="4357" max="4357" width="9.75" style="2976" customWidth="1"/>
    <col min="4358" max="4358" width="10" style="2976" customWidth="1"/>
    <col min="4359" max="4359" width="9.375" style="2976" customWidth="1"/>
    <col min="4360" max="4360" width="10.625" style="2976" customWidth="1"/>
    <col min="4361" max="4361" width="10.75" style="2976" customWidth="1"/>
    <col min="4362" max="4362" width="10.625" style="2976" customWidth="1"/>
    <col min="4363" max="4363" width="9.125" style="2976" customWidth="1"/>
    <col min="4364" max="4364" width="13.75" style="2976" customWidth="1"/>
    <col min="4365" max="4365" width="11.5" style="2976" customWidth="1"/>
    <col min="4366" max="4366" width="10.375" style="2976" customWidth="1"/>
    <col min="4367" max="4367" width="13.75" style="2976" customWidth="1"/>
    <col min="4368" max="4368" width="10" style="2976" customWidth="1"/>
    <col min="4369" max="4369" width="11.75" style="2976" customWidth="1"/>
    <col min="4370" max="4370" width="11.375" style="2976" customWidth="1"/>
    <col min="4371" max="4372" width="13.125" style="2976" customWidth="1"/>
    <col min="4373" max="4609" width="8" style="2976"/>
    <col min="4610" max="4610" width="7.25" style="2976" customWidth="1"/>
    <col min="4611" max="4611" width="10.25" style="2976" customWidth="1"/>
    <col min="4612" max="4612" width="10.125" style="2976" customWidth="1"/>
    <col min="4613" max="4613" width="9.75" style="2976" customWidth="1"/>
    <col min="4614" max="4614" width="10" style="2976" customWidth="1"/>
    <col min="4615" max="4615" width="9.375" style="2976" customWidth="1"/>
    <col min="4616" max="4616" width="10.625" style="2976" customWidth="1"/>
    <col min="4617" max="4617" width="10.75" style="2976" customWidth="1"/>
    <col min="4618" max="4618" width="10.625" style="2976" customWidth="1"/>
    <col min="4619" max="4619" width="9.125" style="2976" customWidth="1"/>
    <col min="4620" max="4620" width="13.75" style="2976" customWidth="1"/>
    <col min="4621" max="4621" width="11.5" style="2976" customWidth="1"/>
    <col min="4622" max="4622" width="10.375" style="2976" customWidth="1"/>
    <col min="4623" max="4623" width="13.75" style="2976" customWidth="1"/>
    <col min="4624" max="4624" width="10" style="2976" customWidth="1"/>
    <col min="4625" max="4625" width="11.75" style="2976" customWidth="1"/>
    <col min="4626" max="4626" width="11.375" style="2976" customWidth="1"/>
    <col min="4627" max="4628" width="13.125" style="2976" customWidth="1"/>
    <col min="4629" max="4865" width="8" style="2976"/>
    <col min="4866" max="4866" width="7.25" style="2976" customWidth="1"/>
    <col min="4867" max="4867" width="10.25" style="2976" customWidth="1"/>
    <col min="4868" max="4868" width="10.125" style="2976" customWidth="1"/>
    <col min="4869" max="4869" width="9.75" style="2976" customWidth="1"/>
    <col min="4870" max="4870" width="10" style="2976" customWidth="1"/>
    <col min="4871" max="4871" width="9.375" style="2976" customWidth="1"/>
    <col min="4872" max="4872" width="10.625" style="2976" customWidth="1"/>
    <col min="4873" max="4873" width="10.75" style="2976" customWidth="1"/>
    <col min="4874" max="4874" width="10.625" style="2976" customWidth="1"/>
    <col min="4875" max="4875" width="9.125" style="2976" customWidth="1"/>
    <col min="4876" max="4876" width="13.75" style="2976" customWidth="1"/>
    <col min="4877" max="4877" width="11.5" style="2976" customWidth="1"/>
    <col min="4878" max="4878" width="10.375" style="2976" customWidth="1"/>
    <col min="4879" max="4879" width="13.75" style="2976" customWidth="1"/>
    <col min="4880" max="4880" width="10" style="2976" customWidth="1"/>
    <col min="4881" max="4881" width="11.75" style="2976" customWidth="1"/>
    <col min="4882" max="4882" width="11.375" style="2976" customWidth="1"/>
    <col min="4883" max="4884" width="13.125" style="2976" customWidth="1"/>
    <col min="4885" max="5121" width="8" style="2976"/>
    <col min="5122" max="5122" width="7.25" style="2976" customWidth="1"/>
    <col min="5123" max="5123" width="10.25" style="2976" customWidth="1"/>
    <col min="5124" max="5124" width="10.125" style="2976" customWidth="1"/>
    <col min="5125" max="5125" width="9.75" style="2976" customWidth="1"/>
    <col min="5126" max="5126" width="10" style="2976" customWidth="1"/>
    <col min="5127" max="5127" width="9.375" style="2976" customWidth="1"/>
    <col min="5128" max="5128" width="10.625" style="2976" customWidth="1"/>
    <col min="5129" max="5129" width="10.75" style="2976" customWidth="1"/>
    <col min="5130" max="5130" width="10.625" style="2976" customWidth="1"/>
    <col min="5131" max="5131" width="9.125" style="2976" customWidth="1"/>
    <col min="5132" max="5132" width="13.75" style="2976" customWidth="1"/>
    <col min="5133" max="5133" width="11.5" style="2976" customWidth="1"/>
    <col min="5134" max="5134" width="10.375" style="2976" customWidth="1"/>
    <col min="5135" max="5135" width="13.75" style="2976" customWidth="1"/>
    <col min="5136" max="5136" width="10" style="2976" customWidth="1"/>
    <col min="5137" max="5137" width="11.75" style="2976" customWidth="1"/>
    <col min="5138" max="5138" width="11.375" style="2976" customWidth="1"/>
    <col min="5139" max="5140" width="13.125" style="2976" customWidth="1"/>
    <col min="5141" max="5377" width="8" style="2976"/>
    <col min="5378" max="5378" width="7.25" style="2976" customWidth="1"/>
    <col min="5379" max="5379" width="10.25" style="2976" customWidth="1"/>
    <col min="5380" max="5380" width="10.125" style="2976" customWidth="1"/>
    <col min="5381" max="5381" width="9.75" style="2976" customWidth="1"/>
    <col min="5382" max="5382" width="10" style="2976" customWidth="1"/>
    <col min="5383" max="5383" width="9.375" style="2976" customWidth="1"/>
    <col min="5384" max="5384" width="10.625" style="2976" customWidth="1"/>
    <col min="5385" max="5385" width="10.75" style="2976" customWidth="1"/>
    <col min="5386" max="5386" width="10.625" style="2976" customWidth="1"/>
    <col min="5387" max="5387" width="9.125" style="2976" customWidth="1"/>
    <col min="5388" max="5388" width="13.75" style="2976" customWidth="1"/>
    <col min="5389" max="5389" width="11.5" style="2976" customWidth="1"/>
    <col min="5390" max="5390" width="10.375" style="2976" customWidth="1"/>
    <col min="5391" max="5391" width="13.75" style="2976" customWidth="1"/>
    <col min="5392" max="5392" width="10" style="2976" customWidth="1"/>
    <col min="5393" max="5393" width="11.75" style="2976" customWidth="1"/>
    <col min="5394" max="5394" width="11.375" style="2976" customWidth="1"/>
    <col min="5395" max="5396" width="13.125" style="2976" customWidth="1"/>
    <col min="5397" max="5633" width="8" style="2976"/>
    <col min="5634" max="5634" width="7.25" style="2976" customWidth="1"/>
    <col min="5635" max="5635" width="10.25" style="2976" customWidth="1"/>
    <col min="5636" max="5636" width="10.125" style="2976" customWidth="1"/>
    <col min="5637" max="5637" width="9.75" style="2976" customWidth="1"/>
    <col min="5638" max="5638" width="10" style="2976" customWidth="1"/>
    <col min="5639" max="5639" width="9.375" style="2976" customWidth="1"/>
    <col min="5640" max="5640" width="10.625" style="2976" customWidth="1"/>
    <col min="5641" max="5641" width="10.75" style="2976" customWidth="1"/>
    <col min="5642" max="5642" width="10.625" style="2976" customWidth="1"/>
    <col min="5643" max="5643" width="9.125" style="2976" customWidth="1"/>
    <col min="5644" max="5644" width="13.75" style="2976" customWidth="1"/>
    <col min="5645" max="5645" width="11.5" style="2976" customWidth="1"/>
    <col min="5646" max="5646" width="10.375" style="2976" customWidth="1"/>
    <col min="5647" max="5647" width="13.75" style="2976" customWidth="1"/>
    <col min="5648" max="5648" width="10" style="2976" customWidth="1"/>
    <col min="5649" max="5649" width="11.75" style="2976" customWidth="1"/>
    <col min="5650" max="5650" width="11.375" style="2976" customWidth="1"/>
    <col min="5651" max="5652" width="13.125" style="2976" customWidth="1"/>
    <col min="5653" max="5889" width="8" style="2976"/>
    <col min="5890" max="5890" width="7.25" style="2976" customWidth="1"/>
    <col min="5891" max="5891" width="10.25" style="2976" customWidth="1"/>
    <col min="5892" max="5892" width="10.125" style="2976" customWidth="1"/>
    <col min="5893" max="5893" width="9.75" style="2976" customWidth="1"/>
    <col min="5894" max="5894" width="10" style="2976" customWidth="1"/>
    <col min="5895" max="5895" width="9.375" style="2976" customWidth="1"/>
    <col min="5896" max="5896" width="10.625" style="2976" customWidth="1"/>
    <col min="5897" max="5897" width="10.75" style="2976" customWidth="1"/>
    <col min="5898" max="5898" width="10.625" style="2976" customWidth="1"/>
    <col min="5899" max="5899" width="9.125" style="2976" customWidth="1"/>
    <col min="5900" max="5900" width="13.75" style="2976" customWidth="1"/>
    <col min="5901" max="5901" width="11.5" style="2976" customWidth="1"/>
    <col min="5902" max="5902" width="10.375" style="2976" customWidth="1"/>
    <col min="5903" max="5903" width="13.75" style="2976" customWidth="1"/>
    <col min="5904" max="5904" width="10" style="2976" customWidth="1"/>
    <col min="5905" max="5905" width="11.75" style="2976" customWidth="1"/>
    <col min="5906" max="5906" width="11.375" style="2976" customWidth="1"/>
    <col min="5907" max="5908" width="13.125" style="2976" customWidth="1"/>
    <col min="5909" max="6145" width="8" style="2976"/>
    <col min="6146" max="6146" width="7.25" style="2976" customWidth="1"/>
    <col min="6147" max="6147" width="10.25" style="2976" customWidth="1"/>
    <col min="6148" max="6148" width="10.125" style="2976" customWidth="1"/>
    <col min="6149" max="6149" width="9.75" style="2976" customWidth="1"/>
    <col min="6150" max="6150" width="10" style="2976" customWidth="1"/>
    <col min="6151" max="6151" width="9.375" style="2976" customWidth="1"/>
    <col min="6152" max="6152" width="10.625" style="2976" customWidth="1"/>
    <col min="6153" max="6153" width="10.75" style="2976" customWidth="1"/>
    <col min="6154" max="6154" width="10.625" style="2976" customWidth="1"/>
    <col min="6155" max="6155" width="9.125" style="2976" customWidth="1"/>
    <col min="6156" max="6156" width="13.75" style="2976" customWidth="1"/>
    <col min="6157" max="6157" width="11.5" style="2976" customWidth="1"/>
    <col min="6158" max="6158" width="10.375" style="2976" customWidth="1"/>
    <col min="6159" max="6159" width="13.75" style="2976" customWidth="1"/>
    <col min="6160" max="6160" width="10" style="2976" customWidth="1"/>
    <col min="6161" max="6161" width="11.75" style="2976" customWidth="1"/>
    <col min="6162" max="6162" width="11.375" style="2976" customWidth="1"/>
    <col min="6163" max="6164" width="13.125" style="2976" customWidth="1"/>
    <col min="6165" max="6401" width="8" style="2976"/>
    <col min="6402" max="6402" width="7.25" style="2976" customWidth="1"/>
    <col min="6403" max="6403" width="10.25" style="2976" customWidth="1"/>
    <col min="6404" max="6404" width="10.125" style="2976" customWidth="1"/>
    <col min="6405" max="6405" width="9.75" style="2976" customWidth="1"/>
    <col min="6406" max="6406" width="10" style="2976" customWidth="1"/>
    <col min="6407" max="6407" width="9.375" style="2976" customWidth="1"/>
    <col min="6408" max="6408" width="10.625" style="2976" customWidth="1"/>
    <col min="6409" max="6409" width="10.75" style="2976" customWidth="1"/>
    <col min="6410" max="6410" width="10.625" style="2976" customWidth="1"/>
    <col min="6411" max="6411" width="9.125" style="2976" customWidth="1"/>
    <col min="6412" max="6412" width="13.75" style="2976" customWidth="1"/>
    <col min="6413" max="6413" width="11.5" style="2976" customWidth="1"/>
    <col min="6414" max="6414" width="10.375" style="2976" customWidth="1"/>
    <col min="6415" max="6415" width="13.75" style="2976" customWidth="1"/>
    <col min="6416" max="6416" width="10" style="2976" customWidth="1"/>
    <col min="6417" max="6417" width="11.75" style="2976" customWidth="1"/>
    <col min="6418" max="6418" width="11.375" style="2976" customWidth="1"/>
    <col min="6419" max="6420" width="13.125" style="2976" customWidth="1"/>
    <col min="6421" max="6657" width="8" style="2976"/>
    <col min="6658" max="6658" width="7.25" style="2976" customWidth="1"/>
    <col min="6659" max="6659" width="10.25" style="2976" customWidth="1"/>
    <col min="6660" max="6660" width="10.125" style="2976" customWidth="1"/>
    <col min="6661" max="6661" width="9.75" style="2976" customWidth="1"/>
    <col min="6662" max="6662" width="10" style="2976" customWidth="1"/>
    <col min="6663" max="6663" width="9.375" style="2976" customWidth="1"/>
    <col min="6664" max="6664" width="10.625" style="2976" customWidth="1"/>
    <col min="6665" max="6665" width="10.75" style="2976" customWidth="1"/>
    <col min="6666" max="6666" width="10.625" style="2976" customWidth="1"/>
    <col min="6667" max="6667" width="9.125" style="2976" customWidth="1"/>
    <col min="6668" max="6668" width="13.75" style="2976" customWidth="1"/>
    <col min="6669" max="6669" width="11.5" style="2976" customWidth="1"/>
    <col min="6670" max="6670" width="10.375" style="2976" customWidth="1"/>
    <col min="6671" max="6671" width="13.75" style="2976" customWidth="1"/>
    <col min="6672" max="6672" width="10" style="2976" customWidth="1"/>
    <col min="6673" max="6673" width="11.75" style="2976" customWidth="1"/>
    <col min="6674" max="6674" width="11.375" style="2976" customWidth="1"/>
    <col min="6675" max="6676" width="13.125" style="2976" customWidth="1"/>
    <col min="6677" max="6913" width="8" style="2976"/>
    <col min="6914" max="6914" width="7.25" style="2976" customWidth="1"/>
    <col min="6915" max="6915" width="10.25" style="2976" customWidth="1"/>
    <col min="6916" max="6916" width="10.125" style="2976" customWidth="1"/>
    <col min="6917" max="6917" width="9.75" style="2976" customWidth="1"/>
    <col min="6918" max="6918" width="10" style="2976" customWidth="1"/>
    <col min="6919" max="6919" width="9.375" style="2976" customWidth="1"/>
    <col min="6920" max="6920" width="10.625" style="2976" customWidth="1"/>
    <col min="6921" max="6921" width="10.75" style="2976" customWidth="1"/>
    <col min="6922" max="6922" width="10.625" style="2976" customWidth="1"/>
    <col min="6923" max="6923" width="9.125" style="2976" customWidth="1"/>
    <col min="6924" max="6924" width="13.75" style="2976" customWidth="1"/>
    <col min="6925" max="6925" width="11.5" style="2976" customWidth="1"/>
    <col min="6926" max="6926" width="10.375" style="2976" customWidth="1"/>
    <col min="6927" max="6927" width="13.75" style="2976" customWidth="1"/>
    <col min="6928" max="6928" width="10" style="2976" customWidth="1"/>
    <col min="6929" max="6929" width="11.75" style="2976" customWidth="1"/>
    <col min="6930" max="6930" width="11.375" style="2976" customWidth="1"/>
    <col min="6931" max="6932" width="13.125" style="2976" customWidth="1"/>
    <col min="6933" max="7169" width="8" style="2976"/>
    <col min="7170" max="7170" width="7.25" style="2976" customWidth="1"/>
    <col min="7171" max="7171" width="10.25" style="2976" customWidth="1"/>
    <col min="7172" max="7172" width="10.125" style="2976" customWidth="1"/>
    <col min="7173" max="7173" width="9.75" style="2976" customWidth="1"/>
    <col min="7174" max="7174" width="10" style="2976" customWidth="1"/>
    <col min="7175" max="7175" width="9.375" style="2976" customWidth="1"/>
    <col min="7176" max="7176" width="10.625" style="2976" customWidth="1"/>
    <col min="7177" max="7177" width="10.75" style="2976" customWidth="1"/>
    <col min="7178" max="7178" width="10.625" style="2976" customWidth="1"/>
    <col min="7179" max="7179" width="9.125" style="2976" customWidth="1"/>
    <col min="7180" max="7180" width="13.75" style="2976" customWidth="1"/>
    <col min="7181" max="7181" width="11.5" style="2976" customWidth="1"/>
    <col min="7182" max="7182" width="10.375" style="2976" customWidth="1"/>
    <col min="7183" max="7183" width="13.75" style="2976" customWidth="1"/>
    <col min="7184" max="7184" width="10" style="2976" customWidth="1"/>
    <col min="7185" max="7185" width="11.75" style="2976" customWidth="1"/>
    <col min="7186" max="7186" width="11.375" style="2976" customWidth="1"/>
    <col min="7187" max="7188" width="13.125" style="2976" customWidth="1"/>
    <col min="7189" max="7425" width="8" style="2976"/>
    <col min="7426" max="7426" width="7.25" style="2976" customWidth="1"/>
    <col min="7427" max="7427" width="10.25" style="2976" customWidth="1"/>
    <col min="7428" max="7428" width="10.125" style="2976" customWidth="1"/>
    <col min="7429" max="7429" width="9.75" style="2976" customWidth="1"/>
    <col min="7430" max="7430" width="10" style="2976" customWidth="1"/>
    <col min="7431" max="7431" width="9.375" style="2976" customWidth="1"/>
    <col min="7432" max="7432" width="10.625" style="2976" customWidth="1"/>
    <col min="7433" max="7433" width="10.75" style="2976" customWidth="1"/>
    <col min="7434" max="7434" width="10.625" style="2976" customWidth="1"/>
    <col min="7435" max="7435" width="9.125" style="2976" customWidth="1"/>
    <col min="7436" max="7436" width="13.75" style="2976" customWidth="1"/>
    <col min="7437" max="7437" width="11.5" style="2976" customWidth="1"/>
    <col min="7438" max="7438" width="10.375" style="2976" customWidth="1"/>
    <col min="7439" max="7439" width="13.75" style="2976" customWidth="1"/>
    <col min="7440" max="7440" width="10" style="2976" customWidth="1"/>
    <col min="7441" max="7441" width="11.75" style="2976" customWidth="1"/>
    <col min="7442" max="7442" width="11.375" style="2976" customWidth="1"/>
    <col min="7443" max="7444" width="13.125" style="2976" customWidth="1"/>
    <col min="7445" max="7681" width="8" style="2976"/>
    <col min="7682" max="7682" width="7.25" style="2976" customWidth="1"/>
    <col min="7683" max="7683" width="10.25" style="2976" customWidth="1"/>
    <col min="7684" max="7684" width="10.125" style="2976" customWidth="1"/>
    <col min="7685" max="7685" width="9.75" style="2976" customWidth="1"/>
    <col min="7686" max="7686" width="10" style="2976" customWidth="1"/>
    <col min="7687" max="7687" width="9.375" style="2976" customWidth="1"/>
    <col min="7688" max="7688" width="10.625" style="2976" customWidth="1"/>
    <col min="7689" max="7689" width="10.75" style="2976" customWidth="1"/>
    <col min="7690" max="7690" width="10.625" style="2976" customWidth="1"/>
    <col min="7691" max="7691" width="9.125" style="2976" customWidth="1"/>
    <col min="7692" max="7692" width="13.75" style="2976" customWidth="1"/>
    <col min="7693" max="7693" width="11.5" style="2976" customWidth="1"/>
    <col min="7694" max="7694" width="10.375" style="2976" customWidth="1"/>
    <col min="7695" max="7695" width="13.75" style="2976" customWidth="1"/>
    <col min="7696" max="7696" width="10" style="2976" customWidth="1"/>
    <col min="7697" max="7697" width="11.75" style="2976" customWidth="1"/>
    <col min="7698" max="7698" width="11.375" style="2976" customWidth="1"/>
    <col min="7699" max="7700" width="13.125" style="2976" customWidth="1"/>
    <col min="7701" max="7937" width="8" style="2976"/>
    <col min="7938" max="7938" width="7.25" style="2976" customWidth="1"/>
    <col min="7939" max="7939" width="10.25" style="2976" customWidth="1"/>
    <col min="7940" max="7940" width="10.125" style="2976" customWidth="1"/>
    <col min="7941" max="7941" width="9.75" style="2976" customWidth="1"/>
    <col min="7942" max="7942" width="10" style="2976" customWidth="1"/>
    <col min="7943" max="7943" width="9.375" style="2976" customWidth="1"/>
    <col min="7944" max="7944" width="10.625" style="2976" customWidth="1"/>
    <col min="7945" max="7945" width="10.75" style="2976" customWidth="1"/>
    <col min="7946" max="7946" width="10.625" style="2976" customWidth="1"/>
    <col min="7947" max="7947" width="9.125" style="2976" customWidth="1"/>
    <col min="7948" max="7948" width="13.75" style="2976" customWidth="1"/>
    <col min="7949" max="7949" width="11.5" style="2976" customWidth="1"/>
    <col min="7950" max="7950" width="10.375" style="2976" customWidth="1"/>
    <col min="7951" max="7951" width="13.75" style="2976" customWidth="1"/>
    <col min="7952" max="7952" width="10" style="2976" customWidth="1"/>
    <col min="7953" max="7953" width="11.75" style="2976" customWidth="1"/>
    <col min="7954" max="7954" width="11.375" style="2976" customWidth="1"/>
    <col min="7955" max="7956" width="13.125" style="2976" customWidth="1"/>
    <col min="7957" max="8193" width="8" style="2976"/>
    <col min="8194" max="8194" width="7.25" style="2976" customWidth="1"/>
    <col min="8195" max="8195" width="10.25" style="2976" customWidth="1"/>
    <col min="8196" max="8196" width="10.125" style="2976" customWidth="1"/>
    <col min="8197" max="8197" width="9.75" style="2976" customWidth="1"/>
    <col min="8198" max="8198" width="10" style="2976" customWidth="1"/>
    <col min="8199" max="8199" width="9.375" style="2976" customWidth="1"/>
    <col min="8200" max="8200" width="10.625" style="2976" customWidth="1"/>
    <col min="8201" max="8201" width="10.75" style="2976" customWidth="1"/>
    <col min="8202" max="8202" width="10.625" style="2976" customWidth="1"/>
    <col min="8203" max="8203" width="9.125" style="2976" customWidth="1"/>
    <col min="8204" max="8204" width="13.75" style="2976" customWidth="1"/>
    <col min="8205" max="8205" width="11.5" style="2976" customWidth="1"/>
    <col min="8206" max="8206" width="10.375" style="2976" customWidth="1"/>
    <col min="8207" max="8207" width="13.75" style="2976" customWidth="1"/>
    <col min="8208" max="8208" width="10" style="2976" customWidth="1"/>
    <col min="8209" max="8209" width="11.75" style="2976" customWidth="1"/>
    <col min="8210" max="8210" width="11.375" style="2976" customWidth="1"/>
    <col min="8211" max="8212" width="13.125" style="2976" customWidth="1"/>
    <col min="8213" max="8449" width="8" style="2976"/>
    <col min="8450" max="8450" width="7.25" style="2976" customWidth="1"/>
    <col min="8451" max="8451" width="10.25" style="2976" customWidth="1"/>
    <col min="8452" max="8452" width="10.125" style="2976" customWidth="1"/>
    <col min="8453" max="8453" width="9.75" style="2976" customWidth="1"/>
    <col min="8454" max="8454" width="10" style="2976" customWidth="1"/>
    <col min="8455" max="8455" width="9.375" style="2976" customWidth="1"/>
    <col min="8456" max="8456" width="10.625" style="2976" customWidth="1"/>
    <col min="8457" max="8457" width="10.75" style="2976" customWidth="1"/>
    <col min="8458" max="8458" width="10.625" style="2976" customWidth="1"/>
    <col min="8459" max="8459" width="9.125" style="2976" customWidth="1"/>
    <col min="8460" max="8460" width="13.75" style="2976" customWidth="1"/>
    <col min="8461" max="8461" width="11.5" style="2976" customWidth="1"/>
    <col min="8462" max="8462" width="10.375" style="2976" customWidth="1"/>
    <col min="8463" max="8463" width="13.75" style="2976" customWidth="1"/>
    <col min="8464" max="8464" width="10" style="2976" customWidth="1"/>
    <col min="8465" max="8465" width="11.75" style="2976" customWidth="1"/>
    <col min="8466" max="8466" width="11.375" style="2976" customWidth="1"/>
    <col min="8467" max="8468" width="13.125" style="2976" customWidth="1"/>
    <col min="8469" max="8705" width="8" style="2976"/>
    <col min="8706" max="8706" width="7.25" style="2976" customWidth="1"/>
    <col min="8707" max="8707" width="10.25" style="2976" customWidth="1"/>
    <col min="8708" max="8708" width="10.125" style="2976" customWidth="1"/>
    <col min="8709" max="8709" width="9.75" style="2976" customWidth="1"/>
    <col min="8710" max="8710" width="10" style="2976" customWidth="1"/>
    <col min="8711" max="8711" width="9.375" style="2976" customWidth="1"/>
    <col min="8712" max="8712" width="10.625" style="2976" customWidth="1"/>
    <col min="8713" max="8713" width="10.75" style="2976" customWidth="1"/>
    <col min="8714" max="8714" width="10.625" style="2976" customWidth="1"/>
    <col min="8715" max="8715" width="9.125" style="2976" customWidth="1"/>
    <col min="8716" max="8716" width="13.75" style="2976" customWidth="1"/>
    <col min="8717" max="8717" width="11.5" style="2976" customWidth="1"/>
    <col min="8718" max="8718" width="10.375" style="2976" customWidth="1"/>
    <col min="8719" max="8719" width="13.75" style="2976" customWidth="1"/>
    <col min="8720" max="8720" width="10" style="2976" customWidth="1"/>
    <col min="8721" max="8721" width="11.75" style="2976" customWidth="1"/>
    <col min="8722" max="8722" width="11.375" style="2976" customWidth="1"/>
    <col min="8723" max="8724" width="13.125" style="2976" customWidth="1"/>
    <col min="8725" max="8961" width="8" style="2976"/>
    <col min="8962" max="8962" width="7.25" style="2976" customWidth="1"/>
    <col min="8963" max="8963" width="10.25" style="2976" customWidth="1"/>
    <col min="8964" max="8964" width="10.125" style="2976" customWidth="1"/>
    <col min="8965" max="8965" width="9.75" style="2976" customWidth="1"/>
    <col min="8966" max="8966" width="10" style="2976" customWidth="1"/>
    <col min="8967" max="8967" width="9.375" style="2976" customWidth="1"/>
    <col min="8968" max="8968" width="10.625" style="2976" customWidth="1"/>
    <col min="8969" max="8969" width="10.75" style="2976" customWidth="1"/>
    <col min="8970" max="8970" width="10.625" style="2976" customWidth="1"/>
    <col min="8971" max="8971" width="9.125" style="2976" customWidth="1"/>
    <col min="8972" max="8972" width="13.75" style="2976" customWidth="1"/>
    <col min="8973" max="8973" width="11.5" style="2976" customWidth="1"/>
    <col min="8974" max="8974" width="10.375" style="2976" customWidth="1"/>
    <col min="8975" max="8975" width="13.75" style="2976" customWidth="1"/>
    <col min="8976" max="8976" width="10" style="2976" customWidth="1"/>
    <col min="8977" max="8977" width="11.75" style="2976" customWidth="1"/>
    <col min="8978" max="8978" width="11.375" style="2976" customWidth="1"/>
    <col min="8979" max="8980" width="13.125" style="2976" customWidth="1"/>
    <col min="8981" max="9217" width="8" style="2976"/>
    <col min="9218" max="9218" width="7.25" style="2976" customWidth="1"/>
    <col min="9219" max="9219" width="10.25" style="2976" customWidth="1"/>
    <col min="9220" max="9220" width="10.125" style="2976" customWidth="1"/>
    <col min="9221" max="9221" width="9.75" style="2976" customWidth="1"/>
    <col min="9222" max="9222" width="10" style="2976" customWidth="1"/>
    <col min="9223" max="9223" width="9.375" style="2976" customWidth="1"/>
    <col min="9224" max="9224" width="10.625" style="2976" customWidth="1"/>
    <col min="9225" max="9225" width="10.75" style="2976" customWidth="1"/>
    <col min="9226" max="9226" width="10.625" style="2976" customWidth="1"/>
    <col min="9227" max="9227" width="9.125" style="2976" customWidth="1"/>
    <col min="9228" max="9228" width="13.75" style="2976" customWidth="1"/>
    <col min="9229" max="9229" width="11.5" style="2976" customWidth="1"/>
    <col min="9230" max="9230" width="10.375" style="2976" customWidth="1"/>
    <col min="9231" max="9231" width="13.75" style="2976" customWidth="1"/>
    <col min="9232" max="9232" width="10" style="2976" customWidth="1"/>
    <col min="9233" max="9233" width="11.75" style="2976" customWidth="1"/>
    <col min="9234" max="9234" width="11.375" style="2976" customWidth="1"/>
    <col min="9235" max="9236" width="13.125" style="2976" customWidth="1"/>
    <col min="9237" max="9473" width="8" style="2976"/>
    <col min="9474" max="9474" width="7.25" style="2976" customWidth="1"/>
    <col min="9475" max="9475" width="10.25" style="2976" customWidth="1"/>
    <col min="9476" max="9476" width="10.125" style="2976" customWidth="1"/>
    <col min="9477" max="9477" width="9.75" style="2976" customWidth="1"/>
    <col min="9478" max="9478" width="10" style="2976" customWidth="1"/>
    <col min="9479" max="9479" width="9.375" style="2976" customWidth="1"/>
    <col min="9480" max="9480" width="10.625" style="2976" customWidth="1"/>
    <col min="9481" max="9481" width="10.75" style="2976" customWidth="1"/>
    <col min="9482" max="9482" width="10.625" style="2976" customWidth="1"/>
    <col min="9483" max="9483" width="9.125" style="2976" customWidth="1"/>
    <col min="9484" max="9484" width="13.75" style="2976" customWidth="1"/>
    <col min="9485" max="9485" width="11.5" style="2976" customWidth="1"/>
    <col min="9486" max="9486" width="10.375" style="2976" customWidth="1"/>
    <col min="9487" max="9487" width="13.75" style="2976" customWidth="1"/>
    <col min="9488" max="9488" width="10" style="2976" customWidth="1"/>
    <col min="9489" max="9489" width="11.75" style="2976" customWidth="1"/>
    <col min="9490" max="9490" width="11.375" style="2976" customWidth="1"/>
    <col min="9491" max="9492" width="13.125" style="2976" customWidth="1"/>
    <col min="9493" max="9729" width="8" style="2976"/>
    <col min="9730" max="9730" width="7.25" style="2976" customWidth="1"/>
    <col min="9731" max="9731" width="10.25" style="2976" customWidth="1"/>
    <col min="9732" max="9732" width="10.125" style="2976" customWidth="1"/>
    <col min="9733" max="9733" width="9.75" style="2976" customWidth="1"/>
    <col min="9734" max="9734" width="10" style="2976" customWidth="1"/>
    <col min="9735" max="9735" width="9.375" style="2976" customWidth="1"/>
    <col min="9736" max="9736" width="10.625" style="2976" customWidth="1"/>
    <col min="9737" max="9737" width="10.75" style="2976" customWidth="1"/>
    <col min="9738" max="9738" width="10.625" style="2976" customWidth="1"/>
    <col min="9739" max="9739" width="9.125" style="2976" customWidth="1"/>
    <col min="9740" max="9740" width="13.75" style="2976" customWidth="1"/>
    <col min="9741" max="9741" width="11.5" style="2976" customWidth="1"/>
    <col min="9742" max="9742" width="10.375" style="2976" customWidth="1"/>
    <col min="9743" max="9743" width="13.75" style="2976" customWidth="1"/>
    <col min="9744" max="9744" width="10" style="2976" customWidth="1"/>
    <col min="9745" max="9745" width="11.75" style="2976" customWidth="1"/>
    <col min="9746" max="9746" width="11.375" style="2976" customWidth="1"/>
    <col min="9747" max="9748" width="13.125" style="2976" customWidth="1"/>
    <col min="9749" max="9985" width="8" style="2976"/>
    <col min="9986" max="9986" width="7.25" style="2976" customWidth="1"/>
    <col min="9987" max="9987" width="10.25" style="2976" customWidth="1"/>
    <col min="9988" max="9988" width="10.125" style="2976" customWidth="1"/>
    <col min="9989" max="9989" width="9.75" style="2976" customWidth="1"/>
    <col min="9990" max="9990" width="10" style="2976" customWidth="1"/>
    <col min="9991" max="9991" width="9.375" style="2976" customWidth="1"/>
    <col min="9992" max="9992" width="10.625" style="2976" customWidth="1"/>
    <col min="9993" max="9993" width="10.75" style="2976" customWidth="1"/>
    <col min="9994" max="9994" width="10.625" style="2976" customWidth="1"/>
    <col min="9995" max="9995" width="9.125" style="2976" customWidth="1"/>
    <col min="9996" max="9996" width="13.75" style="2976" customWidth="1"/>
    <col min="9997" max="9997" width="11.5" style="2976" customWidth="1"/>
    <col min="9998" max="9998" width="10.375" style="2976" customWidth="1"/>
    <col min="9999" max="9999" width="13.75" style="2976" customWidth="1"/>
    <col min="10000" max="10000" width="10" style="2976" customWidth="1"/>
    <col min="10001" max="10001" width="11.75" style="2976" customWidth="1"/>
    <col min="10002" max="10002" width="11.375" style="2976" customWidth="1"/>
    <col min="10003" max="10004" width="13.125" style="2976" customWidth="1"/>
    <col min="10005" max="10241" width="8" style="2976"/>
    <col min="10242" max="10242" width="7.25" style="2976" customWidth="1"/>
    <col min="10243" max="10243" width="10.25" style="2976" customWidth="1"/>
    <col min="10244" max="10244" width="10.125" style="2976" customWidth="1"/>
    <col min="10245" max="10245" width="9.75" style="2976" customWidth="1"/>
    <col min="10246" max="10246" width="10" style="2976" customWidth="1"/>
    <col min="10247" max="10247" width="9.375" style="2976" customWidth="1"/>
    <col min="10248" max="10248" width="10.625" style="2976" customWidth="1"/>
    <col min="10249" max="10249" width="10.75" style="2976" customWidth="1"/>
    <col min="10250" max="10250" width="10.625" style="2976" customWidth="1"/>
    <col min="10251" max="10251" width="9.125" style="2976" customWidth="1"/>
    <col min="10252" max="10252" width="13.75" style="2976" customWidth="1"/>
    <col min="10253" max="10253" width="11.5" style="2976" customWidth="1"/>
    <col min="10254" max="10254" width="10.375" style="2976" customWidth="1"/>
    <col min="10255" max="10255" width="13.75" style="2976" customWidth="1"/>
    <col min="10256" max="10256" width="10" style="2976" customWidth="1"/>
    <col min="10257" max="10257" width="11.75" style="2976" customWidth="1"/>
    <col min="10258" max="10258" width="11.375" style="2976" customWidth="1"/>
    <col min="10259" max="10260" width="13.125" style="2976" customWidth="1"/>
    <col min="10261" max="10497" width="8" style="2976"/>
    <col min="10498" max="10498" width="7.25" style="2976" customWidth="1"/>
    <col min="10499" max="10499" width="10.25" style="2976" customWidth="1"/>
    <col min="10500" max="10500" width="10.125" style="2976" customWidth="1"/>
    <col min="10501" max="10501" width="9.75" style="2976" customWidth="1"/>
    <col min="10502" max="10502" width="10" style="2976" customWidth="1"/>
    <col min="10503" max="10503" width="9.375" style="2976" customWidth="1"/>
    <col min="10504" max="10504" width="10.625" style="2976" customWidth="1"/>
    <col min="10505" max="10505" width="10.75" style="2976" customWidth="1"/>
    <col min="10506" max="10506" width="10.625" style="2976" customWidth="1"/>
    <col min="10507" max="10507" width="9.125" style="2976" customWidth="1"/>
    <col min="10508" max="10508" width="13.75" style="2976" customWidth="1"/>
    <col min="10509" max="10509" width="11.5" style="2976" customWidth="1"/>
    <col min="10510" max="10510" width="10.375" style="2976" customWidth="1"/>
    <col min="10511" max="10511" width="13.75" style="2976" customWidth="1"/>
    <col min="10512" max="10512" width="10" style="2976" customWidth="1"/>
    <col min="10513" max="10513" width="11.75" style="2976" customWidth="1"/>
    <col min="10514" max="10514" width="11.375" style="2976" customWidth="1"/>
    <col min="10515" max="10516" width="13.125" style="2976" customWidth="1"/>
    <col min="10517" max="10753" width="8" style="2976"/>
    <col min="10754" max="10754" width="7.25" style="2976" customWidth="1"/>
    <col min="10755" max="10755" width="10.25" style="2976" customWidth="1"/>
    <col min="10756" max="10756" width="10.125" style="2976" customWidth="1"/>
    <col min="10757" max="10757" width="9.75" style="2976" customWidth="1"/>
    <col min="10758" max="10758" width="10" style="2976" customWidth="1"/>
    <col min="10759" max="10759" width="9.375" style="2976" customWidth="1"/>
    <col min="10760" max="10760" width="10.625" style="2976" customWidth="1"/>
    <col min="10761" max="10761" width="10.75" style="2976" customWidth="1"/>
    <col min="10762" max="10762" width="10.625" style="2976" customWidth="1"/>
    <col min="10763" max="10763" width="9.125" style="2976" customWidth="1"/>
    <col min="10764" max="10764" width="13.75" style="2976" customWidth="1"/>
    <col min="10765" max="10765" width="11.5" style="2976" customWidth="1"/>
    <col min="10766" max="10766" width="10.375" style="2976" customWidth="1"/>
    <col min="10767" max="10767" width="13.75" style="2976" customWidth="1"/>
    <col min="10768" max="10768" width="10" style="2976" customWidth="1"/>
    <col min="10769" max="10769" width="11.75" style="2976" customWidth="1"/>
    <col min="10770" max="10770" width="11.375" style="2976" customWidth="1"/>
    <col min="10771" max="10772" width="13.125" style="2976" customWidth="1"/>
    <col min="10773" max="11009" width="8" style="2976"/>
    <col min="11010" max="11010" width="7.25" style="2976" customWidth="1"/>
    <col min="11011" max="11011" width="10.25" style="2976" customWidth="1"/>
    <col min="11012" max="11012" width="10.125" style="2976" customWidth="1"/>
    <col min="11013" max="11013" width="9.75" style="2976" customWidth="1"/>
    <col min="11014" max="11014" width="10" style="2976" customWidth="1"/>
    <col min="11015" max="11015" width="9.375" style="2976" customWidth="1"/>
    <col min="11016" max="11016" width="10.625" style="2976" customWidth="1"/>
    <col min="11017" max="11017" width="10.75" style="2976" customWidth="1"/>
    <col min="11018" max="11018" width="10.625" style="2976" customWidth="1"/>
    <col min="11019" max="11019" width="9.125" style="2976" customWidth="1"/>
    <col min="11020" max="11020" width="13.75" style="2976" customWidth="1"/>
    <col min="11021" max="11021" width="11.5" style="2976" customWidth="1"/>
    <col min="11022" max="11022" width="10.375" style="2976" customWidth="1"/>
    <col min="11023" max="11023" width="13.75" style="2976" customWidth="1"/>
    <col min="11024" max="11024" width="10" style="2976" customWidth="1"/>
    <col min="11025" max="11025" width="11.75" style="2976" customWidth="1"/>
    <col min="11026" max="11026" width="11.375" style="2976" customWidth="1"/>
    <col min="11027" max="11028" width="13.125" style="2976" customWidth="1"/>
    <col min="11029" max="11265" width="8" style="2976"/>
    <col min="11266" max="11266" width="7.25" style="2976" customWidth="1"/>
    <col min="11267" max="11267" width="10.25" style="2976" customWidth="1"/>
    <col min="11268" max="11268" width="10.125" style="2976" customWidth="1"/>
    <col min="11269" max="11269" width="9.75" style="2976" customWidth="1"/>
    <col min="11270" max="11270" width="10" style="2976" customWidth="1"/>
    <col min="11271" max="11271" width="9.375" style="2976" customWidth="1"/>
    <col min="11272" max="11272" width="10.625" style="2976" customWidth="1"/>
    <col min="11273" max="11273" width="10.75" style="2976" customWidth="1"/>
    <col min="11274" max="11274" width="10.625" style="2976" customWidth="1"/>
    <col min="11275" max="11275" width="9.125" style="2976" customWidth="1"/>
    <col min="11276" max="11276" width="13.75" style="2976" customWidth="1"/>
    <col min="11277" max="11277" width="11.5" style="2976" customWidth="1"/>
    <col min="11278" max="11278" width="10.375" style="2976" customWidth="1"/>
    <col min="11279" max="11279" width="13.75" style="2976" customWidth="1"/>
    <col min="11280" max="11280" width="10" style="2976" customWidth="1"/>
    <col min="11281" max="11281" width="11.75" style="2976" customWidth="1"/>
    <col min="11282" max="11282" width="11.375" style="2976" customWidth="1"/>
    <col min="11283" max="11284" width="13.125" style="2976" customWidth="1"/>
    <col min="11285" max="11521" width="8" style="2976"/>
    <col min="11522" max="11522" width="7.25" style="2976" customWidth="1"/>
    <col min="11523" max="11523" width="10.25" style="2976" customWidth="1"/>
    <col min="11524" max="11524" width="10.125" style="2976" customWidth="1"/>
    <col min="11525" max="11525" width="9.75" style="2976" customWidth="1"/>
    <col min="11526" max="11526" width="10" style="2976" customWidth="1"/>
    <col min="11527" max="11527" width="9.375" style="2976" customWidth="1"/>
    <col min="11528" max="11528" width="10.625" style="2976" customWidth="1"/>
    <col min="11529" max="11529" width="10.75" style="2976" customWidth="1"/>
    <col min="11530" max="11530" width="10.625" style="2976" customWidth="1"/>
    <col min="11531" max="11531" width="9.125" style="2976" customWidth="1"/>
    <col min="11532" max="11532" width="13.75" style="2976" customWidth="1"/>
    <col min="11533" max="11533" width="11.5" style="2976" customWidth="1"/>
    <col min="11534" max="11534" width="10.375" style="2976" customWidth="1"/>
    <col min="11535" max="11535" width="13.75" style="2976" customWidth="1"/>
    <col min="11536" max="11536" width="10" style="2976" customWidth="1"/>
    <col min="11537" max="11537" width="11.75" style="2976" customWidth="1"/>
    <col min="11538" max="11538" width="11.375" style="2976" customWidth="1"/>
    <col min="11539" max="11540" width="13.125" style="2976" customWidth="1"/>
    <col min="11541" max="11777" width="8" style="2976"/>
    <col min="11778" max="11778" width="7.25" style="2976" customWidth="1"/>
    <col min="11779" max="11779" width="10.25" style="2976" customWidth="1"/>
    <col min="11780" max="11780" width="10.125" style="2976" customWidth="1"/>
    <col min="11781" max="11781" width="9.75" style="2976" customWidth="1"/>
    <col min="11782" max="11782" width="10" style="2976" customWidth="1"/>
    <col min="11783" max="11783" width="9.375" style="2976" customWidth="1"/>
    <col min="11784" max="11784" width="10.625" style="2976" customWidth="1"/>
    <col min="11785" max="11785" width="10.75" style="2976" customWidth="1"/>
    <col min="11786" max="11786" width="10.625" style="2976" customWidth="1"/>
    <col min="11787" max="11787" width="9.125" style="2976" customWidth="1"/>
    <col min="11788" max="11788" width="13.75" style="2976" customWidth="1"/>
    <col min="11789" max="11789" width="11.5" style="2976" customWidth="1"/>
    <col min="11790" max="11790" width="10.375" style="2976" customWidth="1"/>
    <col min="11791" max="11791" width="13.75" style="2976" customWidth="1"/>
    <col min="11792" max="11792" width="10" style="2976" customWidth="1"/>
    <col min="11793" max="11793" width="11.75" style="2976" customWidth="1"/>
    <col min="11794" max="11794" width="11.375" style="2976" customWidth="1"/>
    <col min="11795" max="11796" width="13.125" style="2976" customWidth="1"/>
    <col min="11797" max="12033" width="8" style="2976"/>
    <col min="12034" max="12034" width="7.25" style="2976" customWidth="1"/>
    <col min="12035" max="12035" width="10.25" style="2976" customWidth="1"/>
    <col min="12036" max="12036" width="10.125" style="2976" customWidth="1"/>
    <col min="12037" max="12037" width="9.75" style="2976" customWidth="1"/>
    <col min="12038" max="12038" width="10" style="2976" customWidth="1"/>
    <col min="12039" max="12039" width="9.375" style="2976" customWidth="1"/>
    <col min="12040" max="12040" width="10.625" style="2976" customWidth="1"/>
    <col min="12041" max="12041" width="10.75" style="2976" customWidth="1"/>
    <col min="12042" max="12042" width="10.625" style="2976" customWidth="1"/>
    <col min="12043" max="12043" width="9.125" style="2976" customWidth="1"/>
    <col min="12044" max="12044" width="13.75" style="2976" customWidth="1"/>
    <col min="12045" max="12045" width="11.5" style="2976" customWidth="1"/>
    <col min="12046" max="12046" width="10.375" style="2976" customWidth="1"/>
    <col min="12047" max="12047" width="13.75" style="2976" customWidth="1"/>
    <col min="12048" max="12048" width="10" style="2976" customWidth="1"/>
    <col min="12049" max="12049" width="11.75" style="2976" customWidth="1"/>
    <col min="12050" max="12050" width="11.375" style="2976" customWidth="1"/>
    <col min="12051" max="12052" width="13.125" style="2976" customWidth="1"/>
    <col min="12053" max="12289" width="8" style="2976"/>
    <col min="12290" max="12290" width="7.25" style="2976" customWidth="1"/>
    <col min="12291" max="12291" width="10.25" style="2976" customWidth="1"/>
    <col min="12292" max="12292" width="10.125" style="2976" customWidth="1"/>
    <col min="12293" max="12293" width="9.75" style="2976" customWidth="1"/>
    <col min="12294" max="12294" width="10" style="2976" customWidth="1"/>
    <col min="12295" max="12295" width="9.375" style="2976" customWidth="1"/>
    <col min="12296" max="12296" width="10.625" style="2976" customWidth="1"/>
    <col min="12297" max="12297" width="10.75" style="2976" customWidth="1"/>
    <col min="12298" max="12298" width="10.625" style="2976" customWidth="1"/>
    <col min="12299" max="12299" width="9.125" style="2976" customWidth="1"/>
    <col min="12300" max="12300" width="13.75" style="2976" customWidth="1"/>
    <col min="12301" max="12301" width="11.5" style="2976" customWidth="1"/>
    <col min="12302" max="12302" width="10.375" style="2976" customWidth="1"/>
    <col min="12303" max="12303" width="13.75" style="2976" customWidth="1"/>
    <col min="12304" max="12304" width="10" style="2976" customWidth="1"/>
    <col min="12305" max="12305" width="11.75" style="2976" customWidth="1"/>
    <col min="12306" max="12306" width="11.375" style="2976" customWidth="1"/>
    <col min="12307" max="12308" width="13.125" style="2976" customWidth="1"/>
    <col min="12309" max="12545" width="8" style="2976"/>
    <col min="12546" max="12546" width="7.25" style="2976" customWidth="1"/>
    <col min="12547" max="12547" width="10.25" style="2976" customWidth="1"/>
    <col min="12548" max="12548" width="10.125" style="2976" customWidth="1"/>
    <col min="12549" max="12549" width="9.75" style="2976" customWidth="1"/>
    <col min="12550" max="12550" width="10" style="2976" customWidth="1"/>
    <col min="12551" max="12551" width="9.375" style="2976" customWidth="1"/>
    <col min="12552" max="12552" width="10.625" style="2976" customWidth="1"/>
    <col min="12553" max="12553" width="10.75" style="2976" customWidth="1"/>
    <col min="12554" max="12554" width="10.625" style="2976" customWidth="1"/>
    <col min="12555" max="12555" width="9.125" style="2976" customWidth="1"/>
    <col min="12556" max="12556" width="13.75" style="2976" customWidth="1"/>
    <col min="12557" max="12557" width="11.5" style="2976" customWidth="1"/>
    <col min="12558" max="12558" width="10.375" style="2976" customWidth="1"/>
    <col min="12559" max="12559" width="13.75" style="2976" customWidth="1"/>
    <col min="12560" max="12560" width="10" style="2976" customWidth="1"/>
    <col min="12561" max="12561" width="11.75" style="2976" customWidth="1"/>
    <col min="12562" max="12562" width="11.375" style="2976" customWidth="1"/>
    <col min="12563" max="12564" width="13.125" style="2976" customWidth="1"/>
    <col min="12565" max="12801" width="8" style="2976"/>
    <col min="12802" max="12802" width="7.25" style="2976" customWidth="1"/>
    <col min="12803" max="12803" width="10.25" style="2976" customWidth="1"/>
    <col min="12804" max="12804" width="10.125" style="2976" customWidth="1"/>
    <col min="12805" max="12805" width="9.75" style="2976" customWidth="1"/>
    <col min="12806" max="12806" width="10" style="2976" customWidth="1"/>
    <col min="12807" max="12807" width="9.375" style="2976" customWidth="1"/>
    <col min="12808" max="12808" width="10.625" style="2976" customWidth="1"/>
    <col min="12809" max="12809" width="10.75" style="2976" customWidth="1"/>
    <col min="12810" max="12810" width="10.625" style="2976" customWidth="1"/>
    <col min="12811" max="12811" width="9.125" style="2976" customWidth="1"/>
    <col min="12812" max="12812" width="13.75" style="2976" customWidth="1"/>
    <col min="12813" max="12813" width="11.5" style="2976" customWidth="1"/>
    <col min="12814" max="12814" width="10.375" style="2976" customWidth="1"/>
    <col min="12815" max="12815" width="13.75" style="2976" customWidth="1"/>
    <col min="12816" max="12816" width="10" style="2976" customWidth="1"/>
    <col min="12817" max="12817" width="11.75" style="2976" customWidth="1"/>
    <col min="12818" max="12818" width="11.375" style="2976" customWidth="1"/>
    <col min="12819" max="12820" width="13.125" style="2976" customWidth="1"/>
    <col min="12821" max="13057" width="8" style="2976"/>
    <col min="13058" max="13058" width="7.25" style="2976" customWidth="1"/>
    <col min="13059" max="13059" width="10.25" style="2976" customWidth="1"/>
    <col min="13060" max="13060" width="10.125" style="2976" customWidth="1"/>
    <col min="13061" max="13061" width="9.75" style="2976" customWidth="1"/>
    <col min="13062" max="13062" width="10" style="2976" customWidth="1"/>
    <col min="13063" max="13063" width="9.375" style="2976" customWidth="1"/>
    <col min="13064" max="13064" width="10.625" style="2976" customWidth="1"/>
    <col min="13065" max="13065" width="10.75" style="2976" customWidth="1"/>
    <col min="13066" max="13066" width="10.625" style="2976" customWidth="1"/>
    <col min="13067" max="13067" width="9.125" style="2976" customWidth="1"/>
    <col min="13068" max="13068" width="13.75" style="2976" customWidth="1"/>
    <col min="13069" max="13069" width="11.5" style="2976" customWidth="1"/>
    <col min="13070" max="13070" width="10.375" style="2976" customWidth="1"/>
    <col min="13071" max="13071" width="13.75" style="2976" customWidth="1"/>
    <col min="13072" max="13072" width="10" style="2976" customWidth="1"/>
    <col min="13073" max="13073" width="11.75" style="2976" customWidth="1"/>
    <col min="13074" max="13074" width="11.375" style="2976" customWidth="1"/>
    <col min="13075" max="13076" width="13.125" style="2976" customWidth="1"/>
    <col min="13077" max="13313" width="8" style="2976"/>
    <col min="13314" max="13314" width="7.25" style="2976" customWidth="1"/>
    <col min="13315" max="13315" width="10.25" style="2976" customWidth="1"/>
    <col min="13316" max="13316" width="10.125" style="2976" customWidth="1"/>
    <col min="13317" max="13317" width="9.75" style="2976" customWidth="1"/>
    <col min="13318" max="13318" width="10" style="2976" customWidth="1"/>
    <col min="13319" max="13319" width="9.375" style="2976" customWidth="1"/>
    <col min="13320" max="13320" width="10.625" style="2976" customWidth="1"/>
    <col min="13321" max="13321" width="10.75" style="2976" customWidth="1"/>
    <col min="13322" max="13322" width="10.625" style="2976" customWidth="1"/>
    <col min="13323" max="13323" width="9.125" style="2976" customWidth="1"/>
    <col min="13324" max="13324" width="13.75" style="2976" customWidth="1"/>
    <col min="13325" max="13325" width="11.5" style="2976" customWidth="1"/>
    <col min="13326" max="13326" width="10.375" style="2976" customWidth="1"/>
    <col min="13327" max="13327" width="13.75" style="2976" customWidth="1"/>
    <col min="13328" max="13328" width="10" style="2976" customWidth="1"/>
    <col min="13329" max="13329" width="11.75" style="2976" customWidth="1"/>
    <col min="13330" max="13330" width="11.375" style="2976" customWidth="1"/>
    <col min="13331" max="13332" width="13.125" style="2976" customWidth="1"/>
    <col min="13333" max="13569" width="8" style="2976"/>
    <col min="13570" max="13570" width="7.25" style="2976" customWidth="1"/>
    <col min="13571" max="13571" width="10.25" style="2976" customWidth="1"/>
    <col min="13572" max="13572" width="10.125" style="2976" customWidth="1"/>
    <col min="13573" max="13573" width="9.75" style="2976" customWidth="1"/>
    <col min="13574" max="13574" width="10" style="2976" customWidth="1"/>
    <col min="13575" max="13575" width="9.375" style="2976" customWidth="1"/>
    <col min="13576" max="13576" width="10.625" style="2976" customWidth="1"/>
    <col min="13577" max="13577" width="10.75" style="2976" customWidth="1"/>
    <col min="13578" max="13578" width="10.625" style="2976" customWidth="1"/>
    <col min="13579" max="13579" width="9.125" style="2976" customWidth="1"/>
    <col min="13580" max="13580" width="13.75" style="2976" customWidth="1"/>
    <col min="13581" max="13581" width="11.5" style="2976" customWidth="1"/>
    <col min="13582" max="13582" width="10.375" style="2976" customWidth="1"/>
    <col min="13583" max="13583" width="13.75" style="2976" customWidth="1"/>
    <col min="13584" max="13584" width="10" style="2976" customWidth="1"/>
    <col min="13585" max="13585" width="11.75" style="2976" customWidth="1"/>
    <col min="13586" max="13586" width="11.375" style="2976" customWidth="1"/>
    <col min="13587" max="13588" width="13.125" style="2976" customWidth="1"/>
    <col min="13589" max="13825" width="8" style="2976"/>
    <col min="13826" max="13826" width="7.25" style="2976" customWidth="1"/>
    <col min="13827" max="13827" width="10.25" style="2976" customWidth="1"/>
    <col min="13828" max="13828" width="10.125" style="2976" customWidth="1"/>
    <col min="13829" max="13829" width="9.75" style="2976" customWidth="1"/>
    <col min="13830" max="13830" width="10" style="2976" customWidth="1"/>
    <col min="13831" max="13831" width="9.375" style="2976" customWidth="1"/>
    <col min="13832" max="13832" width="10.625" style="2976" customWidth="1"/>
    <col min="13833" max="13833" width="10.75" style="2976" customWidth="1"/>
    <col min="13834" max="13834" width="10.625" style="2976" customWidth="1"/>
    <col min="13835" max="13835" width="9.125" style="2976" customWidth="1"/>
    <col min="13836" max="13836" width="13.75" style="2976" customWidth="1"/>
    <col min="13837" max="13837" width="11.5" style="2976" customWidth="1"/>
    <col min="13838" max="13838" width="10.375" style="2976" customWidth="1"/>
    <col min="13839" max="13839" width="13.75" style="2976" customWidth="1"/>
    <col min="13840" max="13840" width="10" style="2976" customWidth="1"/>
    <col min="13841" max="13841" width="11.75" style="2976" customWidth="1"/>
    <col min="13842" max="13842" width="11.375" style="2976" customWidth="1"/>
    <col min="13843" max="13844" width="13.125" style="2976" customWidth="1"/>
    <col min="13845" max="14081" width="8" style="2976"/>
    <col min="14082" max="14082" width="7.25" style="2976" customWidth="1"/>
    <col min="14083" max="14083" width="10.25" style="2976" customWidth="1"/>
    <col min="14084" max="14084" width="10.125" style="2976" customWidth="1"/>
    <col min="14085" max="14085" width="9.75" style="2976" customWidth="1"/>
    <col min="14086" max="14086" width="10" style="2976" customWidth="1"/>
    <col min="14087" max="14087" width="9.375" style="2976" customWidth="1"/>
    <col min="14088" max="14088" width="10.625" style="2976" customWidth="1"/>
    <col min="14089" max="14089" width="10.75" style="2976" customWidth="1"/>
    <col min="14090" max="14090" width="10.625" style="2976" customWidth="1"/>
    <col min="14091" max="14091" width="9.125" style="2976" customWidth="1"/>
    <col min="14092" max="14092" width="13.75" style="2976" customWidth="1"/>
    <col min="14093" max="14093" width="11.5" style="2976" customWidth="1"/>
    <col min="14094" max="14094" width="10.375" style="2976" customWidth="1"/>
    <col min="14095" max="14095" width="13.75" style="2976" customWidth="1"/>
    <col min="14096" max="14096" width="10" style="2976" customWidth="1"/>
    <col min="14097" max="14097" width="11.75" style="2976" customWidth="1"/>
    <col min="14098" max="14098" width="11.375" style="2976" customWidth="1"/>
    <col min="14099" max="14100" width="13.125" style="2976" customWidth="1"/>
    <col min="14101" max="14337" width="8" style="2976"/>
    <col min="14338" max="14338" width="7.25" style="2976" customWidth="1"/>
    <col min="14339" max="14339" width="10.25" style="2976" customWidth="1"/>
    <col min="14340" max="14340" width="10.125" style="2976" customWidth="1"/>
    <col min="14341" max="14341" width="9.75" style="2976" customWidth="1"/>
    <col min="14342" max="14342" width="10" style="2976" customWidth="1"/>
    <col min="14343" max="14343" width="9.375" style="2976" customWidth="1"/>
    <col min="14344" max="14344" width="10.625" style="2976" customWidth="1"/>
    <col min="14345" max="14345" width="10.75" style="2976" customWidth="1"/>
    <col min="14346" max="14346" width="10.625" style="2976" customWidth="1"/>
    <col min="14347" max="14347" width="9.125" style="2976" customWidth="1"/>
    <col min="14348" max="14348" width="13.75" style="2976" customWidth="1"/>
    <col min="14349" max="14349" width="11.5" style="2976" customWidth="1"/>
    <col min="14350" max="14350" width="10.375" style="2976" customWidth="1"/>
    <col min="14351" max="14351" width="13.75" style="2976" customWidth="1"/>
    <col min="14352" max="14352" width="10" style="2976" customWidth="1"/>
    <col min="14353" max="14353" width="11.75" style="2976" customWidth="1"/>
    <col min="14354" max="14354" width="11.375" style="2976" customWidth="1"/>
    <col min="14355" max="14356" width="13.125" style="2976" customWidth="1"/>
    <col min="14357" max="14593" width="8" style="2976"/>
    <col min="14594" max="14594" width="7.25" style="2976" customWidth="1"/>
    <col min="14595" max="14595" width="10.25" style="2976" customWidth="1"/>
    <col min="14596" max="14596" width="10.125" style="2976" customWidth="1"/>
    <col min="14597" max="14597" width="9.75" style="2976" customWidth="1"/>
    <col min="14598" max="14598" width="10" style="2976" customWidth="1"/>
    <col min="14599" max="14599" width="9.375" style="2976" customWidth="1"/>
    <col min="14600" max="14600" width="10.625" style="2976" customWidth="1"/>
    <col min="14601" max="14601" width="10.75" style="2976" customWidth="1"/>
    <col min="14602" max="14602" width="10.625" style="2976" customWidth="1"/>
    <col min="14603" max="14603" width="9.125" style="2976" customWidth="1"/>
    <col min="14604" max="14604" width="13.75" style="2976" customWidth="1"/>
    <col min="14605" max="14605" width="11.5" style="2976" customWidth="1"/>
    <col min="14606" max="14606" width="10.375" style="2976" customWidth="1"/>
    <col min="14607" max="14607" width="13.75" style="2976" customWidth="1"/>
    <col min="14608" max="14608" width="10" style="2976" customWidth="1"/>
    <col min="14609" max="14609" width="11.75" style="2976" customWidth="1"/>
    <col min="14610" max="14610" width="11.375" style="2976" customWidth="1"/>
    <col min="14611" max="14612" width="13.125" style="2976" customWidth="1"/>
    <col min="14613" max="14849" width="8" style="2976"/>
    <col min="14850" max="14850" width="7.25" style="2976" customWidth="1"/>
    <col min="14851" max="14851" width="10.25" style="2976" customWidth="1"/>
    <col min="14852" max="14852" width="10.125" style="2976" customWidth="1"/>
    <col min="14853" max="14853" width="9.75" style="2976" customWidth="1"/>
    <col min="14854" max="14854" width="10" style="2976" customWidth="1"/>
    <col min="14855" max="14855" width="9.375" style="2976" customWidth="1"/>
    <col min="14856" max="14856" width="10.625" style="2976" customWidth="1"/>
    <col min="14857" max="14857" width="10.75" style="2976" customWidth="1"/>
    <col min="14858" max="14858" width="10.625" style="2976" customWidth="1"/>
    <col min="14859" max="14859" width="9.125" style="2976" customWidth="1"/>
    <col min="14860" max="14860" width="13.75" style="2976" customWidth="1"/>
    <col min="14861" max="14861" width="11.5" style="2976" customWidth="1"/>
    <col min="14862" max="14862" width="10.375" style="2976" customWidth="1"/>
    <col min="14863" max="14863" width="13.75" style="2976" customWidth="1"/>
    <col min="14864" max="14864" width="10" style="2976" customWidth="1"/>
    <col min="14865" max="14865" width="11.75" style="2976" customWidth="1"/>
    <col min="14866" max="14866" width="11.375" style="2976" customWidth="1"/>
    <col min="14867" max="14868" width="13.125" style="2976" customWidth="1"/>
    <col min="14869" max="15105" width="8" style="2976"/>
    <col min="15106" max="15106" width="7.25" style="2976" customWidth="1"/>
    <col min="15107" max="15107" width="10.25" style="2976" customWidth="1"/>
    <col min="15108" max="15108" width="10.125" style="2976" customWidth="1"/>
    <col min="15109" max="15109" width="9.75" style="2976" customWidth="1"/>
    <col min="15110" max="15110" width="10" style="2976" customWidth="1"/>
    <col min="15111" max="15111" width="9.375" style="2976" customWidth="1"/>
    <col min="15112" max="15112" width="10.625" style="2976" customWidth="1"/>
    <col min="15113" max="15113" width="10.75" style="2976" customWidth="1"/>
    <col min="15114" max="15114" width="10.625" style="2976" customWidth="1"/>
    <col min="15115" max="15115" width="9.125" style="2976" customWidth="1"/>
    <col min="15116" max="15116" width="13.75" style="2976" customWidth="1"/>
    <col min="15117" max="15117" width="11.5" style="2976" customWidth="1"/>
    <col min="15118" max="15118" width="10.375" style="2976" customWidth="1"/>
    <col min="15119" max="15119" width="13.75" style="2976" customWidth="1"/>
    <col min="15120" max="15120" width="10" style="2976" customWidth="1"/>
    <col min="15121" max="15121" width="11.75" style="2976" customWidth="1"/>
    <col min="15122" max="15122" width="11.375" style="2976" customWidth="1"/>
    <col min="15123" max="15124" width="13.125" style="2976" customWidth="1"/>
    <col min="15125" max="15361" width="8" style="2976"/>
    <col min="15362" max="15362" width="7.25" style="2976" customWidth="1"/>
    <col min="15363" max="15363" width="10.25" style="2976" customWidth="1"/>
    <col min="15364" max="15364" width="10.125" style="2976" customWidth="1"/>
    <col min="15365" max="15365" width="9.75" style="2976" customWidth="1"/>
    <col min="15366" max="15366" width="10" style="2976" customWidth="1"/>
    <col min="15367" max="15367" width="9.375" style="2976" customWidth="1"/>
    <col min="15368" max="15368" width="10.625" style="2976" customWidth="1"/>
    <col min="15369" max="15369" width="10.75" style="2976" customWidth="1"/>
    <col min="15370" max="15370" width="10.625" style="2976" customWidth="1"/>
    <col min="15371" max="15371" width="9.125" style="2976" customWidth="1"/>
    <col min="15372" max="15372" width="13.75" style="2976" customWidth="1"/>
    <col min="15373" max="15373" width="11.5" style="2976" customWidth="1"/>
    <col min="15374" max="15374" width="10.375" style="2976" customWidth="1"/>
    <col min="15375" max="15375" width="13.75" style="2976" customWidth="1"/>
    <col min="15376" max="15376" width="10" style="2976" customWidth="1"/>
    <col min="15377" max="15377" width="11.75" style="2976" customWidth="1"/>
    <col min="15378" max="15378" width="11.375" style="2976" customWidth="1"/>
    <col min="15379" max="15380" width="13.125" style="2976" customWidth="1"/>
    <col min="15381" max="15617" width="8" style="2976"/>
    <col min="15618" max="15618" width="7.25" style="2976" customWidth="1"/>
    <col min="15619" max="15619" width="10.25" style="2976" customWidth="1"/>
    <col min="15620" max="15620" width="10.125" style="2976" customWidth="1"/>
    <col min="15621" max="15621" width="9.75" style="2976" customWidth="1"/>
    <col min="15622" max="15622" width="10" style="2976" customWidth="1"/>
    <col min="15623" max="15623" width="9.375" style="2976" customWidth="1"/>
    <col min="15624" max="15624" width="10.625" style="2976" customWidth="1"/>
    <col min="15625" max="15625" width="10.75" style="2976" customWidth="1"/>
    <col min="15626" max="15626" width="10.625" style="2976" customWidth="1"/>
    <col min="15627" max="15627" width="9.125" style="2976" customWidth="1"/>
    <col min="15628" max="15628" width="13.75" style="2976" customWidth="1"/>
    <col min="15629" max="15629" width="11.5" style="2976" customWidth="1"/>
    <col min="15630" max="15630" width="10.375" style="2976" customWidth="1"/>
    <col min="15631" max="15631" width="13.75" style="2976" customWidth="1"/>
    <col min="15632" max="15632" width="10" style="2976" customWidth="1"/>
    <col min="15633" max="15633" width="11.75" style="2976" customWidth="1"/>
    <col min="15634" max="15634" width="11.375" style="2976" customWidth="1"/>
    <col min="15635" max="15636" width="13.125" style="2976" customWidth="1"/>
    <col min="15637" max="15873" width="8" style="2976"/>
    <col min="15874" max="15874" width="7.25" style="2976" customWidth="1"/>
    <col min="15875" max="15875" width="10.25" style="2976" customWidth="1"/>
    <col min="15876" max="15876" width="10.125" style="2976" customWidth="1"/>
    <col min="15877" max="15877" width="9.75" style="2976" customWidth="1"/>
    <col min="15878" max="15878" width="10" style="2976" customWidth="1"/>
    <col min="15879" max="15879" width="9.375" style="2976" customWidth="1"/>
    <col min="15880" max="15880" width="10.625" style="2976" customWidth="1"/>
    <col min="15881" max="15881" width="10.75" style="2976" customWidth="1"/>
    <col min="15882" max="15882" width="10.625" style="2976" customWidth="1"/>
    <col min="15883" max="15883" width="9.125" style="2976" customWidth="1"/>
    <col min="15884" max="15884" width="13.75" style="2976" customWidth="1"/>
    <col min="15885" max="15885" width="11.5" style="2976" customWidth="1"/>
    <col min="15886" max="15886" width="10.375" style="2976" customWidth="1"/>
    <col min="15887" max="15887" width="13.75" style="2976" customWidth="1"/>
    <col min="15888" max="15888" width="10" style="2976" customWidth="1"/>
    <col min="15889" max="15889" width="11.75" style="2976" customWidth="1"/>
    <col min="15890" max="15890" width="11.375" style="2976" customWidth="1"/>
    <col min="15891" max="15892" width="13.125" style="2976" customWidth="1"/>
    <col min="15893" max="16129" width="8" style="2976"/>
    <col min="16130" max="16130" width="7.25" style="2976" customWidth="1"/>
    <col min="16131" max="16131" width="10.25" style="2976" customWidth="1"/>
    <col min="16132" max="16132" width="10.125" style="2976" customWidth="1"/>
    <col min="16133" max="16133" width="9.75" style="2976" customWidth="1"/>
    <col min="16134" max="16134" width="10" style="2976" customWidth="1"/>
    <col min="16135" max="16135" width="9.375" style="2976" customWidth="1"/>
    <col min="16136" max="16136" width="10.625" style="2976" customWidth="1"/>
    <col min="16137" max="16137" width="10.75" style="2976" customWidth="1"/>
    <col min="16138" max="16138" width="10.625" style="2976" customWidth="1"/>
    <col min="16139" max="16139" width="9.125" style="2976" customWidth="1"/>
    <col min="16140" max="16140" width="13.75" style="2976" customWidth="1"/>
    <col min="16141" max="16141" width="11.5" style="2976" customWidth="1"/>
    <col min="16142" max="16142" width="10.375" style="2976" customWidth="1"/>
    <col min="16143" max="16143" width="13.75" style="2976" customWidth="1"/>
    <col min="16144" max="16144" width="10" style="2976" customWidth="1"/>
    <col min="16145" max="16145" width="11.75" style="2976" customWidth="1"/>
    <col min="16146" max="16146" width="11.375" style="2976" customWidth="1"/>
    <col min="16147" max="16148" width="13.125" style="2976" customWidth="1"/>
    <col min="16149" max="16384" width="8" style="2976"/>
  </cols>
  <sheetData>
    <row r="3" spans="1:21" ht="33" customHeight="1">
      <c r="A3" s="3326" t="s">
        <v>3069</v>
      </c>
      <c r="B3" s="3326"/>
      <c r="C3" s="3326"/>
      <c r="D3" s="3326"/>
      <c r="E3" s="3326"/>
      <c r="F3" s="3326"/>
      <c r="G3" s="3326"/>
      <c r="H3" s="3326"/>
      <c r="I3" s="3326"/>
      <c r="J3" s="3326"/>
      <c r="K3" s="3326"/>
      <c r="L3" s="3326"/>
      <c r="M3" s="3326"/>
      <c r="N3" s="3326"/>
      <c r="O3" s="3326"/>
      <c r="P3" s="3326"/>
      <c r="Q3" s="3326"/>
      <c r="R3" s="3326"/>
      <c r="S3" s="3326"/>
      <c r="T3" s="2956"/>
    </row>
    <row r="6" spans="1:21" s="2959" customFormat="1" ht="20.100000000000001" customHeight="1">
      <c r="A6" s="3327" t="s">
        <v>3070</v>
      </c>
      <c r="B6" s="3327" t="s">
        <v>3071</v>
      </c>
      <c r="C6" s="3329" t="s">
        <v>3072</v>
      </c>
      <c r="D6" s="3330"/>
      <c r="E6" s="3330"/>
      <c r="F6" s="3330"/>
      <c r="G6" s="3330"/>
      <c r="H6" s="3330"/>
      <c r="I6" s="3330"/>
      <c r="J6" s="3330"/>
      <c r="K6" s="3330"/>
      <c r="L6" s="3330"/>
      <c r="M6" s="3330"/>
      <c r="N6" s="3330"/>
      <c r="O6" s="3330"/>
      <c r="P6" s="3330"/>
      <c r="Q6" s="3330"/>
      <c r="R6" s="3331"/>
      <c r="S6" s="3332" t="s">
        <v>3073</v>
      </c>
      <c r="T6" s="3333"/>
      <c r="U6" s="2958"/>
    </row>
    <row r="7" spans="1:21" s="2959" customFormat="1" ht="57" customHeight="1">
      <c r="A7" s="3328"/>
      <c r="B7" s="3328"/>
      <c r="C7" s="2960" t="s">
        <v>3074</v>
      </c>
      <c r="D7" s="2960" t="s">
        <v>3075</v>
      </c>
      <c r="E7" s="2960" t="s">
        <v>3076</v>
      </c>
      <c r="F7" s="2960" t="s">
        <v>3077</v>
      </c>
      <c r="G7" s="2960" t="s">
        <v>3078</v>
      </c>
      <c r="H7" s="2960" t="s">
        <v>3079</v>
      </c>
      <c r="I7" s="2960" t="s">
        <v>3080</v>
      </c>
      <c r="J7" s="2960" t="s">
        <v>3081</v>
      </c>
      <c r="K7" s="2960" t="s">
        <v>3082</v>
      </c>
      <c r="L7" s="2960" t="s">
        <v>3083</v>
      </c>
      <c r="M7" s="2960" t="s">
        <v>3084</v>
      </c>
      <c r="N7" s="2960" t="s">
        <v>3085</v>
      </c>
      <c r="O7" s="2960" t="s">
        <v>3086</v>
      </c>
      <c r="P7" s="2960" t="s">
        <v>3087</v>
      </c>
      <c r="Q7" s="2960" t="s">
        <v>3088</v>
      </c>
      <c r="R7" s="2960" t="s">
        <v>40</v>
      </c>
      <c r="S7" s="2961" t="s">
        <v>3089</v>
      </c>
      <c r="T7" s="2960" t="s">
        <v>3090</v>
      </c>
      <c r="U7" s="2958"/>
    </row>
    <row r="8" spans="1:21" ht="20.100000000000001" customHeight="1">
      <c r="A8" s="2962" t="s">
        <v>3091</v>
      </c>
      <c r="B8" s="2963">
        <v>-2</v>
      </c>
      <c r="C8" s="2964" t="s">
        <v>3092</v>
      </c>
      <c r="D8" s="2964" t="s">
        <v>3092</v>
      </c>
      <c r="E8" s="2964" t="s">
        <v>3092</v>
      </c>
      <c r="F8" s="2964" t="s">
        <v>3092</v>
      </c>
      <c r="G8" s="2964" t="s">
        <v>3092</v>
      </c>
      <c r="H8" s="2964" t="s">
        <v>3092</v>
      </c>
      <c r="I8" s="2965">
        <v>1865.68</v>
      </c>
      <c r="J8" s="2965">
        <v>2955.29</v>
      </c>
      <c r="K8" s="2965"/>
      <c r="L8" s="2964" t="s">
        <v>3092</v>
      </c>
      <c r="M8" s="2964">
        <v>5412.29</v>
      </c>
      <c r="N8" s="2964" t="s">
        <v>3092</v>
      </c>
      <c r="O8" s="2964" t="s">
        <v>3092</v>
      </c>
      <c r="P8" s="2964"/>
      <c r="Q8" s="2966">
        <v>221.66</v>
      </c>
      <c r="R8" s="2965">
        <f t="shared" ref="R8:R24" si="0">SUM(C8:Q8)</f>
        <v>10454.92</v>
      </c>
      <c r="S8" s="2967">
        <f>J8</f>
        <v>2955.29</v>
      </c>
      <c r="T8" s="2962"/>
      <c r="U8" s="2968"/>
    </row>
    <row r="9" spans="1:21" s="2989" customFormat="1" ht="20.100000000000001" customHeight="1">
      <c r="A9" s="2984" t="s">
        <v>3091</v>
      </c>
      <c r="B9" s="2985">
        <v>-1</v>
      </c>
      <c r="C9" s="2986">
        <v>1008.96</v>
      </c>
      <c r="D9" s="2987" t="s">
        <v>3092</v>
      </c>
      <c r="E9" s="2987" t="s">
        <v>3092</v>
      </c>
      <c r="F9" s="2987" t="s">
        <v>3092</v>
      </c>
      <c r="G9" s="2987" t="s">
        <v>3092</v>
      </c>
      <c r="H9" s="2987" t="s">
        <v>3092</v>
      </c>
      <c r="I9" s="2987" t="s">
        <v>3092</v>
      </c>
      <c r="J9" s="2988">
        <v>250.38</v>
      </c>
      <c r="K9" s="2987">
        <v>1238.2</v>
      </c>
      <c r="L9" s="2987" t="s">
        <v>3092</v>
      </c>
      <c r="M9" s="2987">
        <f>1060.7+13.92+3370.37</f>
        <v>4444.99</v>
      </c>
      <c r="N9" s="2988">
        <v>2061.38</v>
      </c>
      <c r="O9" s="2987" t="s">
        <v>3092</v>
      </c>
      <c r="P9" s="2987"/>
      <c r="Q9" s="2986">
        <v>2326.23</v>
      </c>
      <c r="R9" s="2988">
        <f t="shared" si="0"/>
        <v>11330.14</v>
      </c>
      <c r="S9" s="2988">
        <f>1008.96+J9</f>
        <v>1259.3400000000001</v>
      </c>
      <c r="T9" s="2984"/>
      <c r="U9" s="2990">
        <f>J9+K9+M9+Q9</f>
        <v>8259.7999999999993</v>
      </c>
    </row>
    <row r="10" spans="1:21" s="2989" customFormat="1" ht="20.100000000000001" customHeight="1">
      <c r="A10" s="2984" t="s">
        <v>3093</v>
      </c>
      <c r="B10" s="2985">
        <v>-1</v>
      </c>
      <c r="C10" s="2987" t="s">
        <v>3092</v>
      </c>
      <c r="D10" s="2987" t="s">
        <v>3092</v>
      </c>
      <c r="E10" s="2987" t="s">
        <v>3092</v>
      </c>
      <c r="F10" s="2987" t="s">
        <v>3092</v>
      </c>
      <c r="G10" s="2988"/>
      <c r="H10" s="2987" t="s">
        <v>3092</v>
      </c>
      <c r="I10" s="2987" t="s">
        <v>3092</v>
      </c>
      <c r="J10" s="2987" t="s">
        <v>3092</v>
      </c>
      <c r="K10" s="2987"/>
      <c r="L10" s="2988">
        <v>1509.8</v>
      </c>
      <c r="M10" s="2988"/>
      <c r="N10" s="2987" t="s">
        <v>3092</v>
      </c>
      <c r="O10" s="2987" t="s">
        <v>3092</v>
      </c>
      <c r="P10" s="2987">
        <v>59.74</v>
      </c>
      <c r="Q10" s="2987" t="s">
        <v>3092</v>
      </c>
      <c r="R10" s="2988">
        <f t="shared" si="0"/>
        <v>1569.54</v>
      </c>
      <c r="S10" s="2988">
        <f>P10</f>
        <v>59.74</v>
      </c>
      <c r="T10" s="2984"/>
      <c r="U10" s="2990">
        <f>L10+P10</f>
        <v>1569.54</v>
      </c>
    </row>
    <row r="11" spans="1:21" s="2989" customFormat="1" ht="20.100000000000001" customHeight="1">
      <c r="A11" s="2984" t="s">
        <v>3094</v>
      </c>
      <c r="B11" s="2985">
        <v>1</v>
      </c>
      <c r="C11" s="2988">
        <v>3717.54</v>
      </c>
      <c r="D11" s="2987" t="s">
        <v>3092</v>
      </c>
      <c r="E11" s="2987" t="s">
        <v>3092</v>
      </c>
      <c r="F11" s="2987" t="s">
        <v>3092</v>
      </c>
      <c r="G11" s="2987" t="s">
        <v>3092</v>
      </c>
      <c r="H11" s="2987" t="s">
        <v>3092</v>
      </c>
      <c r="I11" s="2987" t="s">
        <v>3092</v>
      </c>
      <c r="J11" s="2987" t="s">
        <v>3092</v>
      </c>
      <c r="K11" s="2987"/>
      <c r="L11" s="2987" t="s">
        <v>3092</v>
      </c>
      <c r="M11" s="2987"/>
      <c r="N11" s="2987" t="s">
        <v>3092</v>
      </c>
      <c r="O11" s="2988">
        <v>1616.49</v>
      </c>
      <c r="P11" s="2988"/>
      <c r="Q11" s="2988">
        <v>492.06</v>
      </c>
      <c r="R11" s="2988">
        <f t="shared" si="0"/>
        <v>5826.09</v>
      </c>
      <c r="S11" s="2988">
        <v>3717.54</v>
      </c>
      <c r="T11" s="2984"/>
      <c r="U11" s="2990">
        <f>O11+Q11</f>
        <v>2108.5500000000002</v>
      </c>
    </row>
    <row r="12" spans="1:21" s="2989" customFormat="1" ht="20.100000000000001" customHeight="1">
      <c r="A12" s="2984" t="s">
        <v>3095</v>
      </c>
      <c r="B12" s="2985">
        <v>2</v>
      </c>
      <c r="C12" s="2988">
        <v>2967.28</v>
      </c>
      <c r="D12" s="2987" t="s">
        <v>3092</v>
      </c>
      <c r="E12" s="2987" t="s">
        <v>3092</v>
      </c>
      <c r="F12" s="2987" t="s">
        <v>3092</v>
      </c>
      <c r="G12" s="2987" t="s">
        <v>3092</v>
      </c>
      <c r="H12" s="2987" t="s">
        <v>3092</v>
      </c>
      <c r="I12" s="2987" t="s">
        <v>3092</v>
      </c>
      <c r="J12" s="2987" t="s">
        <v>3092</v>
      </c>
      <c r="K12" s="2987"/>
      <c r="L12" s="2987" t="s">
        <v>3092</v>
      </c>
      <c r="M12" s="2987"/>
      <c r="N12" s="2987" t="s">
        <v>3092</v>
      </c>
      <c r="O12" s="2988">
        <v>2024.9</v>
      </c>
      <c r="P12" s="2988"/>
      <c r="Q12" s="2988">
        <v>7.37</v>
      </c>
      <c r="R12" s="2988">
        <f t="shared" si="0"/>
        <v>4999.55</v>
      </c>
      <c r="S12" s="2988">
        <v>2967.28</v>
      </c>
      <c r="T12" s="2984"/>
      <c r="U12" s="2990">
        <f t="shared" ref="U12:U15" si="1">O12+Q12</f>
        <v>2032.27</v>
      </c>
    </row>
    <row r="13" spans="1:21" s="2989" customFormat="1" ht="20.100000000000001" customHeight="1">
      <c r="A13" s="2984" t="s">
        <v>3096</v>
      </c>
      <c r="B13" s="2985">
        <v>3</v>
      </c>
      <c r="C13" s="2988">
        <v>3071.18</v>
      </c>
      <c r="D13" s="2987" t="s">
        <v>3092</v>
      </c>
      <c r="E13" s="2987" t="s">
        <v>3092</v>
      </c>
      <c r="F13" s="2987" t="s">
        <v>3092</v>
      </c>
      <c r="G13" s="2987" t="s">
        <v>3092</v>
      </c>
      <c r="H13" s="2987" t="s">
        <v>3092</v>
      </c>
      <c r="I13" s="2987" t="s">
        <v>3092</v>
      </c>
      <c r="J13" s="2987" t="s">
        <v>3092</v>
      </c>
      <c r="K13" s="2987"/>
      <c r="L13" s="2987" t="s">
        <v>3092</v>
      </c>
      <c r="M13" s="2987"/>
      <c r="N13" s="2987" t="s">
        <v>3092</v>
      </c>
      <c r="O13" s="2988">
        <v>2048.61</v>
      </c>
      <c r="P13" s="2988"/>
      <c r="Q13" s="2988">
        <v>7.37</v>
      </c>
      <c r="R13" s="2988">
        <f t="shared" si="0"/>
        <v>5127.16</v>
      </c>
      <c r="S13" s="2988">
        <v>3071.18</v>
      </c>
      <c r="T13" s="2984"/>
      <c r="U13" s="2990">
        <f t="shared" si="1"/>
        <v>2055.98</v>
      </c>
    </row>
    <row r="14" spans="1:21" s="2989" customFormat="1" ht="20.100000000000001" customHeight="1">
      <c r="A14" s="2984" t="s">
        <v>3097</v>
      </c>
      <c r="B14" s="2985">
        <v>4</v>
      </c>
      <c r="C14" s="2988">
        <v>641.66999999999996</v>
      </c>
      <c r="D14" s="2987" t="s">
        <v>3092</v>
      </c>
      <c r="E14" s="2988">
        <v>2436.63</v>
      </c>
      <c r="F14" s="2987" t="s">
        <v>3092</v>
      </c>
      <c r="G14" s="2987" t="s">
        <v>3092</v>
      </c>
      <c r="H14" s="2987" t="s">
        <v>3092</v>
      </c>
      <c r="I14" s="2987" t="s">
        <v>3092</v>
      </c>
      <c r="J14" s="2987" t="s">
        <v>3092</v>
      </c>
      <c r="K14" s="2987"/>
      <c r="L14" s="2987" t="s">
        <v>3092</v>
      </c>
      <c r="M14" s="2987"/>
      <c r="N14" s="2987" t="s">
        <v>3092</v>
      </c>
      <c r="O14" s="2988">
        <v>2044.38</v>
      </c>
      <c r="P14" s="2988"/>
      <c r="Q14" s="2988">
        <v>7.37</v>
      </c>
      <c r="R14" s="2988">
        <f t="shared" si="0"/>
        <v>5130.05</v>
      </c>
      <c r="S14" s="2988">
        <f>C14</f>
        <v>641.66999999999996</v>
      </c>
      <c r="T14" s="2984"/>
      <c r="U14" s="2990">
        <f t="shared" si="1"/>
        <v>2051.75</v>
      </c>
    </row>
    <row r="15" spans="1:21" s="2989" customFormat="1" ht="20.100000000000001" customHeight="1">
      <c r="A15" s="2984" t="s">
        <v>3098</v>
      </c>
      <c r="B15" s="2985">
        <v>5</v>
      </c>
      <c r="C15" s="2987" t="s">
        <v>3092</v>
      </c>
      <c r="D15" s="2987" t="s">
        <v>3092</v>
      </c>
      <c r="E15" s="2988">
        <v>1255.3399999999999</v>
      </c>
      <c r="F15" s="2988">
        <v>1469.21</v>
      </c>
      <c r="G15" s="2988">
        <v>689.56</v>
      </c>
      <c r="H15" s="2987" t="s">
        <v>3092</v>
      </c>
      <c r="I15" s="2987" t="s">
        <v>3092</v>
      </c>
      <c r="J15" s="2987" t="s">
        <v>3092</v>
      </c>
      <c r="K15" s="2987"/>
      <c r="L15" s="2987" t="s">
        <v>3092</v>
      </c>
      <c r="M15" s="2987"/>
      <c r="N15" s="2987" t="s">
        <v>3092</v>
      </c>
      <c r="O15" s="2988">
        <v>2293.2800000000002</v>
      </c>
      <c r="P15" s="2988"/>
      <c r="Q15" s="2988">
        <v>7.37</v>
      </c>
      <c r="R15" s="2988">
        <f t="shared" si="0"/>
        <v>5714.76</v>
      </c>
      <c r="S15" s="2988"/>
      <c r="T15" s="2984"/>
      <c r="U15" s="2990">
        <f t="shared" si="1"/>
        <v>2300.65</v>
      </c>
    </row>
    <row r="16" spans="1:21" ht="20.100000000000001" customHeight="1">
      <c r="A16" s="2962" t="s">
        <v>3099</v>
      </c>
      <c r="B16" s="2963">
        <v>6</v>
      </c>
      <c r="C16" s="2964" t="s">
        <v>3092</v>
      </c>
      <c r="D16" s="2965">
        <v>861.46</v>
      </c>
      <c r="E16" s="2964" t="s">
        <v>3092</v>
      </c>
      <c r="F16" s="2964" t="s">
        <v>3092</v>
      </c>
      <c r="G16" s="2964" t="s">
        <v>3092</v>
      </c>
      <c r="H16" s="2965">
        <v>1535.53</v>
      </c>
      <c r="I16" s="2964" t="s">
        <v>3092</v>
      </c>
      <c r="J16" s="2964" t="s">
        <v>3092</v>
      </c>
      <c r="K16" s="2964"/>
      <c r="L16" s="2964" t="s">
        <v>3092</v>
      </c>
      <c r="M16" s="2964"/>
      <c r="N16" s="2964" t="s">
        <v>3092</v>
      </c>
      <c r="O16" s="2964" t="s">
        <v>3092</v>
      </c>
      <c r="P16" s="2964"/>
      <c r="Q16" s="2965">
        <v>8.5</v>
      </c>
      <c r="R16" s="2965">
        <f t="shared" si="0"/>
        <v>2405.4899999999998</v>
      </c>
      <c r="S16" s="2967">
        <v>861.46</v>
      </c>
      <c r="T16" s="2962"/>
      <c r="U16" s="2968"/>
    </row>
    <row r="17" spans="1:21" ht="20.100000000000001" customHeight="1">
      <c r="A17" s="2962" t="s">
        <v>3100</v>
      </c>
      <c r="B17" s="2963">
        <v>7</v>
      </c>
      <c r="C17" s="2964" t="s">
        <v>3092</v>
      </c>
      <c r="D17" s="2965">
        <v>945.14</v>
      </c>
      <c r="E17" s="2964" t="s">
        <v>3092</v>
      </c>
      <c r="F17" s="2964" t="s">
        <v>3092</v>
      </c>
      <c r="G17" s="2964" t="s">
        <v>3092</v>
      </c>
      <c r="H17" s="2964" t="s">
        <v>3092</v>
      </c>
      <c r="I17" s="2964" t="s">
        <v>3092</v>
      </c>
      <c r="J17" s="2964" t="s">
        <v>3092</v>
      </c>
      <c r="K17" s="2964"/>
      <c r="L17" s="2964" t="s">
        <v>3092</v>
      </c>
      <c r="M17" s="2964"/>
      <c r="N17" s="2964" t="s">
        <v>3092</v>
      </c>
      <c r="O17" s="2964" t="s">
        <v>3092</v>
      </c>
      <c r="P17" s="2964"/>
      <c r="Q17" s="2964" t="s">
        <v>3092</v>
      </c>
      <c r="R17" s="2965">
        <f t="shared" si="0"/>
        <v>945.14</v>
      </c>
      <c r="S17" s="2967">
        <v>945.14</v>
      </c>
      <c r="T17" s="2962"/>
      <c r="U17" s="2968"/>
    </row>
    <row r="18" spans="1:21" ht="20.100000000000001" customHeight="1">
      <c r="A18" s="2962" t="s">
        <v>3101</v>
      </c>
      <c r="B18" s="2963">
        <v>8</v>
      </c>
      <c r="C18" s="2964" t="s">
        <v>3092</v>
      </c>
      <c r="D18" s="2965">
        <v>1273.92</v>
      </c>
      <c r="E18" s="2964" t="s">
        <v>3092</v>
      </c>
      <c r="F18" s="2964" t="s">
        <v>3092</v>
      </c>
      <c r="G18" s="2964" t="s">
        <v>3092</v>
      </c>
      <c r="H18" s="2964" t="s">
        <v>3092</v>
      </c>
      <c r="I18" s="2964" t="s">
        <v>3092</v>
      </c>
      <c r="J18" s="2964" t="s">
        <v>3092</v>
      </c>
      <c r="K18" s="2964"/>
      <c r="L18" s="2964" t="s">
        <v>3092</v>
      </c>
      <c r="M18" s="2964"/>
      <c r="N18" s="2964" t="s">
        <v>3092</v>
      </c>
      <c r="O18" s="2964" t="s">
        <v>3092</v>
      </c>
      <c r="P18" s="2964"/>
      <c r="Q18" s="2964" t="s">
        <v>3092</v>
      </c>
      <c r="R18" s="2965">
        <f t="shared" si="0"/>
        <v>1273.92</v>
      </c>
      <c r="S18" s="2967">
        <v>1273.92</v>
      </c>
      <c r="T18" s="2962"/>
      <c r="U18" s="2968"/>
    </row>
    <row r="19" spans="1:21" ht="20.100000000000001" customHeight="1">
      <c r="A19" s="2962" t="s">
        <v>3102</v>
      </c>
      <c r="B19" s="2963">
        <v>9</v>
      </c>
      <c r="C19" s="2964" t="s">
        <v>3092</v>
      </c>
      <c r="D19" s="2965">
        <v>1273.92</v>
      </c>
      <c r="E19" s="2964" t="s">
        <v>3092</v>
      </c>
      <c r="F19" s="2964" t="s">
        <v>3092</v>
      </c>
      <c r="G19" s="2964" t="s">
        <v>3092</v>
      </c>
      <c r="H19" s="2964" t="s">
        <v>3092</v>
      </c>
      <c r="I19" s="2964" t="s">
        <v>3092</v>
      </c>
      <c r="J19" s="2964" t="s">
        <v>3092</v>
      </c>
      <c r="K19" s="2964"/>
      <c r="L19" s="2964" t="s">
        <v>3092</v>
      </c>
      <c r="M19" s="2964"/>
      <c r="N19" s="2964" t="s">
        <v>3092</v>
      </c>
      <c r="O19" s="2964" t="s">
        <v>3092</v>
      </c>
      <c r="P19" s="2964"/>
      <c r="Q19" s="2964" t="s">
        <v>3092</v>
      </c>
      <c r="R19" s="2965">
        <f t="shared" si="0"/>
        <v>1273.92</v>
      </c>
      <c r="S19" s="2967">
        <v>1273.92</v>
      </c>
      <c r="T19" s="2962"/>
      <c r="U19" s="2968"/>
    </row>
    <row r="20" spans="1:21" ht="20.100000000000001" customHeight="1">
      <c r="A20" s="2962" t="s">
        <v>3103</v>
      </c>
      <c r="B20" s="2963">
        <v>10</v>
      </c>
      <c r="C20" s="2964" t="s">
        <v>3092</v>
      </c>
      <c r="D20" s="2965">
        <v>1273.92</v>
      </c>
      <c r="E20" s="2964" t="s">
        <v>3092</v>
      </c>
      <c r="F20" s="2964" t="s">
        <v>3092</v>
      </c>
      <c r="G20" s="2964" t="s">
        <v>3092</v>
      </c>
      <c r="H20" s="2964" t="s">
        <v>3092</v>
      </c>
      <c r="I20" s="2964" t="s">
        <v>3092</v>
      </c>
      <c r="J20" s="2964" t="s">
        <v>3092</v>
      </c>
      <c r="K20" s="2964"/>
      <c r="L20" s="2964" t="s">
        <v>3092</v>
      </c>
      <c r="M20" s="2964"/>
      <c r="N20" s="2964" t="s">
        <v>3092</v>
      </c>
      <c r="O20" s="2964" t="s">
        <v>3092</v>
      </c>
      <c r="P20" s="2964"/>
      <c r="Q20" s="2964" t="s">
        <v>3092</v>
      </c>
      <c r="R20" s="2965">
        <f t="shared" si="0"/>
        <v>1273.92</v>
      </c>
      <c r="S20" s="2967">
        <v>1273.92</v>
      </c>
      <c r="T20" s="2962"/>
      <c r="U20" s="2968"/>
    </row>
    <row r="21" spans="1:21" ht="20.100000000000001" customHeight="1">
      <c r="A21" s="2962" t="s">
        <v>3104</v>
      </c>
      <c r="B21" s="2963">
        <v>11</v>
      </c>
      <c r="C21" s="2964" t="s">
        <v>3092</v>
      </c>
      <c r="D21" s="2965">
        <v>1273.92</v>
      </c>
      <c r="E21" s="2964" t="s">
        <v>3092</v>
      </c>
      <c r="F21" s="2964" t="s">
        <v>3092</v>
      </c>
      <c r="G21" s="2964" t="s">
        <v>3092</v>
      </c>
      <c r="H21" s="2964" t="s">
        <v>3092</v>
      </c>
      <c r="I21" s="2964" t="s">
        <v>3092</v>
      </c>
      <c r="J21" s="2964" t="s">
        <v>3092</v>
      </c>
      <c r="K21" s="2964"/>
      <c r="L21" s="2964" t="s">
        <v>3092</v>
      </c>
      <c r="M21" s="2964"/>
      <c r="N21" s="2964" t="s">
        <v>3092</v>
      </c>
      <c r="O21" s="2964" t="s">
        <v>3092</v>
      </c>
      <c r="P21" s="2964"/>
      <c r="Q21" s="2964" t="s">
        <v>3092</v>
      </c>
      <c r="R21" s="2965">
        <f t="shared" si="0"/>
        <v>1273.92</v>
      </c>
      <c r="S21" s="2967">
        <v>1273.92</v>
      </c>
      <c r="T21" s="2962"/>
      <c r="U21" s="2968"/>
    </row>
    <row r="22" spans="1:21" ht="20.100000000000001" customHeight="1">
      <c r="A22" s="2962" t="s">
        <v>3105</v>
      </c>
      <c r="B22" s="2963">
        <v>12</v>
      </c>
      <c r="C22" s="2964" t="s">
        <v>3092</v>
      </c>
      <c r="D22" s="2965">
        <v>1273.92</v>
      </c>
      <c r="E22" s="2964" t="s">
        <v>3092</v>
      </c>
      <c r="F22" s="2964" t="s">
        <v>3092</v>
      </c>
      <c r="G22" s="2964" t="s">
        <v>3092</v>
      </c>
      <c r="H22" s="2964" t="s">
        <v>3092</v>
      </c>
      <c r="I22" s="2964" t="s">
        <v>3092</v>
      </c>
      <c r="J22" s="2964" t="s">
        <v>3092</v>
      </c>
      <c r="K22" s="2964"/>
      <c r="L22" s="2964" t="s">
        <v>3092</v>
      </c>
      <c r="M22" s="2964"/>
      <c r="N22" s="2964" t="s">
        <v>3092</v>
      </c>
      <c r="O22" s="2964" t="s">
        <v>3092</v>
      </c>
      <c r="P22" s="2964"/>
      <c r="Q22" s="2964" t="s">
        <v>3092</v>
      </c>
      <c r="R22" s="2965">
        <f t="shared" si="0"/>
        <v>1273.92</v>
      </c>
      <c r="S22" s="2967">
        <v>1273.92</v>
      </c>
      <c r="T22" s="2962"/>
      <c r="U22" s="2968"/>
    </row>
    <row r="23" spans="1:21" ht="20.100000000000001" customHeight="1">
      <c r="A23" s="2962" t="s">
        <v>3106</v>
      </c>
      <c r="B23" s="2963">
        <v>13</v>
      </c>
      <c r="C23" s="2964" t="s">
        <v>3092</v>
      </c>
      <c r="D23" s="2965">
        <f>40.78*24+42.9*4+41.2*3</f>
        <v>1273.9199999999998</v>
      </c>
      <c r="E23" s="2964" t="s">
        <v>3092</v>
      </c>
      <c r="F23" s="2964" t="s">
        <v>3092</v>
      </c>
      <c r="G23" s="2964" t="s">
        <v>3092</v>
      </c>
      <c r="H23" s="2964" t="s">
        <v>3092</v>
      </c>
      <c r="I23" s="2964" t="s">
        <v>3092</v>
      </c>
      <c r="J23" s="2964" t="s">
        <v>3092</v>
      </c>
      <c r="K23" s="2964"/>
      <c r="L23" s="2964" t="s">
        <v>3092</v>
      </c>
      <c r="M23" s="2964"/>
      <c r="N23" s="2964" t="s">
        <v>3092</v>
      </c>
      <c r="O23" s="2964" t="s">
        <v>3092</v>
      </c>
      <c r="P23" s="2964"/>
      <c r="Q23" s="2964" t="s">
        <v>3092</v>
      </c>
      <c r="R23" s="2965">
        <f t="shared" si="0"/>
        <v>1273.9199999999998</v>
      </c>
      <c r="S23" s="2967">
        <f>40.78*24+42.9*4+41.2*3</f>
        <v>1273.9199999999998</v>
      </c>
      <c r="T23" s="2962"/>
      <c r="U23" s="2968"/>
    </row>
    <row r="24" spans="1:21" ht="20.100000000000001" customHeight="1">
      <c r="A24" s="2962" t="s">
        <v>3107</v>
      </c>
      <c r="B24" s="2963" t="s">
        <v>3108</v>
      </c>
      <c r="C24" s="2964" t="s">
        <v>3092</v>
      </c>
      <c r="D24" s="2965"/>
      <c r="E24" s="2964" t="s">
        <v>3092</v>
      </c>
      <c r="F24" s="2964" t="s">
        <v>3092</v>
      </c>
      <c r="G24" s="2964" t="s">
        <v>3092</v>
      </c>
      <c r="H24" s="2964" t="s">
        <v>3092</v>
      </c>
      <c r="I24" s="2964" t="s">
        <v>3092</v>
      </c>
      <c r="J24" s="2964" t="s">
        <v>3092</v>
      </c>
      <c r="K24" s="2964"/>
      <c r="L24" s="2964" t="s">
        <v>3092</v>
      </c>
      <c r="M24" s="2964"/>
      <c r="N24" s="2964" t="s">
        <v>3092</v>
      </c>
      <c r="O24" s="2964" t="s">
        <v>3092</v>
      </c>
      <c r="P24" s="2964"/>
      <c r="Q24" s="2965">
        <v>8.5</v>
      </c>
      <c r="R24" s="2965">
        <f t="shared" si="0"/>
        <v>8.5</v>
      </c>
      <c r="S24" s="2969"/>
      <c r="T24" s="2962"/>
      <c r="U24" s="2968"/>
    </row>
    <row r="25" spans="1:21" ht="30" customHeight="1">
      <c r="A25" s="3324" t="s">
        <v>40</v>
      </c>
      <c r="B25" s="3325"/>
      <c r="C25" s="2970">
        <f t="shared" ref="C25:S25" si="2">SUM(C8:C24)</f>
        <v>11406.630000000001</v>
      </c>
      <c r="D25" s="2970">
        <f t="shared" si="2"/>
        <v>9450.1200000000008</v>
      </c>
      <c r="E25" s="2970">
        <f t="shared" si="2"/>
        <v>3691.9700000000003</v>
      </c>
      <c r="F25" s="2970">
        <f t="shared" si="2"/>
        <v>1469.21</v>
      </c>
      <c r="G25" s="2970">
        <f t="shared" si="2"/>
        <v>689.56</v>
      </c>
      <c r="H25" s="2970">
        <f t="shared" si="2"/>
        <v>1535.53</v>
      </c>
      <c r="I25" s="2970">
        <f t="shared" si="2"/>
        <v>1865.68</v>
      </c>
      <c r="J25" s="2970">
        <f t="shared" si="2"/>
        <v>3205.67</v>
      </c>
      <c r="K25" s="2970">
        <f t="shared" si="2"/>
        <v>1238.2</v>
      </c>
      <c r="L25" s="2970">
        <f t="shared" si="2"/>
        <v>1509.8</v>
      </c>
      <c r="M25" s="2970">
        <f t="shared" si="2"/>
        <v>9857.2799999999988</v>
      </c>
      <c r="N25" s="2970">
        <f t="shared" si="2"/>
        <v>2061.38</v>
      </c>
      <c r="O25" s="2970">
        <f t="shared" si="2"/>
        <v>10027.66</v>
      </c>
      <c r="P25" s="2970">
        <f t="shared" si="2"/>
        <v>59.74</v>
      </c>
      <c r="Q25" s="2970">
        <f t="shared" si="2"/>
        <v>3086.4299999999994</v>
      </c>
      <c r="R25" s="2970">
        <f t="shared" si="2"/>
        <v>61154.859999999986</v>
      </c>
      <c r="S25" s="2971">
        <f t="shared" si="2"/>
        <v>24122.159999999989</v>
      </c>
      <c r="T25" s="2972"/>
      <c r="U25" s="2968"/>
    </row>
    <row r="26" spans="1:21" ht="20.100000000000001" customHeight="1">
      <c r="A26" s="2973"/>
      <c r="B26" s="2973"/>
      <c r="C26" s="2973"/>
      <c r="D26" s="2973"/>
      <c r="E26" s="2973"/>
      <c r="F26" s="2973"/>
      <c r="G26" s="2973"/>
      <c r="H26" s="2973"/>
      <c r="I26" s="2973"/>
      <c r="J26" s="2973"/>
      <c r="K26" s="2973"/>
      <c r="L26" s="2973"/>
      <c r="M26" s="2973"/>
      <c r="N26" s="2973"/>
      <c r="O26" s="2973"/>
      <c r="P26" s="2973"/>
      <c r="Q26" s="2973"/>
      <c r="R26" s="2973"/>
      <c r="S26" s="2973"/>
      <c r="T26" s="2973"/>
      <c r="U26" s="2968"/>
    </row>
    <row r="27" spans="1:21" s="2975" customFormat="1" ht="24.95" customHeight="1">
      <c r="A27" s="2968"/>
      <c r="B27" s="2968" t="s">
        <v>3109</v>
      </c>
      <c r="C27" s="2974" t="s">
        <v>3110</v>
      </c>
      <c r="D27" s="2974" t="s">
        <v>3111</v>
      </c>
      <c r="E27" s="2974" t="s">
        <v>3112</v>
      </c>
      <c r="F27" s="2974" t="s">
        <v>3113</v>
      </c>
      <c r="G27" s="2974" t="s">
        <v>3114</v>
      </c>
      <c r="H27" s="2968"/>
      <c r="I27" s="2968"/>
      <c r="J27" s="2968"/>
      <c r="K27" s="2968"/>
      <c r="L27" s="2968"/>
      <c r="M27" s="2968"/>
      <c r="N27" s="2968"/>
      <c r="O27" s="2968"/>
      <c r="P27" s="2968"/>
      <c r="Q27" s="2968"/>
      <c r="R27" s="2968"/>
      <c r="S27" s="2968"/>
      <c r="T27" s="2968"/>
      <c r="U27" s="2968"/>
    </row>
    <row r="28" spans="1:21" s="2975" customFormat="1" ht="24.95" customHeight="1">
      <c r="A28" s="2968"/>
      <c r="B28" s="2968"/>
      <c r="C28" s="2974" t="s">
        <v>3115</v>
      </c>
      <c r="D28" s="2974" t="s">
        <v>3116</v>
      </c>
      <c r="E28" s="2974">
        <v>13.91</v>
      </c>
      <c r="F28" s="2974">
        <v>16</v>
      </c>
      <c r="G28" s="2974">
        <f>E28*F28</f>
        <v>222.56</v>
      </c>
      <c r="H28" s="2968"/>
      <c r="I28" s="2968"/>
      <c r="J28" s="2968"/>
      <c r="K28" s="2968"/>
      <c r="L28" s="2968"/>
      <c r="M28" s="2968"/>
      <c r="N28" s="2968"/>
      <c r="O28" s="2968"/>
      <c r="P28" s="2968"/>
      <c r="Q28" s="2968"/>
      <c r="R28" s="2968"/>
      <c r="S28" s="2968"/>
      <c r="T28" s="2968"/>
      <c r="U28" s="2968"/>
    </row>
    <row r="29" spans="1:21" s="2975" customFormat="1" ht="24.95" customHeight="1">
      <c r="A29" s="2968"/>
      <c r="B29" s="2968"/>
      <c r="C29" s="2974"/>
      <c r="D29" s="2974" t="s">
        <v>3117</v>
      </c>
      <c r="E29" s="2974">
        <v>9.6199999999999992</v>
      </c>
      <c r="F29" s="2974">
        <v>0</v>
      </c>
      <c r="G29" s="2974">
        <f>E29*F29</f>
        <v>0</v>
      </c>
      <c r="H29" s="2968"/>
      <c r="I29" s="2968"/>
      <c r="J29" s="2968"/>
      <c r="K29" s="2968"/>
      <c r="L29" s="2968"/>
      <c r="M29" s="2968"/>
      <c r="N29" s="2968"/>
      <c r="O29" s="2968"/>
      <c r="P29" s="2968"/>
      <c r="Q29" s="2968"/>
      <c r="R29" s="2968"/>
      <c r="S29" s="2968"/>
      <c r="T29" s="2968"/>
      <c r="U29" s="2968"/>
    </row>
    <row r="30" spans="1:21" s="2975" customFormat="1" ht="24.95" customHeight="1">
      <c r="A30" s="2968"/>
      <c r="C30" s="2974"/>
      <c r="D30" s="2974" t="s">
        <v>3118</v>
      </c>
      <c r="E30" s="2974">
        <v>13.91</v>
      </c>
      <c r="F30" s="2974">
        <v>2</v>
      </c>
      <c r="G30" s="2974">
        <f>E30*F30</f>
        <v>27.82</v>
      </c>
      <c r="H30" s="2968"/>
      <c r="I30" s="2968"/>
      <c r="J30" s="2968"/>
      <c r="K30" s="2968"/>
      <c r="L30" s="2968"/>
      <c r="M30" s="2968"/>
      <c r="N30" s="2968"/>
      <c r="O30" s="2968"/>
      <c r="P30" s="2968"/>
      <c r="Q30" s="2968"/>
      <c r="R30" s="2968"/>
      <c r="S30" s="2968"/>
      <c r="T30" s="2968"/>
      <c r="U30" s="2968"/>
    </row>
    <row r="31" spans="1:21" ht="24.95" customHeight="1">
      <c r="C31" s="2974" t="s">
        <v>40</v>
      </c>
      <c r="D31" s="2974"/>
      <c r="E31" s="2974">
        <f>SUM(E28:E30)</f>
        <v>37.44</v>
      </c>
      <c r="F31" s="2974">
        <f>SUM(F28:F30)</f>
        <v>18</v>
      </c>
      <c r="G31" s="2974">
        <f>SUM(G28:G30)</f>
        <v>250.38</v>
      </c>
    </row>
    <row r="32" spans="1:21" ht="24.95" customHeight="1">
      <c r="C32" s="2974" t="s">
        <v>3119</v>
      </c>
      <c r="D32" s="2974" t="s">
        <v>3116</v>
      </c>
      <c r="E32" s="2974">
        <v>13.91</v>
      </c>
      <c r="F32" s="2974">
        <v>204</v>
      </c>
      <c r="G32" s="2974">
        <f t="shared" ref="G32:G34" si="3">E32*F32</f>
        <v>2837.64</v>
      </c>
    </row>
    <row r="33" spans="3:11" ht="24.95" customHeight="1">
      <c r="C33" s="2974"/>
      <c r="D33" s="2974" t="s">
        <v>3117</v>
      </c>
      <c r="E33" s="2974">
        <v>9.6199999999999992</v>
      </c>
      <c r="F33" s="2974">
        <v>5</v>
      </c>
      <c r="G33" s="2974">
        <f t="shared" si="3"/>
        <v>48.099999999999994</v>
      </c>
    </row>
    <row r="34" spans="3:11" ht="24.95" customHeight="1">
      <c r="C34" s="2974"/>
      <c r="D34" s="2974" t="s">
        <v>3118</v>
      </c>
      <c r="E34" s="2974">
        <v>13.91</v>
      </c>
      <c r="F34" s="2974">
        <v>5</v>
      </c>
      <c r="G34" s="2974">
        <f t="shared" si="3"/>
        <v>69.55</v>
      </c>
    </row>
    <row r="35" spans="3:11" ht="24.95" customHeight="1">
      <c r="C35" s="2974" t="s">
        <v>40</v>
      </c>
      <c r="D35" s="2974">
        <f>SUM(D32:D34)</f>
        <v>0</v>
      </c>
      <c r="E35" s="2974">
        <f>SUM(E32:E34)</f>
        <v>37.44</v>
      </c>
      <c r="F35" s="2974">
        <f>SUM(F32:F34)</f>
        <v>214</v>
      </c>
      <c r="G35" s="2974">
        <f>SUM(G32:G34)</f>
        <v>2955.29</v>
      </c>
    </row>
    <row r="36" spans="3:11" ht="24.95" customHeight="1">
      <c r="C36" s="2974" t="s">
        <v>37</v>
      </c>
      <c r="D36" s="2974"/>
      <c r="E36" s="2974">
        <f>E31+E35</f>
        <v>74.88</v>
      </c>
      <c r="F36" s="2974">
        <f>F31+F35</f>
        <v>232</v>
      </c>
      <c r="G36" s="2974">
        <f>G31+G35</f>
        <v>3205.67</v>
      </c>
    </row>
    <row r="38" spans="3:11">
      <c r="C38" s="2957" t="s">
        <v>3120</v>
      </c>
      <c r="D38" s="2957" t="s">
        <v>3121</v>
      </c>
    </row>
    <row r="39" spans="3:11">
      <c r="E39" s="2957">
        <f>I8/45</f>
        <v>41.459555555555553</v>
      </c>
    </row>
    <row r="46" spans="3:11">
      <c r="H46" s="2957" t="s">
        <v>3197</v>
      </c>
      <c r="I46" s="2957" t="s">
        <v>3193</v>
      </c>
      <c r="J46" s="2957" t="s">
        <v>3194</v>
      </c>
      <c r="K46" s="2957" t="s">
        <v>3196</v>
      </c>
    </row>
    <row r="47" spans="3:11">
      <c r="H47" s="2957" t="s">
        <v>3187</v>
      </c>
      <c r="I47" s="3340">
        <f>C11</f>
        <v>3717.54</v>
      </c>
      <c r="J47" s="3340">
        <f>O11+Q11</f>
        <v>2108.5500000000002</v>
      </c>
      <c r="K47" s="3340">
        <f>I47+J47</f>
        <v>5826.09</v>
      </c>
    </row>
    <row r="48" spans="3:11">
      <c r="H48" s="2957" t="s">
        <v>3188</v>
      </c>
      <c r="I48" s="3340">
        <f>C12</f>
        <v>2967.28</v>
      </c>
      <c r="J48" s="3340">
        <f t="shared" ref="J48:J51" si="4">O12+Q12</f>
        <v>2032.27</v>
      </c>
      <c r="K48" s="3340">
        <f t="shared" ref="K48:K53" si="5">I48+J48</f>
        <v>4999.55</v>
      </c>
    </row>
    <row r="49" spans="8:11">
      <c r="H49" s="2957" t="s">
        <v>3189</v>
      </c>
      <c r="I49" s="3340">
        <f>C13</f>
        <v>3071.18</v>
      </c>
      <c r="J49" s="3340">
        <f t="shared" si="4"/>
        <v>2055.98</v>
      </c>
      <c r="K49" s="3340">
        <f t="shared" si="5"/>
        <v>5127.16</v>
      </c>
    </row>
    <row r="50" spans="8:11">
      <c r="H50" s="2957" t="s">
        <v>3190</v>
      </c>
      <c r="I50" s="3340">
        <f>C14+E14</f>
        <v>3078.3</v>
      </c>
      <c r="J50" s="3340">
        <f t="shared" si="4"/>
        <v>2051.75</v>
      </c>
      <c r="K50" s="3340">
        <f t="shared" si="5"/>
        <v>5130.05</v>
      </c>
    </row>
    <row r="51" spans="8:11">
      <c r="H51" s="2957" t="s">
        <v>3191</v>
      </c>
      <c r="I51" s="3340">
        <f>E15+F15+G15</f>
        <v>3414.11</v>
      </c>
      <c r="J51" s="3340">
        <f t="shared" si="4"/>
        <v>2300.65</v>
      </c>
      <c r="K51" s="3340">
        <f t="shared" si="5"/>
        <v>5714.76</v>
      </c>
    </row>
    <row r="52" spans="8:11">
      <c r="H52" s="3339" t="s">
        <v>3192</v>
      </c>
      <c r="I52" s="3340">
        <f>C9+N9</f>
        <v>3070.34</v>
      </c>
      <c r="J52" s="3340">
        <f>J9+K9+L10+M9+P10+Q9</f>
        <v>9829.34</v>
      </c>
      <c r="K52" s="3340">
        <f t="shared" si="5"/>
        <v>12899.68</v>
      </c>
    </row>
    <row r="53" spans="8:11">
      <c r="H53" s="2957" t="s">
        <v>3195</v>
      </c>
      <c r="I53" s="3340">
        <f>I47+I48+I49+I50+I51+I52</f>
        <v>19318.75</v>
      </c>
      <c r="J53" s="3340">
        <f>J47+J48+J49+J50+J51+J52</f>
        <v>20378.54</v>
      </c>
      <c r="K53" s="3340">
        <f t="shared" si="5"/>
        <v>39697.29</v>
      </c>
    </row>
  </sheetData>
  <mergeCells count="6">
    <mergeCell ref="A25:B25"/>
    <mergeCell ref="A3:S3"/>
    <mergeCell ref="A6:A7"/>
    <mergeCell ref="B6:B7"/>
    <mergeCell ref="C6:R6"/>
    <mergeCell ref="S6:T6"/>
  </mergeCells>
  <phoneticPr fontId="143" type="noConversion"/>
  <pageMargins left="0.75" right="0.75" top="1" bottom="1" header="0.51" footer="0.51"/>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50"/>
  <sheetViews>
    <sheetView topLeftCell="A22" zoomScaleSheetLayoutView="100" workbookViewId="0">
      <selection activeCell="G52" sqref="G52"/>
    </sheetView>
  </sheetViews>
  <sheetFormatPr defaultColWidth="9" defaultRowHeight="14.25"/>
  <cols>
    <col min="1" max="2" width="9" style="2976"/>
    <col min="3" max="3" width="12.5" style="2980" customWidth="1"/>
    <col min="4" max="4" width="21.5" style="2980" customWidth="1"/>
    <col min="5" max="5" width="16.25" style="2981" customWidth="1"/>
    <col min="6" max="6" width="27.125" style="2981" customWidth="1"/>
    <col min="7" max="7" width="16" style="2976" bestFit="1" customWidth="1"/>
    <col min="8" max="258" width="9" style="2976"/>
    <col min="259" max="259" width="12.5" style="2976" customWidth="1"/>
    <col min="260" max="260" width="21.5" style="2976" customWidth="1"/>
    <col min="261" max="261" width="16.25" style="2976" customWidth="1"/>
    <col min="262" max="262" width="27.125" style="2976" customWidth="1"/>
    <col min="263" max="263" width="16" style="2976" bestFit="1" customWidth="1"/>
    <col min="264" max="514" width="9" style="2976"/>
    <col min="515" max="515" width="12.5" style="2976" customWidth="1"/>
    <col min="516" max="516" width="21.5" style="2976" customWidth="1"/>
    <col min="517" max="517" width="16.25" style="2976" customWidth="1"/>
    <col min="518" max="518" width="27.125" style="2976" customWidth="1"/>
    <col min="519" max="519" width="16" style="2976" bestFit="1" customWidth="1"/>
    <col min="520" max="770" width="9" style="2976"/>
    <col min="771" max="771" width="12.5" style="2976" customWidth="1"/>
    <col min="772" max="772" width="21.5" style="2976" customWidth="1"/>
    <col min="773" max="773" width="16.25" style="2976" customWidth="1"/>
    <col min="774" max="774" width="27.125" style="2976" customWidth="1"/>
    <col min="775" max="775" width="16" style="2976" bestFit="1" customWidth="1"/>
    <col min="776" max="1026" width="9" style="2976"/>
    <col min="1027" max="1027" width="12.5" style="2976" customWidth="1"/>
    <col min="1028" max="1028" width="21.5" style="2976" customWidth="1"/>
    <col min="1029" max="1029" width="16.25" style="2976" customWidth="1"/>
    <col min="1030" max="1030" width="27.125" style="2976" customWidth="1"/>
    <col min="1031" max="1031" width="16" style="2976" bestFit="1" customWidth="1"/>
    <col min="1032" max="1282" width="9" style="2976"/>
    <col min="1283" max="1283" width="12.5" style="2976" customWidth="1"/>
    <col min="1284" max="1284" width="21.5" style="2976" customWidth="1"/>
    <col min="1285" max="1285" width="16.25" style="2976" customWidth="1"/>
    <col min="1286" max="1286" width="27.125" style="2976" customWidth="1"/>
    <col min="1287" max="1287" width="16" style="2976" bestFit="1" customWidth="1"/>
    <col min="1288" max="1538" width="9" style="2976"/>
    <col min="1539" max="1539" width="12.5" style="2976" customWidth="1"/>
    <col min="1540" max="1540" width="21.5" style="2976" customWidth="1"/>
    <col min="1541" max="1541" width="16.25" style="2976" customWidth="1"/>
    <col min="1542" max="1542" width="27.125" style="2976" customWidth="1"/>
    <col min="1543" max="1543" width="16" style="2976" bestFit="1" customWidth="1"/>
    <col min="1544" max="1794" width="9" style="2976"/>
    <col min="1795" max="1795" width="12.5" style="2976" customWidth="1"/>
    <col min="1796" max="1796" width="21.5" style="2976" customWidth="1"/>
    <col min="1797" max="1797" width="16.25" style="2976" customWidth="1"/>
    <col min="1798" max="1798" width="27.125" style="2976" customWidth="1"/>
    <col min="1799" max="1799" width="16" style="2976" bestFit="1" customWidth="1"/>
    <col min="1800" max="2050" width="9" style="2976"/>
    <col min="2051" max="2051" width="12.5" style="2976" customWidth="1"/>
    <col min="2052" max="2052" width="21.5" style="2976" customWidth="1"/>
    <col min="2053" max="2053" width="16.25" style="2976" customWidth="1"/>
    <col min="2054" max="2054" width="27.125" style="2976" customWidth="1"/>
    <col min="2055" max="2055" width="16" style="2976" bestFit="1" customWidth="1"/>
    <col min="2056" max="2306" width="9" style="2976"/>
    <col min="2307" max="2307" width="12.5" style="2976" customWidth="1"/>
    <col min="2308" max="2308" width="21.5" style="2976" customWidth="1"/>
    <col min="2309" max="2309" width="16.25" style="2976" customWidth="1"/>
    <col min="2310" max="2310" width="27.125" style="2976" customWidth="1"/>
    <col min="2311" max="2311" width="16" style="2976" bestFit="1" customWidth="1"/>
    <col min="2312" max="2562" width="9" style="2976"/>
    <col min="2563" max="2563" width="12.5" style="2976" customWidth="1"/>
    <col min="2564" max="2564" width="21.5" style="2976" customWidth="1"/>
    <col min="2565" max="2565" width="16.25" style="2976" customWidth="1"/>
    <col min="2566" max="2566" width="27.125" style="2976" customWidth="1"/>
    <col min="2567" max="2567" width="16" style="2976" bestFit="1" customWidth="1"/>
    <col min="2568" max="2818" width="9" style="2976"/>
    <col min="2819" max="2819" width="12.5" style="2976" customWidth="1"/>
    <col min="2820" max="2820" width="21.5" style="2976" customWidth="1"/>
    <col min="2821" max="2821" width="16.25" style="2976" customWidth="1"/>
    <col min="2822" max="2822" width="27.125" style="2976" customWidth="1"/>
    <col min="2823" max="2823" width="16" style="2976" bestFit="1" customWidth="1"/>
    <col min="2824" max="3074" width="9" style="2976"/>
    <col min="3075" max="3075" width="12.5" style="2976" customWidth="1"/>
    <col min="3076" max="3076" width="21.5" style="2976" customWidth="1"/>
    <col min="3077" max="3077" width="16.25" style="2976" customWidth="1"/>
    <col min="3078" max="3078" width="27.125" style="2976" customWidth="1"/>
    <col min="3079" max="3079" width="16" style="2976" bestFit="1" customWidth="1"/>
    <col min="3080" max="3330" width="9" style="2976"/>
    <col min="3331" max="3331" width="12.5" style="2976" customWidth="1"/>
    <col min="3332" max="3332" width="21.5" style="2976" customWidth="1"/>
    <col min="3333" max="3333" width="16.25" style="2976" customWidth="1"/>
    <col min="3334" max="3334" width="27.125" style="2976" customWidth="1"/>
    <col min="3335" max="3335" width="16" style="2976" bestFit="1" customWidth="1"/>
    <col min="3336" max="3586" width="9" style="2976"/>
    <col min="3587" max="3587" width="12.5" style="2976" customWidth="1"/>
    <col min="3588" max="3588" width="21.5" style="2976" customWidth="1"/>
    <col min="3589" max="3589" width="16.25" style="2976" customWidth="1"/>
    <col min="3590" max="3590" width="27.125" style="2976" customWidth="1"/>
    <col min="3591" max="3591" width="16" style="2976" bestFit="1" customWidth="1"/>
    <col min="3592" max="3842" width="9" style="2976"/>
    <col min="3843" max="3843" width="12.5" style="2976" customWidth="1"/>
    <col min="3844" max="3844" width="21.5" style="2976" customWidth="1"/>
    <col min="3845" max="3845" width="16.25" style="2976" customWidth="1"/>
    <col min="3846" max="3846" width="27.125" style="2976" customWidth="1"/>
    <col min="3847" max="3847" width="16" style="2976" bestFit="1" customWidth="1"/>
    <col min="3848" max="4098" width="9" style="2976"/>
    <col min="4099" max="4099" width="12.5" style="2976" customWidth="1"/>
    <col min="4100" max="4100" width="21.5" style="2976" customWidth="1"/>
    <col min="4101" max="4101" width="16.25" style="2976" customWidth="1"/>
    <col min="4102" max="4102" width="27.125" style="2976" customWidth="1"/>
    <col min="4103" max="4103" width="16" style="2976" bestFit="1" customWidth="1"/>
    <col min="4104" max="4354" width="9" style="2976"/>
    <col min="4355" max="4355" width="12.5" style="2976" customWidth="1"/>
    <col min="4356" max="4356" width="21.5" style="2976" customWidth="1"/>
    <col min="4357" max="4357" width="16.25" style="2976" customWidth="1"/>
    <col min="4358" max="4358" width="27.125" style="2976" customWidth="1"/>
    <col min="4359" max="4359" width="16" style="2976" bestFit="1" customWidth="1"/>
    <col min="4360" max="4610" width="9" style="2976"/>
    <col min="4611" max="4611" width="12.5" style="2976" customWidth="1"/>
    <col min="4612" max="4612" width="21.5" style="2976" customWidth="1"/>
    <col min="4613" max="4613" width="16.25" style="2976" customWidth="1"/>
    <col min="4614" max="4614" width="27.125" style="2976" customWidth="1"/>
    <col min="4615" max="4615" width="16" style="2976" bestFit="1" customWidth="1"/>
    <col min="4616" max="4866" width="9" style="2976"/>
    <col min="4867" max="4867" width="12.5" style="2976" customWidth="1"/>
    <col min="4868" max="4868" width="21.5" style="2976" customWidth="1"/>
    <col min="4869" max="4869" width="16.25" style="2976" customWidth="1"/>
    <col min="4870" max="4870" width="27.125" style="2976" customWidth="1"/>
    <col min="4871" max="4871" width="16" style="2976" bestFit="1" customWidth="1"/>
    <col min="4872" max="5122" width="9" style="2976"/>
    <col min="5123" max="5123" width="12.5" style="2976" customWidth="1"/>
    <col min="5124" max="5124" width="21.5" style="2976" customWidth="1"/>
    <col min="5125" max="5125" width="16.25" style="2976" customWidth="1"/>
    <col min="5126" max="5126" width="27.125" style="2976" customWidth="1"/>
    <col min="5127" max="5127" width="16" style="2976" bestFit="1" customWidth="1"/>
    <col min="5128" max="5378" width="9" style="2976"/>
    <col min="5379" max="5379" width="12.5" style="2976" customWidth="1"/>
    <col min="5380" max="5380" width="21.5" style="2976" customWidth="1"/>
    <col min="5381" max="5381" width="16.25" style="2976" customWidth="1"/>
    <col min="5382" max="5382" width="27.125" style="2976" customWidth="1"/>
    <col min="5383" max="5383" width="16" style="2976" bestFit="1" customWidth="1"/>
    <col min="5384" max="5634" width="9" style="2976"/>
    <col min="5635" max="5635" width="12.5" style="2976" customWidth="1"/>
    <col min="5636" max="5636" width="21.5" style="2976" customWidth="1"/>
    <col min="5637" max="5637" width="16.25" style="2976" customWidth="1"/>
    <col min="5638" max="5638" width="27.125" style="2976" customWidth="1"/>
    <col min="5639" max="5639" width="16" style="2976" bestFit="1" customWidth="1"/>
    <col min="5640" max="5890" width="9" style="2976"/>
    <col min="5891" max="5891" width="12.5" style="2976" customWidth="1"/>
    <col min="5892" max="5892" width="21.5" style="2976" customWidth="1"/>
    <col min="5893" max="5893" width="16.25" style="2976" customWidth="1"/>
    <col min="5894" max="5894" width="27.125" style="2976" customWidth="1"/>
    <col min="5895" max="5895" width="16" style="2976" bestFit="1" customWidth="1"/>
    <col min="5896" max="6146" width="9" style="2976"/>
    <col min="6147" max="6147" width="12.5" style="2976" customWidth="1"/>
    <col min="6148" max="6148" width="21.5" style="2976" customWidth="1"/>
    <col min="6149" max="6149" width="16.25" style="2976" customWidth="1"/>
    <col min="6150" max="6150" width="27.125" style="2976" customWidth="1"/>
    <col min="6151" max="6151" width="16" style="2976" bestFit="1" customWidth="1"/>
    <col min="6152" max="6402" width="9" style="2976"/>
    <col min="6403" max="6403" width="12.5" style="2976" customWidth="1"/>
    <col min="6404" max="6404" width="21.5" style="2976" customWidth="1"/>
    <col min="6405" max="6405" width="16.25" style="2976" customWidth="1"/>
    <col min="6406" max="6406" width="27.125" style="2976" customWidth="1"/>
    <col min="6407" max="6407" width="16" style="2976" bestFit="1" customWidth="1"/>
    <col min="6408" max="6658" width="9" style="2976"/>
    <col min="6659" max="6659" width="12.5" style="2976" customWidth="1"/>
    <col min="6660" max="6660" width="21.5" style="2976" customWidth="1"/>
    <col min="6661" max="6661" width="16.25" style="2976" customWidth="1"/>
    <col min="6662" max="6662" width="27.125" style="2976" customWidth="1"/>
    <col min="6663" max="6663" width="16" style="2976" bestFit="1" customWidth="1"/>
    <col min="6664" max="6914" width="9" style="2976"/>
    <col min="6915" max="6915" width="12.5" style="2976" customWidth="1"/>
    <col min="6916" max="6916" width="21.5" style="2976" customWidth="1"/>
    <col min="6917" max="6917" width="16.25" style="2976" customWidth="1"/>
    <col min="6918" max="6918" width="27.125" style="2976" customWidth="1"/>
    <col min="6919" max="6919" width="16" style="2976" bestFit="1" customWidth="1"/>
    <col min="6920" max="7170" width="9" style="2976"/>
    <col min="7171" max="7171" width="12.5" style="2976" customWidth="1"/>
    <col min="7172" max="7172" width="21.5" style="2976" customWidth="1"/>
    <col min="7173" max="7173" width="16.25" style="2976" customWidth="1"/>
    <col min="7174" max="7174" width="27.125" style="2976" customWidth="1"/>
    <col min="7175" max="7175" width="16" style="2976" bestFit="1" customWidth="1"/>
    <col min="7176" max="7426" width="9" style="2976"/>
    <col min="7427" max="7427" width="12.5" style="2976" customWidth="1"/>
    <col min="7428" max="7428" width="21.5" style="2976" customWidth="1"/>
    <col min="7429" max="7429" width="16.25" style="2976" customWidth="1"/>
    <col min="7430" max="7430" width="27.125" style="2976" customWidth="1"/>
    <col min="7431" max="7431" width="16" style="2976" bestFit="1" customWidth="1"/>
    <col min="7432" max="7682" width="9" style="2976"/>
    <col min="7683" max="7683" width="12.5" style="2976" customWidth="1"/>
    <col min="7684" max="7684" width="21.5" style="2976" customWidth="1"/>
    <col min="7685" max="7685" width="16.25" style="2976" customWidth="1"/>
    <col min="7686" max="7686" width="27.125" style="2976" customWidth="1"/>
    <col min="7687" max="7687" width="16" style="2976" bestFit="1" customWidth="1"/>
    <col min="7688" max="7938" width="9" style="2976"/>
    <col min="7939" max="7939" width="12.5" style="2976" customWidth="1"/>
    <col min="7940" max="7940" width="21.5" style="2976" customWidth="1"/>
    <col min="7941" max="7941" width="16.25" style="2976" customWidth="1"/>
    <col min="7942" max="7942" width="27.125" style="2976" customWidth="1"/>
    <col min="7943" max="7943" width="16" style="2976" bestFit="1" customWidth="1"/>
    <col min="7944" max="8194" width="9" style="2976"/>
    <col min="8195" max="8195" width="12.5" style="2976" customWidth="1"/>
    <col min="8196" max="8196" width="21.5" style="2976" customWidth="1"/>
    <col min="8197" max="8197" width="16.25" style="2976" customWidth="1"/>
    <col min="8198" max="8198" width="27.125" style="2976" customWidth="1"/>
    <col min="8199" max="8199" width="16" style="2976" bestFit="1" customWidth="1"/>
    <col min="8200" max="8450" width="9" style="2976"/>
    <col min="8451" max="8451" width="12.5" style="2976" customWidth="1"/>
    <col min="8452" max="8452" width="21.5" style="2976" customWidth="1"/>
    <col min="8453" max="8453" width="16.25" style="2976" customWidth="1"/>
    <col min="8454" max="8454" width="27.125" style="2976" customWidth="1"/>
    <col min="8455" max="8455" width="16" style="2976" bestFit="1" customWidth="1"/>
    <col min="8456" max="8706" width="9" style="2976"/>
    <col min="8707" max="8707" width="12.5" style="2976" customWidth="1"/>
    <col min="8708" max="8708" width="21.5" style="2976" customWidth="1"/>
    <col min="8709" max="8709" width="16.25" style="2976" customWidth="1"/>
    <col min="8710" max="8710" width="27.125" style="2976" customWidth="1"/>
    <col min="8711" max="8711" width="16" style="2976" bestFit="1" customWidth="1"/>
    <col min="8712" max="8962" width="9" style="2976"/>
    <col min="8963" max="8963" width="12.5" style="2976" customWidth="1"/>
    <col min="8964" max="8964" width="21.5" style="2976" customWidth="1"/>
    <col min="8965" max="8965" width="16.25" style="2976" customWidth="1"/>
    <col min="8966" max="8966" width="27.125" style="2976" customWidth="1"/>
    <col min="8967" max="8967" width="16" style="2976" bestFit="1" customWidth="1"/>
    <col min="8968" max="9218" width="9" style="2976"/>
    <col min="9219" max="9219" width="12.5" style="2976" customWidth="1"/>
    <col min="9220" max="9220" width="21.5" style="2976" customWidth="1"/>
    <col min="9221" max="9221" width="16.25" style="2976" customWidth="1"/>
    <col min="9222" max="9222" width="27.125" style="2976" customWidth="1"/>
    <col min="9223" max="9223" width="16" style="2976" bestFit="1" customWidth="1"/>
    <col min="9224" max="9474" width="9" style="2976"/>
    <col min="9475" max="9475" width="12.5" style="2976" customWidth="1"/>
    <col min="9476" max="9476" width="21.5" style="2976" customWidth="1"/>
    <col min="9477" max="9477" width="16.25" style="2976" customWidth="1"/>
    <col min="9478" max="9478" width="27.125" style="2976" customWidth="1"/>
    <col min="9479" max="9479" width="16" style="2976" bestFit="1" customWidth="1"/>
    <col min="9480" max="9730" width="9" style="2976"/>
    <col min="9731" max="9731" width="12.5" style="2976" customWidth="1"/>
    <col min="9732" max="9732" width="21.5" style="2976" customWidth="1"/>
    <col min="9733" max="9733" width="16.25" style="2976" customWidth="1"/>
    <col min="9734" max="9734" width="27.125" style="2976" customWidth="1"/>
    <col min="9735" max="9735" width="16" style="2976" bestFit="1" customWidth="1"/>
    <col min="9736" max="9986" width="9" style="2976"/>
    <col min="9987" max="9987" width="12.5" style="2976" customWidth="1"/>
    <col min="9988" max="9988" width="21.5" style="2976" customWidth="1"/>
    <col min="9989" max="9989" width="16.25" style="2976" customWidth="1"/>
    <col min="9990" max="9990" width="27.125" style="2976" customWidth="1"/>
    <col min="9991" max="9991" width="16" style="2976" bestFit="1" customWidth="1"/>
    <col min="9992" max="10242" width="9" style="2976"/>
    <col min="10243" max="10243" width="12.5" style="2976" customWidth="1"/>
    <col min="10244" max="10244" width="21.5" style="2976" customWidth="1"/>
    <col min="10245" max="10245" width="16.25" style="2976" customWidth="1"/>
    <col min="10246" max="10246" width="27.125" style="2976" customWidth="1"/>
    <col min="10247" max="10247" width="16" style="2976" bestFit="1" customWidth="1"/>
    <col min="10248" max="10498" width="9" style="2976"/>
    <col min="10499" max="10499" width="12.5" style="2976" customWidth="1"/>
    <col min="10500" max="10500" width="21.5" style="2976" customWidth="1"/>
    <col min="10501" max="10501" width="16.25" style="2976" customWidth="1"/>
    <col min="10502" max="10502" width="27.125" style="2976" customWidth="1"/>
    <col min="10503" max="10503" width="16" style="2976" bestFit="1" customWidth="1"/>
    <col min="10504" max="10754" width="9" style="2976"/>
    <col min="10755" max="10755" width="12.5" style="2976" customWidth="1"/>
    <col min="10756" max="10756" width="21.5" style="2976" customWidth="1"/>
    <col min="10757" max="10757" width="16.25" style="2976" customWidth="1"/>
    <col min="10758" max="10758" width="27.125" style="2976" customWidth="1"/>
    <col min="10759" max="10759" width="16" style="2976" bestFit="1" customWidth="1"/>
    <col min="10760" max="11010" width="9" style="2976"/>
    <col min="11011" max="11011" width="12.5" style="2976" customWidth="1"/>
    <col min="11012" max="11012" width="21.5" style="2976" customWidth="1"/>
    <col min="11013" max="11013" width="16.25" style="2976" customWidth="1"/>
    <col min="11014" max="11014" width="27.125" style="2976" customWidth="1"/>
    <col min="11015" max="11015" width="16" style="2976" bestFit="1" customWidth="1"/>
    <col min="11016" max="11266" width="9" style="2976"/>
    <col min="11267" max="11267" width="12.5" style="2976" customWidth="1"/>
    <col min="11268" max="11268" width="21.5" style="2976" customWidth="1"/>
    <col min="11269" max="11269" width="16.25" style="2976" customWidth="1"/>
    <col min="11270" max="11270" width="27.125" style="2976" customWidth="1"/>
    <col min="11271" max="11271" width="16" style="2976" bestFit="1" customWidth="1"/>
    <col min="11272" max="11522" width="9" style="2976"/>
    <col min="11523" max="11523" width="12.5" style="2976" customWidth="1"/>
    <col min="11524" max="11524" width="21.5" style="2976" customWidth="1"/>
    <col min="11525" max="11525" width="16.25" style="2976" customWidth="1"/>
    <col min="11526" max="11526" width="27.125" style="2976" customWidth="1"/>
    <col min="11527" max="11527" width="16" style="2976" bestFit="1" customWidth="1"/>
    <col min="11528" max="11778" width="9" style="2976"/>
    <col min="11779" max="11779" width="12.5" style="2976" customWidth="1"/>
    <col min="11780" max="11780" width="21.5" style="2976" customWidth="1"/>
    <col min="11781" max="11781" width="16.25" style="2976" customWidth="1"/>
    <col min="11782" max="11782" width="27.125" style="2976" customWidth="1"/>
    <col min="11783" max="11783" width="16" style="2976" bestFit="1" customWidth="1"/>
    <col min="11784" max="12034" width="9" style="2976"/>
    <col min="12035" max="12035" width="12.5" style="2976" customWidth="1"/>
    <col min="12036" max="12036" width="21.5" style="2976" customWidth="1"/>
    <col min="12037" max="12037" width="16.25" style="2976" customWidth="1"/>
    <col min="12038" max="12038" width="27.125" style="2976" customWidth="1"/>
    <col min="12039" max="12039" width="16" style="2976" bestFit="1" customWidth="1"/>
    <col min="12040" max="12290" width="9" style="2976"/>
    <col min="12291" max="12291" width="12.5" style="2976" customWidth="1"/>
    <col min="12292" max="12292" width="21.5" style="2976" customWidth="1"/>
    <col min="12293" max="12293" width="16.25" style="2976" customWidth="1"/>
    <col min="12294" max="12294" width="27.125" style="2976" customWidth="1"/>
    <col min="12295" max="12295" width="16" style="2976" bestFit="1" customWidth="1"/>
    <col min="12296" max="12546" width="9" style="2976"/>
    <col min="12547" max="12547" width="12.5" style="2976" customWidth="1"/>
    <col min="12548" max="12548" width="21.5" style="2976" customWidth="1"/>
    <col min="12549" max="12549" width="16.25" style="2976" customWidth="1"/>
    <col min="12550" max="12550" width="27.125" style="2976" customWidth="1"/>
    <col min="12551" max="12551" width="16" style="2976" bestFit="1" customWidth="1"/>
    <col min="12552" max="12802" width="9" style="2976"/>
    <col min="12803" max="12803" width="12.5" style="2976" customWidth="1"/>
    <col min="12804" max="12804" width="21.5" style="2976" customWidth="1"/>
    <col min="12805" max="12805" width="16.25" style="2976" customWidth="1"/>
    <col min="12806" max="12806" width="27.125" style="2976" customWidth="1"/>
    <col min="12807" max="12807" width="16" style="2976" bestFit="1" customWidth="1"/>
    <col min="12808" max="13058" width="9" style="2976"/>
    <col min="13059" max="13059" width="12.5" style="2976" customWidth="1"/>
    <col min="13060" max="13060" width="21.5" style="2976" customWidth="1"/>
    <col min="13061" max="13061" width="16.25" style="2976" customWidth="1"/>
    <col min="13062" max="13062" width="27.125" style="2976" customWidth="1"/>
    <col min="13063" max="13063" width="16" style="2976" bestFit="1" customWidth="1"/>
    <col min="13064" max="13314" width="9" style="2976"/>
    <col min="13315" max="13315" width="12.5" style="2976" customWidth="1"/>
    <col min="13316" max="13316" width="21.5" style="2976" customWidth="1"/>
    <col min="13317" max="13317" width="16.25" style="2976" customWidth="1"/>
    <col min="13318" max="13318" width="27.125" style="2976" customWidth="1"/>
    <col min="13319" max="13319" width="16" style="2976" bestFit="1" customWidth="1"/>
    <col min="13320" max="13570" width="9" style="2976"/>
    <col min="13571" max="13571" width="12.5" style="2976" customWidth="1"/>
    <col min="13572" max="13572" width="21.5" style="2976" customWidth="1"/>
    <col min="13573" max="13573" width="16.25" style="2976" customWidth="1"/>
    <col min="13574" max="13574" width="27.125" style="2976" customWidth="1"/>
    <col min="13575" max="13575" width="16" style="2976" bestFit="1" customWidth="1"/>
    <col min="13576" max="13826" width="9" style="2976"/>
    <col min="13827" max="13827" width="12.5" style="2976" customWidth="1"/>
    <col min="13828" max="13828" width="21.5" style="2976" customWidth="1"/>
    <col min="13829" max="13829" width="16.25" style="2976" customWidth="1"/>
    <col min="13830" max="13830" width="27.125" style="2976" customWidth="1"/>
    <col min="13831" max="13831" width="16" style="2976" bestFit="1" customWidth="1"/>
    <col min="13832" max="14082" width="9" style="2976"/>
    <col min="14083" max="14083" width="12.5" style="2976" customWidth="1"/>
    <col min="14084" max="14084" width="21.5" style="2976" customWidth="1"/>
    <col min="14085" max="14085" width="16.25" style="2976" customWidth="1"/>
    <col min="14086" max="14086" width="27.125" style="2976" customWidth="1"/>
    <col min="14087" max="14087" width="16" style="2976" bestFit="1" customWidth="1"/>
    <col min="14088" max="14338" width="9" style="2976"/>
    <col min="14339" max="14339" width="12.5" style="2976" customWidth="1"/>
    <col min="14340" max="14340" width="21.5" style="2976" customWidth="1"/>
    <col min="14341" max="14341" width="16.25" style="2976" customWidth="1"/>
    <col min="14342" max="14342" width="27.125" style="2976" customWidth="1"/>
    <col min="14343" max="14343" width="16" style="2976" bestFit="1" customWidth="1"/>
    <col min="14344" max="14594" width="9" style="2976"/>
    <col min="14595" max="14595" width="12.5" style="2976" customWidth="1"/>
    <col min="14596" max="14596" width="21.5" style="2976" customWidth="1"/>
    <col min="14597" max="14597" width="16.25" style="2976" customWidth="1"/>
    <col min="14598" max="14598" width="27.125" style="2976" customWidth="1"/>
    <col min="14599" max="14599" width="16" style="2976" bestFit="1" customWidth="1"/>
    <col min="14600" max="14850" width="9" style="2976"/>
    <col min="14851" max="14851" width="12.5" style="2976" customWidth="1"/>
    <col min="14852" max="14852" width="21.5" style="2976" customWidth="1"/>
    <col min="14853" max="14853" width="16.25" style="2976" customWidth="1"/>
    <col min="14854" max="14854" width="27.125" style="2976" customWidth="1"/>
    <col min="14855" max="14855" width="16" style="2976" bestFit="1" customWidth="1"/>
    <col min="14856" max="15106" width="9" style="2976"/>
    <col min="15107" max="15107" width="12.5" style="2976" customWidth="1"/>
    <col min="15108" max="15108" width="21.5" style="2976" customWidth="1"/>
    <col min="15109" max="15109" width="16.25" style="2976" customWidth="1"/>
    <col min="15110" max="15110" width="27.125" style="2976" customWidth="1"/>
    <col min="15111" max="15111" width="16" style="2976" bestFit="1" customWidth="1"/>
    <col min="15112" max="15362" width="9" style="2976"/>
    <col min="15363" max="15363" width="12.5" style="2976" customWidth="1"/>
    <col min="15364" max="15364" width="21.5" style="2976" customWidth="1"/>
    <col min="15365" max="15365" width="16.25" style="2976" customWidth="1"/>
    <col min="15366" max="15366" width="27.125" style="2976" customWidth="1"/>
    <col min="15367" max="15367" width="16" style="2976" bestFit="1" customWidth="1"/>
    <col min="15368" max="15618" width="9" style="2976"/>
    <col min="15619" max="15619" width="12.5" style="2976" customWidth="1"/>
    <col min="15620" max="15620" width="21.5" style="2976" customWidth="1"/>
    <col min="15621" max="15621" width="16.25" style="2976" customWidth="1"/>
    <col min="15622" max="15622" width="27.125" style="2976" customWidth="1"/>
    <col min="15623" max="15623" width="16" style="2976" bestFit="1" customWidth="1"/>
    <col min="15624" max="15874" width="9" style="2976"/>
    <col min="15875" max="15875" width="12.5" style="2976" customWidth="1"/>
    <col min="15876" max="15876" width="21.5" style="2976" customWidth="1"/>
    <col min="15877" max="15877" width="16.25" style="2976" customWidth="1"/>
    <col min="15878" max="15878" width="27.125" style="2976" customWidth="1"/>
    <col min="15879" max="15879" width="16" style="2976" bestFit="1" customWidth="1"/>
    <col min="15880" max="16130" width="9" style="2976"/>
    <col min="16131" max="16131" width="12.5" style="2976" customWidth="1"/>
    <col min="16132" max="16132" width="21.5" style="2976" customWidth="1"/>
    <col min="16133" max="16133" width="16.25" style="2976" customWidth="1"/>
    <col min="16134" max="16134" width="27.125" style="2976" customWidth="1"/>
    <col min="16135" max="16135" width="16" style="2976" bestFit="1" customWidth="1"/>
    <col min="16136" max="16384" width="9" style="2976"/>
  </cols>
  <sheetData>
    <row r="1" spans="3:7" ht="36" customHeight="1">
      <c r="C1" s="3334" t="s">
        <v>3122</v>
      </c>
      <c r="D1" s="3334"/>
      <c r="E1" s="3334"/>
      <c r="F1" s="3334"/>
    </row>
    <row r="2" spans="3:7">
      <c r="C2" s="2977" t="s">
        <v>3123</v>
      </c>
      <c r="D2" s="2977" t="s">
        <v>3124</v>
      </c>
      <c r="E2" s="2978" t="s">
        <v>3125</v>
      </c>
      <c r="F2" s="2978" t="s">
        <v>3126</v>
      </c>
      <c r="G2" s="2979" t="s">
        <v>3127</v>
      </c>
    </row>
    <row r="3" spans="3:7">
      <c r="C3" s="2977" t="s">
        <v>3128</v>
      </c>
      <c r="D3" s="2977" t="s">
        <v>3129</v>
      </c>
      <c r="E3" s="2978">
        <v>2037</v>
      </c>
      <c r="F3" s="2978">
        <v>1.5</v>
      </c>
      <c r="G3" s="2979">
        <f>E3*F3*365</f>
        <v>1115257.5</v>
      </c>
    </row>
    <row r="4" spans="3:7">
      <c r="C4" s="2977" t="s">
        <v>3128</v>
      </c>
      <c r="D4" s="2977" t="s">
        <v>3130</v>
      </c>
      <c r="E4" s="2978">
        <v>37</v>
      </c>
      <c r="F4" s="2978">
        <v>2.5</v>
      </c>
      <c r="G4" s="2979">
        <f t="shared" ref="G4:G37" si="0">E4*F4*365</f>
        <v>33762.5</v>
      </c>
    </row>
    <row r="5" spans="3:7">
      <c r="C5" s="2977" t="s">
        <v>3128</v>
      </c>
      <c r="D5" s="2977" t="s">
        <v>3131</v>
      </c>
      <c r="E5" s="2978">
        <v>115</v>
      </c>
      <c r="F5" s="2978">
        <v>2</v>
      </c>
      <c r="G5" s="2979">
        <f t="shared" si="0"/>
        <v>83950</v>
      </c>
    </row>
    <row r="6" spans="3:7">
      <c r="C6" s="2977" t="s">
        <v>3128</v>
      </c>
      <c r="D6" s="2977" t="s">
        <v>3132</v>
      </c>
      <c r="E6" s="2978">
        <v>107</v>
      </c>
      <c r="F6" s="2978">
        <v>2</v>
      </c>
      <c r="G6" s="2979">
        <f t="shared" si="0"/>
        <v>78110</v>
      </c>
    </row>
    <row r="7" spans="3:7">
      <c r="C7" s="2977" t="s">
        <v>3128</v>
      </c>
      <c r="D7" s="2977" t="s">
        <v>3133</v>
      </c>
      <c r="E7" s="2978">
        <v>107</v>
      </c>
      <c r="F7" s="2978">
        <v>2</v>
      </c>
      <c r="G7" s="2979">
        <f t="shared" si="0"/>
        <v>78110</v>
      </c>
    </row>
    <row r="8" spans="3:7">
      <c r="C8" s="2977" t="s">
        <v>3128</v>
      </c>
      <c r="D8" s="2977" t="s">
        <v>3134</v>
      </c>
      <c r="E8" s="2978">
        <v>76</v>
      </c>
      <c r="F8" s="2978">
        <v>1.8</v>
      </c>
      <c r="G8" s="2979">
        <f t="shared" si="0"/>
        <v>49932.000000000007</v>
      </c>
    </row>
    <row r="9" spans="3:7">
      <c r="C9" s="2977" t="s">
        <v>3128</v>
      </c>
      <c r="D9" s="2977" t="s">
        <v>3135</v>
      </c>
      <c r="E9" s="2978">
        <v>77</v>
      </c>
      <c r="F9" s="2978">
        <v>1.8</v>
      </c>
      <c r="G9" s="2979">
        <f t="shared" si="0"/>
        <v>50589</v>
      </c>
    </row>
    <row r="10" spans="3:7">
      <c r="C10" s="2977" t="s">
        <v>3128</v>
      </c>
      <c r="D10" s="2977" t="s">
        <v>3136</v>
      </c>
      <c r="E10" s="2978">
        <v>42</v>
      </c>
      <c r="F10" s="2978">
        <v>2.5</v>
      </c>
      <c r="G10" s="2979">
        <f t="shared" si="0"/>
        <v>38325</v>
      </c>
    </row>
    <row r="11" spans="3:7">
      <c r="C11" s="2977" t="s">
        <v>3128</v>
      </c>
      <c r="D11" s="2977" t="s">
        <v>3137</v>
      </c>
      <c r="E11" s="2978">
        <v>40</v>
      </c>
      <c r="F11" s="2978">
        <v>2.5</v>
      </c>
      <c r="G11" s="2979">
        <f t="shared" si="0"/>
        <v>36500</v>
      </c>
    </row>
    <row r="12" spans="3:7">
      <c r="C12" s="2977" t="s">
        <v>3128</v>
      </c>
      <c r="D12" s="2977" t="s">
        <v>3138</v>
      </c>
      <c r="E12" s="2978">
        <v>35</v>
      </c>
      <c r="F12" s="2978">
        <v>2.5</v>
      </c>
      <c r="G12" s="2979">
        <f t="shared" si="0"/>
        <v>31937.5</v>
      </c>
    </row>
    <row r="13" spans="3:7">
      <c r="C13" s="2977" t="s">
        <v>3139</v>
      </c>
      <c r="D13" s="2977" t="s">
        <v>3140</v>
      </c>
      <c r="E13" s="2978">
        <v>103</v>
      </c>
      <c r="F13" s="2978">
        <v>3</v>
      </c>
      <c r="G13" s="2979">
        <f t="shared" si="0"/>
        <v>112785</v>
      </c>
    </row>
    <row r="14" spans="3:7">
      <c r="C14" s="2977" t="s">
        <v>3139</v>
      </c>
      <c r="D14" s="2977" t="s">
        <v>3141</v>
      </c>
      <c r="E14" s="2978">
        <v>98</v>
      </c>
      <c r="F14" s="2978">
        <v>3</v>
      </c>
      <c r="G14" s="2979">
        <f t="shared" si="0"/>
        <v>107310</v>
      </c>
    </row>
    <row r="15" spans="3:7">
      <c r="C15" s="2977" t="s">
        <v>3139</v>
      </c>
      <c r="D15" s="2977" t="s">
        <v>3142</v>
      </c>
      <c r="E15" s="2978">
        <v>115</v>
      </c>
      <c r="F15" s="2978">
        <v>3</v>
      </c>
      <c r="G15" s="2979">
        <f t="shared" si="0"/>
        <v>125925</v>
      </c>
    </row>
    <row r="16" spans="3:7">
      <c r="C16" s="2977" t="s">
        <v>3139</v>
      </c>
      <c r="D16" s="2977" t="s">
        <v>3143</v>
      </c>
      <c r="E16" s="2978">
        <v>191</v>
      </c>
      <c r="F16" s="2978">
        <v>2.8</v>
      </c>
      <c r="G16" s="2979">
        <f t="shared" si="0"/>
        <v>195201.99999999997</v>
      </c>
    </row>
    <row r="17" spans="3:7">
      <c r="C17" s="2977" t="s">
        <v>3139</v>
      </c>
      <c r="D17" s="2977" t="s">
        <v>3144</v>
      </c>
      <c r="E17" s="2978">
        <v>100</v>
      </c>
      <c r="F17" s="2978">
        <v>3</v>
      </c>
      <c r="G17" s="2979">
        <f t="shared" si="0"/>
        <v>109500</v>
      </c>
    </row>
    <row r="18" spans="3:7">
      <c r="C18" s="2977" t="s">
        <v>3139</v>
      </c>
      <c r="D18" s="2977" t="s">
        <v>3145</v>
      </c>
      <c r="E18" s="2978">
        <v>191</v>
      </c>
      <c r="F18" s="2978">
        <v>2.6</v>
      </c>
      <c r="G18" s="2979">
        <f t="shared" si="0"/>
        <v>181259</v>
      </c>
    </row>
    <row r="19" spans="3:7">
      <c r="C19" s="2977" t="s">
        <v>3139</v>
      </c>
      <c r="D19" s="2977" t="s">
        <v>3146</v>
      </c>
      <c r="E19" s="2978">
        <v>185.44</v>
      </c>
      <c r="F19" s="2978">
        <v>2.9</v>
      </c>
      <c r="G19" s="2979">
        <f t="shared" si="0"/>
        <v>196288.24</v>
      </c>
    </row>
    <row r="20" spans="3:7">
      <c r="C20" s="2977" t="s">
        <v>3139</v>
      </c>
      <c r="D20" s="2977" t="s">
        <v>3147</v>
      </c>
      <c r="E20" s="2978">
        <v>626</v>
      </c>
      <c r="F20" s="2978">
        <v>2</v>
      </c>
      <c r="G20" s="2979">
        <f t="shared" si="0"/>
        <v>456980</v>
      </c>
    </row>
    <row r="21" spans="3:7">
      <c r="C21" s="2977" t="s">
        <v>3148</v>
      </c>
      <c r="D21" s="2977" t="s">
        <v>3149</v>
      </c>
      <c r="E21" s="2978">
        <v>181</v>
      </c>
      <c r="F21" s="2978">
        <v>2.5</v>
      </c>
      <c r="G21" s="2979">
        <f t="shared" si="0"/>
        <v>165162.5</v>
      </c>
    </row>
    <row r="22" spans="3:7">
      <c r="C22" s="2977" t="s">
        <v>3148</v>
      </c>
      <c r="D22" s="2977" t="s">
        <v>3150</v>
      </c>
      <c r="E22" s="2978">
        <v>124</v>
      </c>
      <c r="F22" s="2978">
        <v>2.6</v>
      </c>
      <c r="G22" s="2979">
        <f t="shared" si="0"/>
        <v>117676.00000000001</v>
      </c>
    </row>
    <row r="23" spans="3:7">
      <c r="C23" s="2977" t="s">
        <v>3148</v>
      </c>
      <c r="D23" s="2977" t="s">
        <v>3151</v>
      </c>
      <c r="E23" s="2978">
        <v>432</v>
      </c>
      <c r="F23" s="2978">
        <v>2</v>
      </c>
      <c r="G23" s="2979">
        <f t="shared" si="0"/>
        <v>315360</v>
      </c>
    </row>
    <row r="24" spans="3:7">
      <c r="C24" s="2977" t="s">
        <v>3148</v>
      </c>
      <c r="D24" s="2977" t="s">
        <v>3152</v>
      </c>
      <c r="E24" s="2978">
        <v>391</v>
      </c>
      <c r="F24" s="2978">
        <v>2.5</v>
      </c>
      <c r="G24" s="2979">
        <f t="shared" si="0"/>
        <v>356787.5</v>
      </c>
    </row>
    <row r="25" spans="3:7">
      <c r="C25" s="2977" t="s">
        <v>3153</v>
      </c>
      <c r="D25" s="2977" t="s">
        <v>3154</v>
      </c>
      <c r="E25" s="2978">
        <v>89</v>
      </c>
      <c r="F25" s="2978">
        <v>2.2000000000000002</v>
      </c>
      <c r="G25" s="2979">
        <f t="shared" si="0"/>
        <v>71467</v>
      </c>
    </row>
    <row r="26" spans="3:7">
      <c r="C26" s="2977" t="s">
        <v>3153</v>
      </c>
      <c r="D26" s="2977" t="s">
        <v>3155</v>
      </c>
      <c r="E26" s="2978">
        <v>89</v>
      </c>
      <c r="F26" s="2978">
        <v>2.2000000000000002</v>
      </c>
      <c r="G26" s="2979">
        <f t="shared" si="0"/>
        <v>71467</v>
      </c>
    </row>
    <row r="27" spans="3:7">
      <c r="C27" s="2977" t="s">
        <v>3153</v>
      </c>
      <c r="D27" s="2977" t="s">
        <v>3156</v>
      </c>
      <c r="E27" s="2978">
        <v>212</v>
      </c>
      <c r="F27" s="2978">
        <v>2</v>
      </c>
      <c r="G27" s="2979">
        <f t="shared" si="0"/>
        <v>154760</v>
      </c>
    </row>
    <row r="28" spans="3:7">
      <c r="C28" s="2977" t="s">
        <v>3153</v>
      </c>
      <c r="D28" s="2977" t="s">
        <v>3157</v>
      </c>
      <c r="E28" s="2978">
        <v>479</v>
      </c>
      <c r="F28" s="2978">
        <v>2</v>
      </c>
      <c r="G28" s="2979">
        <f t="shared" si="0"/>
        <v>349670</v>
      </c>
    </row>
    <row r="29" spans="3:7">
      <c r="C29" s="2977" t="s">
        <v>3153</v>
      </c>
      <c r="D29" s="2977" t="s">
        <v>3158</v>
      </c>
      <c r="E29" s="2978">
        <v>221</v>
      </c>
      <c r="F29" s="2978">
        <v>2</v>
      </c>
      <c r="G29" s="2979">
        <f t="shared" si="0"/>
        <v>161330</v>
      </c>
    </row>
    <row r="30" spans="3:7">
      <c r="C30" s="2977" t="s">
        <v>3153</v>
      </c>
      <c r="D30" s="2977" t="s">
        <v>3159</v>
      </c>
      <c r="E30" s="2978">
        <v>102</v>
      </c>
      <c r="F30" s="2978">
        <v>2.2000000000000002</v>
      </c>
      <c r="G30" s="2979">
        <f t="shared" si="0"/>
        <v>81906</v>
      </c>
    </row>
    <row r="31" spans="3:7">
      <c r="C31" s="2977" t="s">
        <v>3153</v>
      </c>
      <c r="D31" s="2977" t="s">
        <v>3160</v>
      </c>
      <c r="E31" s="2978">
        <v>392</v>
      </c>
      <c r="F31" s="2978">
        <v>2</v>
      </c>
      <c r="G31" s="2979">
        <f t="shared" si="0"/>
        <v>286160</v>
      </c>
    </row>
    <row r="32" spans="3:7">
      <c r="C32" s="2977" t="s">
        <v>3161</v>
      </c>
      <c r="D32" s="2977" t="s">
        <v>3162</v>
      </c>
      <c r="E32" s="2978">
        <v>193.13</v>
      </c>
      <c r="F32" s="2978">
        <v>3.6</v>
      </c>
      <c r="G32" s="2979">
        <f t="shared" si="0"/>
        <v>253772.82</v>
      </c>
    </row>
    <row r="33" spans="3:8">
      <c r="C33" s="2977" t="s">
        <v>3161</v>
      </c>
      <c r="D33" s="2977" t="s">
        <v>3163</v>
      </c>
      <c r="E33" s="2978">
        <v>84</v>
      </c>
      <c r="F33" s="2978">
        <v>3</v>
      </c>
      <c r="G33" s="2979">
        <f t="shared" si="0"/>
        <v>91980</v>
      </c>
    </row>
    <row r="34" spans="3:8">
      <c r="C34" s="2977" t="s">
        <v>3161</v>
      </c>
      <c r="D34" s="2977" t="s">
        <v>3164</v>
      </c>
      <c r="E34" s="2978">
        <v>198</v>
      </c>
      <c r="F34" s="2978">
        <v>3</v>
      </c>
      <c r="G34" s="2979">
        <f t="shared" si="0"/>
        <v>216810</v>
      </c>
    </row>
    <row r="35" spans="3:8">
      <c r="C35" s="2977" t="s">
        <v>3161</v>
      </c>
      <c r="D35" s="2977" t="s">
        <v>3165</v>
      </c>
      <c r="E35" s="2978">
        <v>243</v>
      </c>
      <c r="F35" s="2978">
        <v>3.6</v>
      </c>
      <c r="G35" s="2979">
        <f t="shared" si="0"/>
        <v>319302</v>
      </c>
    </row>
    <row r="36" spans="3:8">
      <c r="C36" s="2977" t="s">
        <v>3161</v>
      </c>
      <c r="D36" s="2977" t="s">
        <v>3166</v>
      </c>
      <c r="E36" s="2978">
        <v>384</v>
      </c>
      <c r="F36" s="2978">
        <v>3</v>
      </c>
      <c r="G36" s="2979">
        <f t="shared" si="0"/>
        <v>420480</v>
      </c>
    </row>
    <row r="37" spans="3:8">
      <c r="C37" s="2977" t="s">
        <v>3167</v>
      </c>
      <c r="D37" s="2977" t="s">
        <v>3168</v>
      </c>
      <c r="E37" s="2978">
        <v>2103</v>
      </c>
      <c r="F37" s="2978">
        <v>1.5</v>
      </c>
      <c r="G37" s="2979">
        <f t="shared" si="0"/>
        <v>1151392.5</v>
      </c>
    </row>
    <row r="39" spans="3:8">
      <c r="E39" s="2981">
        <f>SUM(E3:E38)</f>
        <v>10199.57</v>
      </c>
      <c r="G39" s="2982">
        <f>SUM(G3:G38)</f>
        <v>7667206.0600000005</v>
      </c>
      <c r="H39" s="2998">
        <f>G39/E39/365</f>
        <v>2.0595029006124772</v>
      </c>
    </row>
    <row r="44" spans="3:8">
      <c r="C44" s="2980">
        <v>1</v>
      </c>
      <c r="D44" s="2980">
        <v>3.3</v>
      </c>
      <c r="E44" s="2981">
        <v>1</v>
      </c>
      <c r="F44" s="2981">
        <f>商业面积!C11</f>
        <v>3717.54</v>
      </c>
      <c r="G44" s="2976">
        <f>D44*F44</f>
        <v>12267.882</v>
      </c>
    </row>
    <row r="45" spans="3:8">
      <c r="C45" s="2980">
        <v>2</v>
      </c>
      <c r="D45" s="2980">
        <f>D44*$E$45</f>
        <v>2.64</v>
      </c>
      <c r="E45" s="2981">
        <v>0.8</v>
      </c>
      <c r="F45" s="2981">
        <f>商业面积!C12</f>
        <v>2967.28</v>
      </c>
      <c r="G45" s="2976">
        <f t="shared" ref="G45:G49" si="1">D45*F45</f>
        <v>7833.619200000001</v>
      </c>
    </row>
    <row r="46" spans="3:8">
      <c r="C46" s="2980">
        <v>3</v>
      </c>
      <c r="D46" s="2992">
        <f>ROUND(D45*$E$45,2)</f>
        <v>2.11</v>
      </c>
      <c r="E46" s="2981">
        <v>0.7</v>
      </c>
      <c r="F46" s="2981">
        <f>商业面积!C13</f>
        <v>3071.18</v>
      </c>
      <c r="G46" s="2976">
        <f t="shared" si="1"/>
        <v>6480.1897999999992</v>
      </c>
    </row>
    <row r="47" spans="3:8">
      <c r="C47" s="2980">
        <v>4</v>
      </c>
      <c r="D47" s="2992">
        <f>ROUND(D46*$E$45,2)</f>
        <v>1.69</v>
      </c>
      <c r="E47" s="2981">
        <v>0.6</v>
      </c>
      <c r="F47" s="2981">
        <f>商业面积!C14+商业面积!E14</f>
        <v>3078.3</v>
      </c>
      <c r="G47" s="2976">
        <f t="shared" si="1"/>
        <v>5202.3270000000002</v>
      </c>
    </row>
    <row r="48" spans="3:8">
      <c r="C48" s="2980">
        <v>5</v>
      </c>
      <c r="D48" s="2980">
        <f>ROUND(D47*$E$45,2)</f>
        <v>1.35</v>
      </c>
      <c r="E48" s="2981">
        <v>0.5</v>
      </c>
      <c r="F48" s="2981">
        <f>商业面积!E15+商业面积!F15+商业面积!G15</f>
        <v>3414.11</v>
      </c>
      <c r="G48" s="2976">
        <f t="shared" si="1"/>
        <v>4609.0485000000008</v>
      </c>
    </row>
    <row r="49" spans="3:8">
      <c r="C49" s="2991" t="s">
        <v>3176</v>
      </c>
      <c r="D49" s="2980">
        <f>ROUND(D48*$E$45,2)</f>
        <v>1.08</v>
      </c>
      <c r="E49" s="2981">
        <v>0.5</v>
      </c>
      <c r="F49" s="2981">
        <f>商业面积!C9+商业面积!N9</f>
        <v>3070.34</v>
      </c>
      <c r="G49" s="2976">
        <f t="shared" si="1"/>
        <v>3315.9672000000005</v>
      </c>
    </row>
    <row r="50" spans="3:8">
      <c r="F50" s="2981">
        <f>SUM(F44:F49)</f>
        <v>19318.75</v>
      </c>
      <c r="G50" s="2976">
        <f>SUM(G44:G49)</f>
        <v>39709.0337</v>
      </c>
      <c r="H50" s="2997">
        <f>G50/F50</f>
        <v>2.0554659954707213</v>
      </c>
    </row>
  </sheetData>
  <mergeCells count="1">
    <mergeCell ref="C1:F1"/>
  </mergeCells>
  <phoneticPr fontId="143" type="noConversion"/>
  <pageMargins left="0.75" right="0.75" top="1" bottom="1" header="0.51180555555555551" footer="0.51180555555555551"/>
  <pageSetup paperSize="9" orientation="portrait" horizontalDpi="0" verticalDpi="0"/>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35683</v>
      </c>
      <c r="C2" s="2" t="s">
        <v>133</v>
      </c>
      <c r="D2" s="243"/>
      <c r="E2" s="243"/>
      <c r="F2" s="243"/>
      <c r="G2" s="243"/>
    </row>
    <row r="3" spans="1:7" s="244" customFormat="1" ht="18" customHeight="1" thickBot="1">
      <c r="A3" s="247" t="s">
        <v>85</v>
      </c>
      <c r="B3" s="248">
        <f ca="1">ROUND(B2*10000/'数据-汇总表'!E3,0)</f>
        <v>8989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150</v>
      </c>
      <c r="F9" s="265"/>
      <c r="G9" s="270"/>
    </row>
    <row r="10" spans="1:7" s="258" customFormat="1" ht="13.5" customHeight="1">
      <c r="A10" s="949" t="s">
        <v>801</v>
      </c>
      <c r="B10" s="268" t="s">
        <v>94</v>
      </c>
      <c r="C10" s="269">
        <f>ROUND(D10*E10/10000,0)</f>
        <v>595</v>
      </c>
      <c r="D10" s="1031">
        <f>'数据-汇总表'!E6</f>
        <v>39697.29</v>
      </c>
      <c r="E10" s="269">
        <f>'数据-取费表'!B28</f>
        <v>150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595</v>
      </c>
      <c r="D19" s="1035">
        <f>'数据-汇总表'!E3</f>
        <v>39697.29</v>
      </c>
      <c r="E19" s="255">
        <f>'数据-取费表'!B31</f>
        <v>150</v>
      </c>
      <c r="F19" s="275"/>
      <c r="G19" s="1" t="s">
        <v>1071</v>
      </c>
    </row>
    <row r="20" spans="1:7" s="258" customFormat="1" ht="13.5" customHeight="1">
      <c r="A20" s="947" t="s">
        <v>1054</v>
      </c>
      <c r="B20" s="254" t="s">
        <v>104</v>
      </c>
      <c r="C20" s="276">
        <f>ROUND((C5+C19)*F20,0)</f>
        <v>424</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2082</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58</v>
      </c>
      <c r="D24" s="282"/>
      <c r="E24" s="282"/>
      <c r="F24" s="283"/>
      <c r="G24" s="284" t="s">
        <v>109</v>
      </c>
    </row>
    <row r="25" spans="1:7" s="258" customFormat="1" ht="24">
      <c r="A25" s="950" t="s">
        <v>793</v>
      </c>
      <c r="B25" s="259" t="s">
        <v>1055</v>
      </c>
      <c r="C25" s="1354">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3244</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3244</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29214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5037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4250</v>
      </c>
      <c r="D34" s="261"/>
      <c r="E34" s="264"/>
      <c r="F34" s="301">
        <f>IF('数据-取费表'!B24=0,1,'数据-取费表'!N16)</f>
        <v>1</v>
      </c>
      <c r="G34" s="263" t="s">
        <v>116</v>
      </c>
    </row>
    <row r="35" spans="1:7" ht="13.5" customHeight="1">
      <c r="A35" s="950" t="s">
        <v>796</v>
      </c>
      <c r="B35" s="259" t="s">
        <v>60</v>
      </c>
      <c r="C35" s="264">
        <f>ROUND(C34*F35,0)</f>
        <v>128</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0" t="s">
        <v>798</v>
      </c>
      <c r="B37" s="259" t="s">
        <v>118</v>
      </c>
      <c r="C37" s="293">
        <f>ROUND(E37*D37*F34/10000,0)</f>
        <v>595</v>
      </c>
      <c r="D37" s="261">
        <f>'数据-汇总表'!E3</f>
        <v>39697.29</v>
      </c>
      <c r="E37" s="293">
        <f>'数据-取费表'!B35</f>
        <v>150</v>
      </c>
      <c r="F37" s="303"/>
      <c r="G37" s="305" t="s">
        <v>119</v>
      </c>
    </row>
    <row r="38" spans="1:7" ht="13.5" customHeight="1">
      <c r="A38" s="950" t="s">
        <v>799</v>
      </c>
      <c r="B38" s="259" t="s">
        <v>63</v>
      </c>
      <c r="C38" s="264">
        <f>ROUND(C34*F38,0)</f>
        <v>64</v>
      </c>
      <c r="D38" s="264"/>
      <c r="E38" s="264"/>
      <c r="F38" s="303">
        <f>'数据-取费表'!B36</f>
        <v>1.4999999999999999E-2</v>
      </c>
      <c r="G38" s="263" t="s">
        <v>117</v>
      </c>
    </row>
    <row r="39" spans="1:7" s="258" customFormat="1" ht="13.5" customHeight="1">
      <c r="A39" s="947" t="s">
        <v>783</v>
      </c>
      <c r="B39" s="254" t="s">
        <v>104</v>
      </c>
      <c r="C39" s="276">
        <f>ROUND(C33*F20,0)</f>
        <v>101</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244</v>
      </c>
      <c r="D41" s="279">
        <f ca="1">C44</f>
        <v>1E-3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239</v>
      </c>
      <c r="D42" s="282"/>
      <c r="E42" s="282"/>
      <c r="F42" s="283"/>
      <c r="G42" s="3185" t="s">
        <v>121</v>
      </c>
    </row>
    <row r="43" spans="1:7" ht="13.5" customHeight="1">
      <c r="A43" s="950" t="s">
        <v>792</v>
      </c>
      <c r="B43" s="259" t="s">
        <v>1061</v>
      </c>
      <c r="C43" s="282">
        <f ca="1">ROUND(IF('数据-取费表'!B22&lt;=1,C39*F22*'数据-取费表'!B21/2,C39*(POWER((1+F22),'数据-取费表'!B21/2)-1)),0)</f>
        <v>5</v>
      </c>
      <c r="D43" s="282"/>
      <c r="E43" s="282"/>
      <c r="F43" s="283"/>
      <c r="G43" s="3186"/>
    </row>
    <row r="44" spans="1:7" ht="13.5" customHeight="1">
      <c r="A44" s="950" t="s">
        <v>793</v>
      </c>
      <c r="B44" s="259" t="s">
        <v>1063</v>
      </c>
      <c r="C44" s="282">
        <f ca="1">ROUND(IF('数据-取费表'!B22&lt;=1,C40*F22*'数据-取费表'!B21/2,C40*(POWER((1+F22),'数据-取费表'!B21/2)-1)),4)</f>
        <v>1E-3</v>
      </c>
      <c r="D44" s="282"/>
      <c r="E44" s="282"/>
      <c r="F44" s="283"/>
      <c r="G44" s="3187"/>
    </row>
    <row r="45" spans="1:7" s="258" customFormat="1" ht="13.5" customHeight="1">
      <c r="A45" s="947" t="s">
        <v>786</v>
      </c>
      <c r="B45" s="288" t="s">
        <v>112</v>
      </c>
      <c r="C45" s="289">
        <f>C46</f>
        <v>771</v>
      </c>
      <c r="D45" s="279">
        <f>C47</f>
        <v>3.0000000000000001E-3</v>
      </c>
      <c r="E45" s="280" t="s">
        <v>129</v>
      </c>
      <c r="F45" s="290"/>
      <c r="G45" s="291" t="s">
        <v>1069</v>
      </c>
    </row>
    <row r="46" spans="1:7" s="258" customFormat="1" ht="13.5" customHeight="1">
      <c r="A46" s="950" t="s">
        <v>794</v>
      </c>
      <c r="B46" s="292" t="s">
        <v>1062</v>
      </c>
      <c r="C46" s="293">
        <f>ROUND((C33+C39)*F27,0)</f>
        <v>771</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6669</v>
      </c>
      <c r="D49" s="276"/>
      <c r="E49" s="276"/>
      <c r="F49" s="308"/>
      <c r="G49" s="278" t="s">
        <v>1070</v>
      </c>
    </row>
    <row r="50" spans="1:7" s="302" customFormat="1" ht="24">
      <c r="A50" s="947" t="s">
        <v>789</v>
      </c>
      <c r="B50" s="254" t="s">
        <v>124</v>
      </c>
      <c r="C50" s="276"/>
      <c r="D50" s="276"/>
      <c r="E50" s="276"/>
      <c r="F50" s="308">
        <f>IF('数据-取费表'!B24=0,'数据-取费表'!N16,1)</f>
        <v>0.97</v>
      </c>
      <c r="G50" s="291" t="s">
        <v>125</v>
      </c>
    </row>
    <row r="51" spans="1:7" ht="16.5" customHeight="1">
      <c r="A51" s="947" t="s">
        <v>790</v>
      </c>
      <c r="B51" s="254" t="s">
        <v>132</v>
      </c>
      <c r="C51" s="276">
        <f ca="1">ROUND(C49*F50,0)</f>
        <v>6469</v>
      </c>
      <c r="D51" s="276"/>
      <c r="E51" s="276"/>
      <c r="F51" s="308"/>
      <c r="G51" s="278" t="s">
        <v>64</v>
      </c>
    </row>
    <row r="52" spans="1:7" s="252" customFormat="1" ht="16.5" thickBot="1">
      <c r="A52" s="309" t="s">
        <v>65</v>
      </c>
      <c r="B52" s="310"/>
      <c r="C52" s="311">
        <f ca="1">C31+C51</f>
        <v>35683</v>
      </c>
      <c r="D52" s="310"/>
      <c r="E52" s="310"/>
      <c r="F52" s="310"/>
      <c r="G52" s="312"/>
    </row>
    <row r="55" spans="1:7" ht="15">
      <c r="B55" s="314" t="s">
        <v>66</v>
      </c>
      <c r="C55" s="315"/>
    </row>
    <row r="56" spans="1:7">
      <c r="B56" s="317" t="s">
        <v>67</v>
      </c>
      <c r="C56" s="318">
        <f ca="1">ROUND(C51/C52,3)</f>
        <v>0.18099999999999999</v>
      </c>
    </row>
    <row r="57" spans="1:7">
      <c r="B57" s="317" t="s">
        <v>68</v>
      </c>
      <c r="C57" s="319">
        <f ca="1">1-C56</f>
        <v>0.81899999999999995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868</v>
      </c>
      <c r="B1" s="3335"/>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43761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6"/>
  <sheetViews>
    <sheetView workbookViewId="0">
      <selection activeCell="P10" sqref="P10"/>
    </sheetView>
  </sheetViews>
  <sheetFormatPr defaultRowHeight="13.5"/>
  <sheetData>
    <row r="16" spans="16:16">
      <c r="P16" s="2996" t="s">
        <v>3185</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1636</v>
      </c>
      <c r="B2" s="3011" t="s">
        <v>1637</v>
      </c>
      <c r="C2" s="3011" t="s">
        <v>1638</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3" t="s">
        <v>1633</v>
      </c>
      <c r="E3" s="1043" t="s">
        <v>1639</v>
      </c>
      <c r="F3" s="1043" t="s">
        <v>1633</v>
      </c>
      <c r="G3" s="1043" t="s">
        <v>1634</v>
      </c>
      <c r="H3" s="1043" t="s">
        <v>1633</v>
      </c>
      <c r="I3" s="1043" t="s">
        <v>1634</v>
      </c>
    </row>
    <row r="4" spans="1:9" ht="15">
      <c r="A4" s="1971" t="str">
        <f>项目基本情况!S2</f>
        <v>房地产</v>
      </c>
      <c r="B4" s="1043">
        <f>项目基本情况!C17</f>
        <v>39697.29</v>
      </c>
      <c r="C4" s="1043">
        <f>项目基本情况!C18</f>
        <v>0</v>
      </c>
      <c r="D4" s="1043" t="e">
        <f ca="1">结果表!D118</f>
        <v>#REF!</v>
      </c>
      <c r="E4" s="1043" t="e">
        <f ca="1">结果表!E118</f>
        <v>#REF!</v>
      </c>
      <c r="F4" s="1043" t="e">
        <f ca="1">结果表!F118</f>
        <v>#REF!</v>
      </c>
      <c r="G4" s="1043" t="e">
        <f ca="1">结果表!G118</f>
        <v>#REF!</v>
      </c>
      <c r="H4" s="1043">
        <f ca="1">结果表!H118</f>
        <v>28352</v>
      </c>
      <c r="I4" s="1043">
        <f ca="1">结果表!I118</f>
        <v>7142</v>
      </c>
    </row>
    <row r="5" spans="1:9" ht="30" customHeight="1">
      <c r="A5" s="3012" t="s">
        <v>1635</v>
      </c>
      <c r="B5" s="3012"/>
      <c r="C5" s="3012"/>
      <c r="D5" s="3013" t="e">
        <f ca="1">结果表!D119</f>
        <v>#REF!</v>
      </c>
      <c r="E5" s="3013"/>
      <c r="F5" s="3013" t="e">
        <f ca="1">结果表!F119</f>
        <v>#REF!</v>
      </c>
      <c r="G5" s="3013"/>
      <c r="H5" s="3013" t="str">
        <f ca="1">结果表!H119</f>
        <v>贰亿捌仟叁佰伍拾贰万元整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1635</v>
      </c>
      <c r="B7" s="3012"/>
      <c r="C7" s="3012"/>
      <c r="D7" s="3015" t="str">
        <f>结果表!D121</f>
        <v>零元整</v>
      </c>
      <c r="E7" s="3016"/>
      <c r="F7" s="3016"/>
      <c r="G7" s="3016"/>
      <c r="H7" s="3016"/>
      <c r="I7" s="3017"/>
    </row>
    <row r="8" spans="1:9" ht="15.75">
      <c r="A8" s="3014" t="str">
        <f>结果表!A122</f>
        <v>房地产抵押价值</v>
      </c>
      <c r="B8" s="3014"/>
      <c r="C8" s="3014"/>
      <c r="D8" s="3014">
        <f ca="1">结果表!D122</f>
        <v>28352</v>
      </c>
      <c r="E8" s="3014"/>
      <c r="F8" s="3014"/>
      <c r="G8" s="3014"/>
      <c r="H8" s="3014"/>
      <c r="I8" s="3014"/>
    </row>
    <row r="9" spans="1:9" ht="15">
      <c r="A9" s="3012" t="s">
        <v>1635</v>
      </c>
      <c r="B9" s="3012"/>
      <c r="C9" s="3012"/>
      <c r="D9" s="3013" t="str">
        <f ca="1">结果表!D123</f>
        <v>贰亿捌仟叁佰伍拾贰万元整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1635</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1635</v>
      </c>
      <c r="B13" s="3018"/>
      <c r="C13" s="3018"/>
      <c r="D13" s="3019" t="e">
        <f>结果表!D127</f>
        <v>#VALUE!</v>
      </c>
      <c r="E13" s="3019"/>
      <c r="F13" s="3019"/>
      <c r="G13" s="3019"/>
      <c r="H13" s="3019"/>
      <c r="I13" s="3019"/>
    </row>
    <row r="14" spans="1:9" ht="15" thickTop="1">
      <c r="A14" s="3020" t="s">
        <v>1640</v>
      </c>
      <c r="B14" s="3020"/>
      <c r="C14" s="3020"/>
      <c r="D14" s="3020"/>
      <c r="E14" s="3020"/>
      <c r="F14" s="3020"/>
      <c r="G14" s="3020"/>
      <c r="H14" s="3020"/>
      <c r="I14" s="3020"/>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1" t="s">
        <v>1657</v>
      </c>
      <c r="B1" s="3021"/>
      <c r="C1" s="3021"/>
      <c r="D1" s="3021"/>
    </row>
    <row r="2" spans="1:4" ht="18">
      <c r="A2" s="3022" t="s">
        <v>1641</v>
      </c>
      <c r="B2" s="3022"/>
      <c r="C2" s="3022"/>
      <c r="D2" s="3022"/>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22" t="s">
        <v>1647</v>
      </c>
      <c r="B6" s="3022"/>
      <c r="C6" s="3022"/>
      <c r="D6" s="3022"/>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23" t="s">
        <v>1650</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4" t="str">
        <f>IF(项目基本情况!B8="抵押","4.本次评估估价师所知悉的法定优先受偿款情况说明如下：","——")</f>
        <v>4.本次评估估价师所知悉的法定优先受偿款情况说明如下：</v>
      </c>
      <c r="B14" s="3025"/>
      <c r="C14" s="3025"/>
      <c r="D14" s="3025"/>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7" t="s">
        <v>1651</v>
      </c>
      <c r="B16" s="3027"/>
      <c r="C16" s="3027"/>
      <c r="D16" s="3027"/>
    </row>
    <row r="17" spans="1:4" ht="144" customHeight="1">
      <c r="A17" s="3027" t="s">
        <v>1652</v>
      </c>
      <c r="B17" s="3027"/>
      <c r="C17" s="3027"/>
      <c r="D17" s="3027"/>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1653</v>
      </c>
      <c r="B22" s="3029"/>
      <c r="C22" s="3029"/>
      <c r="D22" s="3029"/>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35" t="s">
        <v>1664</v>
      </c>
      <c r="B15" s="3030" t="s">
        <v>136</v>
      </c>
      <c r="C15" s="3031"/>
    </row>
    <row r="16" spans="1:7" ht="13.5">
      <c r="A16" s="3036"/>
      <c r="B16" s="3030" t="s">
        <v>69</v>
      </c>
      <c r="C16" s="3031"/>
    </row>
    <row r="17" spans="1:3" ht="13.5">
      <c r="A17" s="3036"/>
      <c r="B17" s="3033" t="s">
        <v>1665</v>
      </c>
      <c r="C17" s="1998" t="s">
        <v>1664</v>
      </c>
    </row>
    <row r="18" spans="1:3" ht="13.5">
      <c r="A18" s="3036"/>
      <c r="B18" s="3033"/>
      <c r="C18" s="1998" t="s">
        <v>1666</v>
      </c>
    </row>
    <row r="19" spans="1:3" ht="13.5">
      <c r="A19" s="3036"/>
      <c r="B19" s="3033"/>
      <c r="C19" s="1998" t="s">
        <v>1667</v>
      </c>
    </row>
    <row r="20" spans="1:3" ht="13.5">
      <c r="A20" s="3037"/>
      <c r="B20" s="3032" t="s">
        <v>1668</v>
      </c>
      <c r="C20" s="3031"/>
    </row>
    <row r="21" spans="1:3" ht="13.5">
      <c r="A21" s="1999" t="s">
        <v>1669</v>
      </c>
      <c r="B21" s="2000"/>
      <c r="C21" s="2001"/>
    </row>
    <row r="22" spans="1:3" ht="13.5">
      <c r="A22" s="3034" t="s">
        <v>1670</v>
      </c>
      <c r="B22" s="3032" t="s">
        <v>1671</v>
      </c>
      <c r="C22" s="3031"/>
    </row>
    <row r="23" spans="1:3" ht="13.5">
      <c r="A23" s="3034"/>
      <c r="B23" s="3032" t="s">
        <v>1672</v>
      </c>
      <c r="C23" s="3031"/>
    </row>
    <row r="24" spans="1:3" ht="13.5">
      <c r="A24" s="3034"/>
      <c r="B24" s="3032" t="s">
        <v>1673</v>
      </c>
      <c r="C24" s="3031"/>
    </row>
    <row r="25" spans="1:3" ht="13.5">
      <c r="A25" s="3034"/>
      <c r="B25" s="3033" t="s">
        <v>1674</v>
      </c>
      <c r="C25" s="1998" t="s">
        <v>1675</v>
      </c>
    </row>
    <row r="26" spans="1:3" ht="13.5">
      <c r="A26" s="3034"/>
      <c r="B26" s="3033"/>
      <c r="C26" s="1998" t="s">
        <v>1676</v>
      </c>
    </row>
    <row r="27" spans="1:3" ht="13.5">
      <c r="A27" s="3034"/>
      <c r="B27" s="3033"/>
      <c r="C27" s="1998" t="s">
        <v>1677</v>
      </c>
    </row>
    <row r="28" spans="1:3" ht="13.5">
      <c r="A28" s="3034"/>
      <c r="B28" s="3033"/>
      <c r="C28" s="1998" t="s">
        <v>1678</v>
      </c>
    </row>
    <row r="29" spans="1:3" ht="13.5">
      <c r="A29" s="3034"/>
      <c r="B29" s="3033"/>
      <c r="C29" s="1998" t="s">
        <v>1679</v>
      </c>
    </row>
    <row r="30" spans="1:3" ht="13.5">
      <c r="A30" s="3034"/>
      <c r="B30" s="3033"/>
      <c r="C30" s="1998" t="s">
        <v>1680</v>
      </c>
    </row>
    <row r="31" spans="1:3" ht="13.5">
      <c r="A31" s="3034"/>
      <c r="B31" s="3033"/>
      <c r="C31" s="1998" t="s">
        <v>1681</v>
      </c>
    </row>
    <row r="32" spans="1:3" ht="13.5">
      <c r="A32" s="3034"/>
      <c r="B32" s="3033"/>
      <c r="C32" s="1998" t="s">
        <v>1682</v>
      </c>
    </row>
    <row r="33" spans="1:3" ht="13.5">
      <c r="A33" s="3034"/>
      <c r="B33" s="3033"/>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43761</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44395</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44554</v>
      </c>
      <c r="D10" s="2348" t="s">
        <v>838</v>
      </c>
      <c r="E10" s="1021">
        <f ca="1">IF(F10&lt;B2,"已过期",2004110096)</f>
        <v>2004110096</v>
      </c>
      <c r="F10" s="1029">
        <v>47118</v>
      </c>
    </row>
    <row r="11" spans="1:6" ht="24" customHeight="1">
      <c r="A11" s="1701" t="s">
        <v>839</v>
      </c>
      <c r="B11" s="1021">
        <f ca="1">IF(C11&lt;B2,"已过期",1120100036)</f>
        <v>1120100036</v>
      </c>
      <c r="C11" s="2345">
        <v>44675</v>
      </c>
      <c r="D11" s="2348"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5">
        <v>43814</v>
      </c>
      <c r="D13" s="2348" t="s">
        <v>840</v>
      </c>
      <c r="E13" s="1021">
        <f ca="1">IF(F13&lt;B2,"已过期",2014110011)</f>
        <v>2014110011</v>
      </c>
      <c r="F13" s="1029">
        <v>49302</v>
      </c>
    </row>
    <row r="14" spans="1:6" ht="24" customHeight="1">
      <c r="A14" s="1701" t="s">
        <v>3043</v>
      </c>
      <c r="B14" s="1021">
        <f ca="1">IF(C14&lt;B2,"已过期",1120040230)</f>
        <v>1120040230</v>
      </c>
      <c r="C14" s="2345">
        <v>43835</v>
      </c>
      <c r="D14" s="2348" t="s">
        <v>3043</v>
      </c>
      <c r="E14" s="1021">
        <f ca="1">IF(F14&lt;B2,"已过期",98030020)</f>
        <v>98030020</v>
      </c>
      <c r="F14" s="1029">
        <v>47118</v>
      </c>
    </row>
    <row r="15" spans="1:6" ht="24" customHeight="1">
      <c r="A15" s="1702" t="s">
        <v>3044</v>
      </c>
      <c r="B15" s="1021">
        <f ca="1">IF(C15&lt;B2,"已过期",1120070085)</f>
        <v>1120070085</v>
      </c>
      <c r="C15" s="2345">
        <v>43814</v>
      </c>
      <c r="D15" s="2349" t="s">
        <v>3044</v>
      </c>
      <c r="E15" s="1021">
        <f ca="1">IF(F15&lt;B2,"已过期",2004110128)</f>
        <v>2004110128</v>
      </c>
      <c r="F15" s="1022">
        <v>47118</v>
      </c>
    </row>
    <row r="16" spans="1:6" ht="24" customHeight="1">
      <c r="A16" s="1701" t="s">
        <v>3045</v>
      </c>
      <c r="B16" s="1021">
        <f ca="1">IF(C16&lt;B2,"已过期",1120140022)</f>
        <v>1120140022</v>
      </c>
      <c r="C16" s="2928">
        <v>44029</v>
      </c>
      <c r="D16" s="2348" t="s">
        <v>3045</v>
      </c>
      <c r="E16" s="1021">
        <f ca="1">IF(F16&lt;B2,"已过期",2008110059)</f>
        <v>2008110059</v>
      </c>
      <c r="F16" s="1029">
        <v>47177</v>
      </c>
    </row>
    <row r="17" spans="1:7" ht="24" customHeight="1">
      <c r="A17" s="1701"/>
      <c r="B17" s="1021"/>
      <c r="C17" s="2345"/>
      <c r="D17" s="2348" t="s">
        <v>3046</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841</v>
      </c>
      <c r="E21" s="1021">
        <f ca="1">IF(F21&lt;B2,"已过期",2011110090)</f>
        <v>2011110090</v>
      </c>
      <c r="F21" s="1029">
        <v>48302</v>
      </c>
    </row>
    <row r="22" spans="1:7" ht="24" customHeight="1">
      <c r="A22" s="1701" t="s">
        <v>842</v>
      </c>
      <c r="B22" s="1021">
        <f ca="1">IF(C22&lt;B2,"已过期",1120020033)</f>
        <v>1120020033</v>
      </c>
      <c r="C22" s="2928">
        <v>44339</v>
      </c>
      <c r="D22" s="2348" t="s">
        <v>842</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1329</v>
      </c>
      <c r="B24" s="1702" t="s">
        <v>1329</v>
      </c>
      <c r="C24" s="2346" t="s">
        <v>1329</v>
      </c>
      <c r="D24" s="2349" t="s">
        <v>1329</v>
      </c>
      <c r="E24" s="1702" t="s">
        <v>1329</v>
      </c>
      <c r="F24" s="1702" t="s">
        <v>1329</v>
      </c>
    </row>
    <row r="25" spans="1:7" ht="24" customHeight="1">
      <c r="A25" s="3038" t="s">
        <v>843</v>
      </c>
      <c r="B25" s="3038"/>
      <c r="C25" s="3038"/>
      <c r="D25" s="3038"/>
      <c r="E25" s="3038"/>
      <c r="F25" s="3038"/>
      <c r="G25" s="3038"/>
    </row>
    <row r="26" spans="1:7" s="1024" customFormat="1" ht="24" customHeight="1">
      <c r="A26" s="3039" t="s">
        <v>844</v>
      </c>
      <c r="B26" s="3039"/>
      <c r="C26" s="3040"/>
      <c r="D26" s="3041" t="s">
        <v>845</v>
      </c>
      <c r="E26" s="3039"/>
      <c r="F26" s="3039"/>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3050</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商业面积</vt:lpstr>
      <vt:lpstr>租金</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2019-10-23T08:47:57Z</dcterms:modified>
</cp:coreProperties>
</file>