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结果表-2-1#"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J52" i="15" l="1"/>
  <c r="A6" i="1"/>
  <c r="G1" i="15"/>
  <c r="F6" i="15"/>
  <c r="F8" i="15"/>
  <c r="F19" i="6"/>
  <c r="E19" i="6"/>
  <c r="K6" i="1"/>
  <c r="F7" i="15"/>
  <c r="F9" i="15"/>
  <c r="C6" i="15"/>
  <c r="D3" i="4"/>
  <c r="C1" i="73"/>
  <c r="L1" i="73"/>
  <c r="F4" i="73"/>
  <c r="I1" i="73"/>
  <c r="B39" i="1"/>
  <c r="F11" i="15"/>
  <c r="C10" i="15"/>
  <c r="C5" i="15"/>
  <c r="B43" i="1"/>
  <c r="B41" i="1"/>
  <c r="F32" i="15"/>
  <c r="B2" i="1"/>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B3" i="15"/>
  <c r="C20" i="78"/>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D106" i="33"/>
  <c r="F34" i="33"/>
  <c r="AA34" i="33"/>
  <c r="D108" i="33"/>
  <c r="F35" i="33"/>
  <c r="AA35" i="33"/>
  <c r="D111" i="33"/>
  <c r="E111" i="33"/>
  <c r="F111" i="33"/>
  <c r="C36" i="33"/>
  <c r="F36" i="33"/>
  <c r="AA36" i="33"/>
  <c r="F37" i="33"/>
  <c r="AA37" i="33"/>
  <c r="F38" i="33"/>
  <c r="AA38" i="33"/>
  <c r="D117" i="33"/>
  <c r="F39" i="33"/>
  <c r="AA39" i="33"/>
  <c r="F40" i="33"/>
  <c r="AA40" i="33"/>
  <c r="F41" i="33"/>
  <c r="AA41" i="33"/>
  <c r="D123" i="33"/>
  <c r="E123" i="33"/>
  <c r="F42" i="33"/>
  <c r="AA42" i="33"/>
  <c r="D125" i="33"/>
  <c r="E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D20" i="78"/>
  <c r="C17" i="78"/>
  <c r="D17" i="78"/>
  <c r="C18" i="78"/>
  <c r="D18" i="78"/>
  <c r="G20" i="78"/>
  <c r="R24" i="31"/>
  <c r="E111" i="78"/>
  <c r="H111" i="78"/>
  <c r="D126" i="78"/>
  <c r="D127" i="78"/>
  <c r="A126" i="78"/>
  <c r="E109" i="78"/>
  <c r="H109" i="78"/>
  <c r="D124" i="78"/>
  <c r="D125" i="78"/>
  <c r="A124" i="78"/>
  <c r="E107" i="78"/>
  <c r="C19" i="78"/>
  <c r="D3" i="33"/>
  <c r="B2" i="33"/>
  <c r="D19" i="78"/>
  <c r="G19" i="78"/>
  <c r="C24" i="78"/>
  <c r="C25" i="78"/>
  <c r="C32" i="78"/>
  <c r="I118" i="78"/>
  <c r="M18" i="78"/>
  <c r="B118" i="78"/>
  <c r="H118" i="78"/>
  <c r="H101" i="78"/>
  <c r="H105" i="78"/>
  <c r="H106" i="78"/>
  <c r="H103" i="78"/>
  <c r="H107" i="78"/>
  <c r="D122" i="78"/>
  <c r="D123" i="78"/>
  <c r="A122" i="78"/>
  <c r="D120" i="78"/>
  <c r="D121" i="78"/>
  <c r="A120" i="78"/>
  <c r="K120" i="78"/>
  <c r="H119" i="78"/>
  <c r="D35" i="78"/>
  <c r="C35" i="78"/>
  <c r="G118" i="78"/>
  <c r="F118" i="78"/>
  <c r="F119" i="78"/>
  <c r="C34" i="78"/>
  <c r="E118" i="78"/>
  <c r="D118" i="78"/>
  <c r="D119"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D22" i="78"/>
  <c r="L19" i="78"/>
  <c r="G21" i="78"/>
  <c r="D21" i="78"/>
  <c r="C21" i="78"/>
  <c r="L18" i="78"/>
  <c r="L4" i="78"/>
  <c r="K4" i="78"/>
  <c r="A2" i="78"/>
  <c r="H1" i="78"/>
  <c r="B27" i="31"/>
  <c r="B26" i="31"/>
  <c r="B25" i="31"/>
  <c r="B24" i="31"/>
  <c r="N22" i="1"/>
  <c r="N24" i="1"/>
  <c r="N25" i="1"/>
  <c r="A7" i="1"/>
  <c r="A8" i="1"/>
  <c r="G1" i="67"/>
  <c r="F8" i="1"/>
  <c r="L48" i="67"/>
  <c r="J50" i="67"/>
  <c r="J51" i="67"/>
  <c r="B24" i="1"/>
  <c r="M47"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Q26" i="31"/>
  <c r="R26" i="31"/>
  <c r="C27" i="31"/>
  <c r="E27" i="31"/>
  <c r="G27" i="31"/>
  <c r="I27" i="31"/>
  <c r="K27" i="31"/>
  <c r="M27" i="31"/>
  <c r="O27" i="31"/>
  <c r="Q27"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101"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S25" i="31"/>
  <c r="I28" i="31"/>
  <c r="Q28" i="31"/>
  <c r="K28" i="31"/>
  <c r="AC28" i="34"/>
  <c r="S21" i="40"/>
  <c r="AA12" i="21"/>
  <c r="H25" i="21"/>
  <c r="U25" i="21"/>
  <c r="F25" i="21"/>
  <c r="S25" i="21"/>
  <c r="J25" i="21"/>
  <c r="AC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0" i="31"/>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4" i="73"/>
  <c r="C76" i="15"/>
  <c r="L51" i="15"/>
  <c r="L57" i="15"/>
  <c r="L47" i="15"/>
  <c r="L58" i="15"/>
  <c r="L59" i="15"/>
  <c r="L60"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<sst xmlns="http://schemas.openxmlformats.org/spreadsheetml/2006/main" count="7701" uniqueCount="3130">
  <si>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</si>
  <si>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</si>
  <si>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</si>
  <si>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</si>
  <si>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</si>
  <si>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</si>
  <si>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</si>
  <si>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</si>
  <si>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</si>
  <si>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</si>
  <si>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</si>
  <si>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</si>
  <si>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</si>
  <si>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</si>
  <si>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</si>
  <si>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</si>
  <si>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</si>
  <si>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</si>
  <si>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</si>
  <si>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</si>
  <si>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</si>
  <si>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</si>
  <si>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</si>
  <si>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</si>
  <si>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</si>
  <si>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</si>
  <si>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</si>
  <si>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</si>
  <si>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</si>
  <si>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</si>
  <si>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</si>
  <si>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</si>
  <si>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</si>
  <si>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</si>
  <si>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</si>
  <si>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</si>
  <si>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</si>
  <si>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</si>
  <si>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</si>
  <si>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</si>
  <si>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</si>
  <si>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</si>
  <si>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</si>
  <si>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</si>
  <si>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</si>
  <si>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</si>
  <si>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</si>
  <si>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</si>
  <si>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</si>
  <si>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</si>
  <si>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</si>
  <si>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</si>
  <si>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</si>
  <si>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</si>
  <si>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</si>
  <si>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</si>
  <si>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</si>
  <si>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</si>
  <si>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</si>
  <si>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</si>
  <si>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</si>
  <si>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</si>
  <si>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</si>
  <si>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</si>
  <si>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</si>
  <si>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</si>
  <si>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</si>
  <si>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</si>
  <si>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</si>
  <si>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</si>
  <si>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</si>
  <si>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</si>
  <si>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</si>
  <si>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</si>
  <si>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</si>
  <si>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</si>
  <si>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</si>
  <si>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</si>
  <si>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</si>
  <si>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</si>
  <si>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</si>
  <si>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</si>
  <si>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</si>
  <si>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</si>
  <si>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</si>
  <si>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</si>
  <si>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</si>
  <si>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</si>
  <si>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</si>
  <si>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</si>
  <si>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</si>
  <si>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</si>
  <si>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</si>
  <si>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</si>
  <si>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</si>
  <si>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</si>
  <si>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</si>
  <si>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</si>
  <si>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</si>
  <si>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</si>
  <si>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</si>
  <si>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</si>
  <si>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</si>
  <si>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</si>
  <si>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</si>
  <si>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</si>
  <si>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</si>
  <si>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</si>
  <si>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</si>
  <si>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</si>
  <si>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</si>
  <si>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</si>
  <si>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</si>
  <si>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</si>
  <si>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</si>
  <si>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</si>
  <si>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</si>
  <si>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</si>
  <si>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</si>
  <si>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</si>
  <si>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</si>
  <si>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</si>
  <si>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</si>
  <si>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</si>
  <si>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</si>
  <si>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</si>
  <si>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</si>
  <si>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</si>
  <si>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</si>
  <si>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</si>
  <si>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</si>
  <si>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</si>
  <si>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</si>
  <si>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</si>
  <si>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</si>
  <si>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</si>
  <si>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</si>
  <si>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</si>
  <si>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</si>
  <si>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</si>
  <si>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</si>
  <si>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</si>
  <si>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</si>
  <si>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</si>
  <si>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</si>
  <si>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</si>
  <si>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</si>
  <si>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</si>
  <si>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</si>
  <si>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</si>
  <si>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</si>
  <si>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</si>
  <si>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</si>
  <si>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</si>
  <si>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</si>
  <si>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</si>
  <si>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</si>
  <si>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</si>
  <si>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</si>
  <si>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</si>
  <si>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</si>
  <si>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</si>
  <si>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</si>
  <si>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</si>
  <si>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</si>
  <si>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</si>
  <si>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</si>
  <si>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</si>
  <si>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</si>
  <si>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</si>
  <si>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</si>
  <si>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</si>
  <si>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</si>
  <si>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</si>
  <si>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</si>
  <si>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</si>
  <si>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</si>
  <si>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</si>
  <si>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</si>
  <si>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</si>
  <si>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</si>
  <si>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</si>
  <si>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</si>
  <si>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</si>
  <si>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</si>
  <si>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</si>
  <si>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</si>
  <si>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</si>
  <si>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</si>
  <si>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</si>
  <si>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</si>
  <si>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</si>
  <si>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</si>
  <si>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</si>
  <si>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</si>
  <si>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</si>
  <si>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</si>
  <si>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</si>
  <si>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</si>
  <si>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</si>
  <si>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</si>
  <si>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</si>
  <si>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</si>
  <si>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</si>
  <si>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</si>
  <si>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</si>
  <si>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</si>
  <si>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</si>
  <si>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</si>
  <si>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</si>
  <si>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</si>
  <si>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</si>
  <si>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</si>
  <si>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</si>
  <si>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</si>
  <si>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</si>
  <si>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</si>
  <si>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</si>
  <si>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</si>
  <si>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</si>
  <si>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</si>
  <si>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</si>
  <si>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</si>
  <si>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</si>
  <si>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</si>
  <si>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</si>
  <si>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</si>
  <si>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</si>
  <si>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</si>
  <si>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</si>
  <si>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</si>
  <si>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</si>
  <si>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</si>
  <si>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</si>
  <si>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</si>
  <si>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</si>
  <si>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</si>
  <si>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</si>
  <si>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</si>
  <si>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</si>
  <si>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</si>
  <si>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</si>
  <si>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</si>
  <si>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</si>
  <si>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</si>
  <si>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</si>
  <si>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</si>
  <si>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</si>
  <si>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</si>
  <si>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</si>
  <si>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</si>
  <si>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</si>
  <si>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</si>
  <si>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</si>
  <si>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</si>
  <si>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</si>
  <si>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</si>
  <si>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</si>
  <si>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</si>
  <si>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</si>
  <si>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</si>
  <si>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</si>
  <si>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</si>
  <si>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</si>
  <si>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</si>
  <si>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</si>
  <si>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</si>
  <si>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</si>
  <si>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</si>
  <si>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</si>
  <si>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</si>
  <si>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</si>
  <si>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</si>
  <si>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</si>
  <si>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</si>
  <si>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</si>
  <si>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</si>
  <si>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</si>
  <si>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</si>
  <si>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</si>
  <si>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</si>
  <si>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</si>
  <si>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</si>
  <si>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</si>
  <si>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</si>
  <si>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</si>
  <si>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</si>
  <si>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</si>
  <si>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</si>
  <si>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</si>
  <si>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</si>
  <si>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</si>
  <si>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</si>
  <si>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</si>
  <si>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</si>
  <si>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</si>
  <si>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</si>
  <si>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</si>
  <si>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</si>
  <si>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</si>
  <si>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</si>
  <si>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</si>
  <si>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</si>
  <si>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</si>
  <si>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</si>
  <si>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</si>
  <si>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</si>
  <si>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</si>
  <si>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</si>
  <si>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</si>
  <si>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</si>
  <si>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</si>
  <si>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</si>
  <si>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</si>
  <si>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</si>
  <si>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</si>
  <si>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</si>
  <si>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</si>
  <si>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</si>
  <si>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</si>
  <si>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</si>
  <si>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</si>
  <si>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</si>
  <si>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</si>
  <si>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</si>
  <si>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</si>
  <si>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</si>
  <si>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</si>
  <si>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</si>
  <si>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</si>
  <si>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</si>
  <si>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</si>
  <si>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</si>
  <si>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</si>
  <si>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</si>
  <si>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</si>
  <si>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</si>
  <si>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</si>
  <si>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</si>
  <si>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</si>
  <si>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</si>
  <si>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</si>
  <si>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</si>
  <si>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</si>
  <si>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</si>
  <si>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</si>
  <si>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</si>
  <si>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</si>
  <si>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</si>
  <si>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</si>
  <si>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</si>
  <si>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</si>
  <si>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</si>
  <si>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</si>
  <si>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</si>
  <si>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</si>
  <si>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</si>
  <si>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</si>
  <si>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</si>
  <si>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</si>
  <si>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</si>
  <si>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</si>
  <si>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</si>
  <si>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</si>
  <si>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</si>
  <si>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</si>
  <si>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</si>
  <si>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</si>
  <si>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</si>
  <si>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</si>
  <si>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</si>
  <si>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</si>
  <si>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</si>
  <si>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</si>
  <si>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</si>
  <si>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</si>
  <si>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</si>
  <si>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</si>
  <si>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</si>
  <si>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</si>
  <si>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</si>
  <si>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</si>
  <si>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</si>
  <si>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</si>
  <si>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</si>
  <si>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</si>
  <si>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</si>
  <si>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</si>
  <si>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</si>
  <si>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</si>
  <si>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</si>
  <si>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</si>
  <si>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</si>
  <si>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</si>
  <si>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</si>
  <si>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</si>
  <si>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</si>
  <si>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</si>
  <si>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</si>
  <si>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</si>
  <si>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</si>
  <si>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</si>
  <si>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</si>
  <si>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</si>
  <si>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</si>
  <si>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</si>
  <si>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</si>
  <si>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</si>
  <si>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</si>
  <si>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</si>
  <si>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</si>
  <si>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</si>
  <si>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</si>
  <si>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</si>
  <si>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</si>
  <si>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</si>
  <si>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</si>
  <si>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</si>
  <si>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</si>
  <si>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</si>
  <si>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</si>
  <si>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</si>
  <si>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</si>
  <si>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</si>
  <si>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</si>
  <si>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</si>
  <si>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</si>
  <si>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</si>
  <si>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</si>
  <si>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</si>
  <si>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</si>
  <si>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</si>
  <si>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</si>
  <si>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</si>
  <si>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</si>
  <si>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</si>
  <si>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</si>
  <si>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</si>
  <si>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</si>
  <si>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</si>
  <si>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</si>
  <si>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</si>
  <si>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</si>
  <si>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</si>
  <si>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</si>
  <si>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</si>
  <si>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</si>
  <si>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</si>
  <si>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</si>
  <si>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</si>
  <si>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</si>
  <si>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</si>
  <si>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</si>
  <si>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</si>
  <si>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</si>
  <si>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</si>
  <si>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</si>
  <si>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</si>
  <si>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</si>
  <si>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</si>
  <si>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</si>
  <si>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</si>
  <si>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</si>
  <si>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</si>
  <si>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</si>
  <si>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</si>
  <si>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</si>
  <si>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</si>
  <si>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</si>
  <si>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</si>
  <si>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</si>
  <si>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</si>
  <si>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</si>
  <si>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</si>
  <si>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</si>
  <si>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</si>
  <si>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</si>
  <si>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</si>
  <si>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</si>
  <si>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</si>
  <si>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</si>
  <si>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</si>
  <si>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</si>
  <si>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</si>
  <si>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</si>
  <si>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</si>
  <si>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</si>
  <si>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</si>
  <si>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</si>
  <si>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</si>
  <si>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</si>
  <si>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</si>
  <si>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</si>
  <si>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</si>
  <si>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</si>
  <si>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</si>
  <si>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</si>
  <si>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</si>
  <si>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</si>
  <si>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</si>
  <si>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</si>
  <si>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</si>
  <si>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</si>
  <si>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</si>
  <si>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</si>
  <si>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</si>
  <si>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</si>
  <si>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</si>
  <si>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</si>
  <si>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</si>
  <si>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</si>
  <si>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</si>
  <si>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</si>
  <si>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</si>
  <si>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</si>
  <si>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</si>
  <si>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</si>
  <si>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</si>
  <si>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</si>
  <si>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</si>
  <si>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</si>
  <si>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</si>
  <si>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</si>
  <si>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</si>
  <si>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</si>
  <si>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</si>
  <si>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</si>
  <si>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</si>
  <si>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</si>
  <si>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</si>
  <si>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</si>
  <si>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</si>
  <si>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</si>
  <si>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</si>
  <si>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</si>
  <si>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</si>
  <si>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</si>
  <si>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</si>
  <si>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</si>
  <si>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</si>
  <si>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</si>
  <si>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</si>
  <si>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</si>
  <si>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</si>
  <si>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</si>
  <si>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</si>
  <si>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</si>
  <si>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</si>
  <si>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</si>
  <si>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</si>
  <si>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</si>
  <si>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</si>
  <si>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</si>
  <si>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</si>
  <si>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</si>
  <si>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</si>
  <si>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</si>
  <si>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</si>
  <si>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</si>
  <si>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</si>
  <si>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</si>
  <si>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</si>
  <si>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</si>
  <si>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</si>
  <si>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</si>
  <si>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</si>
  <si>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</si>
  <si>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</si>
  <si>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</si>
  <si>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</si>
  <si>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</si>
  <si>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</si>
  <si>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</si>
  <si>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</si>
  <si>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</si>
  <si>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</si>
  <si>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</si>
  <si>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</si>
  <si>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</si>
  <si>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</si>
  <si>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</si>
  <si>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</si>
  <si>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</si>
  <si>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</si>
  <si>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</si>
  <si>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</si>
  <si>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</si>
  <si>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</si>
  <si>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</si>
  <si>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</si>
  <si>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</si>
  <si>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</si>
  <si>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</si>
  <si>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</si>
  <si>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</si>
  <si>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</si>
  <si>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</si>
  <si>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</si>
  <si>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</si>
  <si>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</si>
  <si>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</si>
  <si>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</si>
  <si>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</si>
  <si>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</si>
  <si>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</si>
  <si>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</si>
  <si>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</si>
  <si>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</si>
  <si>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</si>
  <si>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</si>
  <si>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</si>
  <si>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</si>
  <si>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</si>
  <si>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</si>
  <si>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</si>
  <si>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</si>
  <si>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</si>
  <si>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</si>
  <si>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</si>
  <si>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</si>
  <si>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</si>
  <si>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</si>
  <si>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</si>
  <si>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</si>
  <si>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</si>
  <si>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</si>
  <si>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</si>
  <si>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</si>
  <si>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</si>
  <si>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</si>
  <si>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</si>
  <si>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</si>
  <si>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</si>
  <si>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</si>
  <si>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</si>
  <si>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</si>
  <si>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</si>
  <si>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</si>
  <si>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</si>
  <si>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</si>
  <si>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</si>
  <si>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</si>
  <si>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</si>
  <si>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</si>
  <si>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</si>
  <si>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</si>
  <si>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</si>
  <si>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</si>
  <si>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</si>
  <si>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</si>
  <si>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</si>
  <si>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</si>
  <si>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</si>
  <si>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</si>
  <si>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</si>
  <si>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</si>
  <si>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</si>
  <si>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</si>
  <si>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</si>
  <si>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</si>
  <si>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</si>
  <si>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</si>
  <si>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</si>
  <si>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</si>
  <si>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</si>
  <si>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</si>
  <si>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</si>
  <si>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</si>
  <si>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</si>
  <si>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</si>
  <si>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</si>
  <si>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</si>
  <si>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</si>
  <si>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</si>
  <si>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</si>
  <si>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</si>
  <si>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</si>
  <si>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</si>
  <si>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</si>
  <si>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</si>
  <si>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</si>
  <si>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</si>
  <si>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</si>
  <si>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</si>
  <si>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</si>
  <si>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</si>
  <si>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</si>
  <si>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</si>
  <si>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</si>
  <si>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</si>
  <si>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</si>
  <si>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</si>
  <si>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</si>
  <si>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</si>
  <si>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</si>
  <si>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</si>
  <si>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</si>
  <si>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</si>
  <si>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</si>
  <si>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</si>
  <si>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</si>
  <si>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</si>
  <si>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</si>
  <si>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</si>
  <si>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</si>
  <si>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</si>
  <si>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</si>
  <si>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</si>
  <si>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</si>
  <si>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</si>
  <si>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</si>
  <si>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</si>
  <si>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</si>
  <si>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</si>
  <si>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</si>
  <si>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</si>
  <si>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</si>
  <si>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</si>
  <si>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</si>
  <si>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</si>
  <si>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</si>
  <si>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</si>
  <si>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</si>
  <si>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</si>
  <si>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</si>
  <si>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</si>
  <si>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</si>
  <si>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</si>
  <si>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</si>
  <si>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</si>
  <si>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</si>
  <si>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</si>
  <si>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</si>
  <si>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</si>
  <si>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</si>
  <si>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</si>
  <si>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</si>
  <si>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</si>
  <si>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</si>
  <si>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</si>
  <si>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</si>
  <si>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</si>
  <si>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</si>
  <si>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</si>
  <si>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</si>
  <si>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</si>
  <si>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</si>
  <si>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</si>
  <si>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</si>
  <si>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</si>
  <si>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</si>
  <si>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</si>
  <si>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</si>
  <si>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</si>
  <si>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</si>
  <si>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</si>
  <si>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</si>
  <si>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</si>
  <si>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</si>
  <si>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</si>
  <si>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</si>
  <si>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</si>
  <si>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</si>
  <si>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</si>
  <si>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</si>
  <si>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</si>
  <si>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</si>
  <si>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</si>
  <si>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</si>
  <si>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</si>
  <si>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</si>
  <si>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</si>
  <si>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</si>
  <si>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</si>
  <si>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</si>
  <si>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</si>
  <si>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</si>
  <si>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</si>
  <si>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</si>
  <si>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</si>
  <si>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</si>
  <si>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</si>
  <si>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</si>
  <si>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</si>
  <si>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</si>
  <si>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</si>
  <si>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</si>
  <si>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</si>
  <si>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</si>
  <si>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</si>
  <si>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</si>
  <si>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</si>
  <si>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</si>
  <si>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</si>
  <si>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</si>
  <si>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</si>
  <si>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</si>
  <si>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</si>
  <si>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</si>
  <si>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</si>
  <si>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</si>
  <si>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</si>
  <si>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</si>
  <si>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</si>
  <si>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</si>
  <si>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</si>
  <si>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</si>
  <si>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</si>
  <si>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</si>
  <si>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</si>
  <si>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</si>
  <si>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</si>
  <si>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</si>
  <si>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</si>
  <si>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</si>
  <si>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</si>
  <si>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</si>
  <si>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</si>
  <si>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</si>
  <si>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</si>
  <si>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</si>
  <si>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</si>
  <si>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</si>
  <si>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</si>
  <si>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</si>
  <si>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</si>
  <si>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</si>
  <si>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</si>
  <si>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</si>
  <si>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</si>
  <si>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</si>
  <si>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</si>
  <si>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</si>
  <si>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</si>
  <si>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</si>
  <si>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</si>
  <si>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</si>
  <si>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</si>
  <si>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</si>
  <si>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</si>
  <si>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</si>
  <si>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</si>
  <si>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</si>
  <si>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</si>
  <si>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</si>
  <si>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</si>
  <si>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</si>
  <si>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</si>
  <si>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</si>
  <si>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</si>
  <si>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</si>
  <si>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</si>
  <si>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</si>
  <si>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</si>
  <si>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</si>
  <si>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</si>
  <si>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</si>
  <si>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</si>
  <si>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</si>
  <si>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</si>
  <si>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</si>
  <si>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</si>
  <si>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</si>
  <si>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</si>
  <si>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</si>
  <si>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</si>
  <si>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</si>
  <si>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</si>
  <si>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</si>
  <si>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</si>
  <si>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</si>
  <si>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</si>
  <si>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</si>
  <si>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</si>
  <si>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</si>
  <si>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</si>
  <si>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</si>
  <si>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</si>
  <si>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</si>
  <si>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</si>
  <si>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</si>
  <si>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</si>
  <si>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</si>
  <si>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</si>
  <si>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</si>
  <si>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</si>
  <si>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</si>
  <si>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</si>
  <si>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</si>
  <si>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</si>
  <si>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</si>
  <si>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</si>
  <si>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</si>
  <si>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</si>
  <si>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</si>
  <si>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</si>
  <si>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</si>
  <si>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</si>
  <si>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</si>
  <si>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</si>
  <si>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</si>
  <si>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</si>
  <si>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</si>
  <si>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</si>
  <si>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</si>
  <si>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</si>
  <si>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</si>
  <si>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</si>
  <si>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</si>
  <si>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</si>
  <si>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</si>
  <si>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</si>
  <si>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</si>
  <si>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</si>
  <si>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</si>
  <si>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</si>
  <si>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</si>
  <si>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</si>
  <si>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</si>
  <si>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</si>
  <si>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</si>
  <si>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</si>
  <si>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</si>
  <si>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</si>
  <si>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</si>
  <si>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</si>
  <si>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</si>
  <si>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</si>
  <si>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</si>
  <si>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</si>
  <si>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</si>
  <si>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</si>
  <si>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</si>
  <si>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</si>
  <si>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</si>
  <si>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</si>
  <si>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</si>
  <si>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</si>
  <si>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</si>
  <si>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</si>
  <si>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</si>
  <si>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</si>
  <si>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</si>
  <si>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</si>
  <si>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</si>
  <si>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</si>
  <si>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</si>
  <si>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</si>
  <si>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</si>
  <si>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</si>
  <si>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</si>
  <si>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</si>
  <si>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</si>
  <si>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</si>
  <si>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</si>
  <si>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</si>
  <si>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</si>
  <si>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</si>
  <si>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</si>
  <si>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</si>
  <si>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</si>
  <si>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</si>
  <si>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</si>
  <si>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</si>
  <si>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</si>
  <si>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</si>
  <si>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</si>
  <si>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</si>
  <si>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</si>
  <si>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</si>
  <si>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</si>
  <si>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</si>
  <si>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</si>
  <si>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</si>
  <si>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</si>
  <si>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</si>
  <si>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</si>
  <si>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</si>
  <si>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</si>
  <si>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</si>
  <si>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</si>
  <si>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</si>
  <si>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</si>
  <si>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</si>
  <si>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</si>
  <si>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</si>
  <si>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</si>
  <si>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</si>
  <si>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</si>
  <si>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</si>
  <si>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</si>
  <si>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</si>
  <si>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</si>
  <si>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</si>
  <si>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</si>
  <si>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</si>
  <si>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</si>
  <si>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</si>
  <si>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</si>
  <si>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</si>
  <si>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</si>
  <si>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</si>
  <si>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</si>
  <si>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</si>
  <si>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</si>
  <si>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</si>
  <si>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</si>
  <si>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</si>
  <si>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</si>
  <si>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</si>
  <si>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</si>
  <si>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</si>
  <si>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</si>
  <si>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</si>
  <si>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</si>
  <si>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</si>
  <si>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</si>
  <si>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</si>
  <si>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</si>
  <si>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</si>
  <si>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</si>
  <si>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</si>
  <si>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</si>
  <si>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</si>
  <si>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</si>
  <si>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</si>
  <si>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</si>
  <si>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</si>
  <si>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</si>
  <si>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</si>
  <si>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</si>
  <si>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</si>
  <si>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</si>
  <si>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</si>
  <si>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</si>
  <si>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</si>
  <si>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</si>
  <si>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</si>
  <si>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</si>
  <si>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</si>
  <si>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</si>
  <si>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</si>
  <si>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</si>
  <si>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</si>
  <si>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</si>
  <si>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</si>
  <si>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</si>
  <si>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</si>
  <si>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</si>
  <si>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</si>
  <si>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</si>
  <si>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</si>
  <si>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</si>
  <si>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</si>
  <si>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</si>
  <si>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</si>
  <si>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</si>
  <si>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</si>
  <si>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</si>
  <si>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</si>
  <si>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</si>
  <si>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</si>
  <si>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</si>
  <si>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</si>
  <si>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</si>
  <si>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</si>
  <si>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</si>
  <si>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</si>
  <si>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</si>
  <si>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</si>
  <si>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</si>
  <si>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</si>
  <si>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</si>
  <si>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</si>
  <si>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</si>
  <si>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</si>
  <si>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</si>
  <si>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</si>
  <si>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</si>
  <si>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</si>
  <si>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</si>
  <si>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</si>
  <si>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</si>
  <si>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</si>
  <si>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</si>
  <si>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</si>
  <si>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</si>
  <si>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</si>
  <si>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</si>
  <si>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</si>
  <si>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</si>
  <si>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</si>
  <si>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</si>
  <si>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</si>
  <si>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</si>
  <si>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</si>
  <si>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</si>
  <si>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</si>
  <si>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</si>
  <si>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</si>
  <si>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</si>
  <si>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</si>
  <si>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</si>
  <si>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</si>
  <si>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</si>
  <si>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</si>
  <si>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</si>
  <si>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</si>
  <si>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</si>
  <si>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</si>
  <si>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</si>
  <si>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</si>
  <si>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</si>
  <si>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</si>
  <si>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</si>
  <si>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</si>
  <si>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</si>
  <si>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</si>
  <si>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</si>
  <si>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</si>
  <si>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</si>
  <si>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</si>
  <si>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</si>
  <si>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</si>
  <si>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</si>
  <si>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</si>
  <si>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</si>
  <si>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</si>
  <si>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</si>
  <si>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</si>
  <si>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</si>
  <si>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</si>
  <si>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</si>
  <si>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</si>
  <si>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</si>
  <si>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</si>
  <si>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</si>
  <si>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</si>
  <si>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</si>
  <si>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</si>
  <si>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</si>
  <si>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</si>
  <si>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</si>
  <si>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</si>
  <si>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</si>
  <si>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</si>
  <si>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</si>
  <si>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</si>
  <si>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</si>
  <si>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</si>
  <si>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</si>
  <si>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</si>
  <si>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</si>
  <si>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</si>
  <si>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</si>
  <si>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</si>
  <si>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</si>
  <si>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</si>
  <si>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</si>
  <si>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</si>
  <si>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</si>
  <si>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</si>
  <si>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</si>
  <si>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</si>
  <si>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</si>
  <si>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</si>
  <si>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</si>
  <si>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</si>
  <si>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</si>
  <si>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</si>
  <si>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</si>
  <si>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</si>
  <si>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</si>
  <si>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</si>
  <si>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</si>
  <si>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</si>
  <si>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</si>
  <si>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</si>
  <si>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</si>
  <si>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</si>
  <si>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</si>
  <si>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</si>
  <si>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</si>
  <si>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</si>
  <si>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</si>
  <si>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</si>
  <si>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</si>
  <si>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</si>
  <si>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</si>
  <si>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</si>
  <si>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</si>
  <si>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</si>
  <si>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</si>
  <si>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</si>
  <si>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</si>
  <si>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</si>
  <si>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</si>
  <si>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</si>
  <si>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</si>
  <si>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</si>
  <si>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</si>
  <si>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</si>
  <si>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</si>
  <si>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</si>
  <si>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</si>
  <si>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</si>
  <si>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</si>
  <si>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</si>
  <si>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</si>
  <si>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</si>
  <si>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</si>
  <si>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</si>
  <si>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</si>
  <si>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</si>
  <si>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</si>
  <si>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</si>
  <si>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</si>
  <si>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</si>
  <si>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</si>
  <si>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</si>
  <si>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</si>
  <si>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</si>
  <si>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</si>
  <si>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</si>
  <si>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</si>
  <si>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</si>
  <si>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</si>
  <si>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</si>
  <si>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</si>
  <si>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</si>
  <si>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</si>
  <si>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</si>
  <si>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</si>
  <si>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</si>
  <si>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</si>
  <si>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</si>
  <si>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</si>
  <si>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</si>
  <si>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</si>
  <si>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</si>
  <si>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</si>
  <si>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</si>
  <si>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</si>
  <si>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</si>
  <si>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</si>
  <si>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</si>
  <si>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</si>
  <si>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</si>
  <si>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</si>
  <si>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</si>
  <si>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</si>
  <si>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</si>
  <si>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</si>
  <si>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</si>
  <si>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</si>
  <si>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</si>
  <si>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</si>
  <si>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</si>
  <si>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</si>
  <si>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</si>
  <si>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</si>
  <si>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</si>
  <si>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</si>
  <si>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</si>
  <si>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</si>
  <si>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</si>
  <si>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</si>
  <si>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</si>
  <si>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</si>
  <si>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</si>
  <si>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</si>
  <si>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</si>
  <si>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</si>
  <si>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</si>
  <si>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</si>
  <si>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</si>
  <si>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</si>
  <si>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</si>
  <si>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</si>
  <si>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</si>
  <si>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</si>
  <si>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</si>
  <si>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</si>
  <si>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</si>
  <si>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</si>
  <si>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</si>
  <si>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</si>
  <si>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</si>
  <si>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</si>
  <si>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</si>
  <si>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</si>
  <si>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</si>
  <si>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</si>
  <si>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</si>
  <si>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</si>
  <si>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</si>
  <si>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</si>
  <si>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</si>
  <si>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</si>
  <si>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</si>
  <si>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</si>
  <si>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</si>
  <si>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</si>
  <si>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</si>
  <si>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</si>
  <si>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</si>
  <si>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</si>
  <si>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</si>
  <si>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</si>
  <si>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</si>
  <si>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</si>
  <si>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</si>
  <si>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</si>
  <si>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</si>
  <si>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</si>
  <si>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</si>
  <si>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</si>
  <si>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</si>
  <si>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</si>
  <si>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</si>
  <si>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</si>
  <si>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</si>
  <si>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</si>
  <si>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</si>
  <si>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</si>
  <si>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</si>
  <si>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</si>
  <si>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</si>
  <si>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</si>
  <si>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</si>
  <si>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</si>
  <si>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</si>
  <si>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</si>
  <si>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</si>
  <si>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</si>
  <si>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</si>
  <si>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</si>
  <si>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</si>
  <si>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</si>
  <si>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</si>
  <si>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</si>
  <si>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</si>
  <si>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</si>
  <si>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</si>
  <si>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</si>
  <si>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</si>
  <si>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</si>
  <si>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</si>
  <si>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</si>
  <si>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</si>
  <si>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</si>
  <si>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</si>
  <si>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</si>
  <si>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</si>
  <si>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</si>
  <si>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</si>
  <si>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</si>
  <si>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</si>
  <si>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</si>
  <si>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</si>
  <si>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</si>
  <si>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</si>
  <si>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</si>
  <si>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</si>
  <si>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</si>
  <si>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</si>
  <si>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</si>
  <si>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</si>
  <si>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</si>
  <si>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</si>
  <si>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</si>
  <si>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</si>
  <si>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</si>
  <si>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</si>
  <si>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</si>
  <si>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</si>
  <si>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</si>
  <si>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</si>
  <si>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</si>
  <si>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</si>
  <si>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</si>
  <si>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</si>
  <si>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</si>
  <si>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</si>
  <si>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</si>
  <si>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</si>
  <si>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</si>
  <si>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</si>
  <si>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</si>
  <si>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</si>
  <si>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</si>
  <si>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</si>
  <si>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</si>
  <si>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</si>
  <si>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</si>
  <si>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</si>
  <si>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</si>
  <si>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</si>
  <si>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</si>
  <si>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</si>
  <si>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</si>
  <si>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</si>
  <si>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</si>
  <si>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</si>
  <si>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</si>
  <si>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</si>
  <si>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</si>
  <si>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</si>
  <si>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</si>
  <si>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</si>
  <si>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</si>
  <si>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</si>
  <si>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</si>
  <si>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</si>
  <si>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</si>
  <si>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</si>
  <si>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</si>
  <si>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</si>
  <si>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</si>
  <si>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</si>
  <si>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</si>
  <si>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</si>
  <si>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</si>
  <si>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</si>
  <si>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</si>
  <si>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</si>
  <si>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</si>
  <si>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</si>
  <si>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</si>
  <si>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</si>
  <si>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</si>
  <si>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</si>
  <si>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</si>
  <si>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</si>
  <si>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</si>
  <si>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</si>
  <si>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</si>
  <si>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</si>
  <si>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</si>
  <si>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</si>
  <si>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</si>
  <si>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</si>
  <si>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</si>
  <si>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</si>
  <si>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</si>
  <si>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</si>
  <si>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</si>
  <si>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</si>
  <si>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</si>
  <si>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</si>
  <si>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</si>
  <si>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</si>
  <si>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</si>
  <si>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</si>
  <si>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</si>
  <si>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</si>
  <si>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</si>
  <si>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</si>
  <si>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</si>
  <si>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</si>
  <si>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</si>
  <si>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</si>
  <si>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</si>
  <si>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</si>
  <si>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</si>
  <si>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</si>
  <si>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</si>
  <si>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</si>
  <si>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</si>
  <si>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</si>
  <si>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</si>
  <si>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</si>
  <si>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</si>
  <si>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</si>
  <si>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</si>
  <si>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</si>
  <si>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</si>
  <si>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</si>
  <si>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</si>
  <si>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</si>
  <si>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</si>
  <si>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</si>
  <si>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</si>
  <si>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</si>
  <si>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</si>
  <si>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</si>
  <si>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</si>
  <si>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</si>
  <si>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</si>
  <si>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</si>
  <si>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</si>
  <si>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</si>
  <si>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</si>
  <si>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</si>
  <si>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</si>
  <si>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</si>
  <si>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</si>
  <si>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</si>
  <si>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</si>
  <si>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</si>
  <si>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</si>
  <si>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</si>
  <si>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</si>
  <si>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</si>
  <si>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</si>
  <si>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</si>
  <si>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</si>
  <si>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</si>
  <si>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</si>
  <si>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</si>
  <si>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</si>
  <si>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</si>
  <si>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</si>
  <si>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</si>
  <si>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</si>
  <si>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</si>
  <si>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</si>
  <si>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</si>
  <si>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</si>
  <si>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</si>
  <si>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</si>
  <si>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</si>
  <si>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</si>
  <si>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</si>
  <si>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</si>
  <si>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</si>
  <si>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</si>
  <si>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</si>
  <si>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</si>
  <si>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</si>
  <si>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</si>
  <si>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</si>
  <si>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</si>
  <si>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</si>
  <si>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</si>
  <si>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</si>
  <si>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</si>
  <si>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</si>
  <si>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</si>
  <si>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</si>
  <si>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</si>
  <si>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</si>
  <si>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</si>
  <si>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</si>
  <si>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</si>
  <si>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</si>
  <si>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</si>
  <si>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</si>
  <si>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</si>
  <si>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</si>
  <si>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</si>
  <si>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</si>
  <si>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</si>
  <si>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</si>
  <si>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</si>
  <si>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</si>
  <si>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</si>
  <si>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</si>
  <si>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</si>
  <si>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</si>
  <si>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</si>
  <si>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</si>
  <si>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</si>
  <si>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</si>
  <si>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</si>
  <si>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</si>
  <si>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</si>
  <si>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</si>
  <si>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</si>
  <si>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</si>
  <si>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</si>
  <si>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</si>
  <si>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</si>
  <si>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</si>
  <si>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</si>
  <si>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</si>
  <si>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</si>
  <si>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</si>
  <si>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</si>
  <si>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</si>
  <si>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</si>
  <si>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</si>
  <si>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</si>
  <si>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</si>
  <si>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</si>
  <si>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</si>
  <si>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</si>
  <si>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</si>
  <si>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</si>
  <si>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</si>
  <si>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</si>
  <si>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</si>
  <si>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</si>
  <si>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</si>
  <si>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</si>
  <si>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</si>
  <si>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</si>
  <si>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</si>
  <si>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</si>
  <si>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</si>
  <si>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</si>
  <si>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</si>
  <si>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</si>
  <si>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</si>
  <si>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</si>
  <si>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</si>
  <si>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</si>
  <si>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</si>
  <si>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</si>
  <si>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</si>
  <si>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</si>
  <si>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</si>
  <si>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</si>
  <si>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</si>
  <si>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</si>
  <si>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</si>
  <si>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</si>
  <si>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</si>
  <si>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</si>
  <si>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</si>
  <si>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</si>
  <si>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</si>
  <si>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</si>
  <si>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</si>
  <si>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</si>
  <si>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</si>
  <si>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</si>
  <si>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</si>
  <si>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</si>
  <si>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</si>
  <si>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</si>
  <si>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</si>
  <si>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</si>
  <si>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</si>
  <si>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</si>
  <si>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</si>
  <si>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</si>
  <si>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</si>
  <si>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</si>
  <si>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</si>
  <si>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</si>
  <si>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</si>
  <si>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</si>
  <si>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</si>
  <si>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</si>
  <si>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</si>
  <si>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</si>
  <si>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</si>
  <si>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</si>
  <si>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</si>
  <si>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</si>
  <si>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</si>
  <si>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</si>
  <si>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</si>
  <si>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</si>
  <si>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</si>
  <si>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</si>
  <si>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</si>
  <si>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</si>
  <si>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</si>
  <si>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</si>
  <si>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</si>
  <si>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</si>
  <si>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</si>
  <si>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</si>
  <si>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</si>
  <si>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</si>
  <si>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</si>
  <si>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</si>
  <si>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</si>
  <si>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</si>
  <si>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</si>
  <si>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</si>
  <si>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</si>
  <si>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</si>
  <si>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</si>
  <si>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</si>
  <si>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</si>
  <si>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</si>
  <si>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</si>
  <si>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</si>
  <si>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</si>
  <si>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</si>
  <si>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</si>
  <si>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</si>
  <si>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</si>
  <si>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</si>
  <si>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</si>
  <si>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</si>
  <si>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</si>
  <si>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</si>
  <si>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</si>
  <si>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</si>
  <si>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</si>
  <si>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</si>
  <si>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</si>
  <si>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</si>
  <si>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</si>
  <si>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</si>
  <si>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</si>
  <si>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</si>
  <si>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</si>
  <si>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</si>
  <si>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</si>
  <si>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</si>
  <si>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</si>
  <si>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</si>
  <si>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</si>
  <si>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</si>
  <si>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</si>
  <si>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</si>
  <si>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</si>
  <si>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</si>
  <si>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</si>
  <si>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</si>
  <si>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</si>
  <si>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</si>
  <si>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</si>
  <si>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</si>
  <si>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</si>
  <si>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</si>
  <si>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</si>
  <si>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</si>
  <si>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</si>
  <si>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</si>
  <si>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</si>
  <si>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</si>
  <si>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</si>
  <si>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</si>
  <si>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</si>
  <si>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</si>
  <si>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</si>
  <si>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</si>
  <si>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</si>
  <si>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</si>
  <si>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</si>
  <si>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</si>
  <si>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</si>
  <si>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</si>
  <si>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</si>
  <si>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</si>
  <si>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</si>
  <si>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</si>
  <si>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</si>
  <si>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</si>
  <si>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</si>
  <si>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</si>
  <si>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</si>
  <si>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</si>
  <si>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</si>
  <si>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</si>
  <si>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</si>
  <si>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</si>
  <si>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</si>
  <si>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</si>
  <si>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</si>
  <si>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</si>
  <si>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</si>
  <si>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</si>
  <si>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</si>
  <si>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</si>
  <si>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</si>
  <si>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</si>
  <si>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</si>
  <si>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</si>
  <si>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</si>
  <si>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</si>
  <si>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</si>
  <si>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</si>
  <si>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</si>
  <si>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</si>
  <si>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</si>
  <si>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</si>
  <si>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</si>
  <si>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</si>
  <si>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</si>
  <si>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</si>
  <si>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</si>
  <si>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</si>
  <si>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</si>
  <si>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</si>
  <si>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</si>
  <si>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</si>
  <si>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</si>
  <si>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</si>
  <si>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</si>
  <si>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</si>
  <si>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</si>
  <si>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</si>
  <si>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</si>
  <si>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</si>
  <si>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</si>
  <si>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</si>
  <si>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</si>
  <si>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</si>
  <si>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</si>
  <si>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</si>
  <si>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</si>
  <si>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</si>
  <si>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</si>
  <si>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</si>
  <si>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</si>
  <si>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</si>
  <si>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</si>
  <si>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</si>
  <si>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</si>
  <si>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</si>
  <si>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</si>
  <si>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</si>
  <si>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</si>
  <si>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</si>
  <si>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</si>
  <si>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</si>
  <si>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</si>
  <si>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</si>
  <si>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</si>
  <si>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</si>
  <si>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</si>
  <si>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</si>
  <si>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</si>
  <si>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</si>
  <si>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</si>
  <si>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</si>
  <si>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</si>
  <si>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</si>
  <si>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</si>
  <si>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</si>
  <si>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</si>
  <si>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</si>
  <si>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</si>
  <si>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</si>
  <si>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</si>
  <si>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</si>
  <si>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</si>
  <si>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</si>
  <si>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</si>
  <si>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</si>
  <si>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</si>
  <si>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</si>
  <si>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</si>
  <si>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</si>
  <si>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</si>
  <si>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</si>
  <si>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</si>
  <si>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</si>
  <si>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</si>
  <si>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</si>
  <si>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</si>
  <si>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</si>
  <si>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</si>
  <si>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</si>
  <si>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</si>
  <si>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</si>
  <si>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</si>
  <si>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</si>
  <si>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</si>
  <si>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</si>
  <si>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</si>
  <si>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</si>
  <si>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</si>
  <si>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</si>
  <si>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</si>
  <si>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</si>
  <si>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</si>
  <si>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</si>
  <si>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</si>
  <si>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</si>
  <si>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</si>
  <si>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</si>
  <si>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</si>
  <si>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</si>
  <si>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</si>
  <si>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</si>
  <si>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</si>
  <si>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</si>
  <si>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</si>
  <si>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</si>
  <si>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</si>
  <si>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</si>
  <si>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</si>
  <si>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</si>
  <si>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</si>
  <si>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</si>
  <si>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</si>
  <si>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</si>
  <si>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</si>
  <si>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</si>
  <si>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</si>
  <si>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</si>
  <si>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</si>
  <si>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</si>
  <si>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</si>
  <si>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</si>
  <si>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</si>
  <si>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</si>
  <si>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</si>
  <si>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</si>
  <si>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</si>
  <si>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</si>
  <si>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</si>
  <si>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</si>
  <si>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</si>
  <si>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</si>
  <si>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</si>
  <si>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</si>
  <si>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</si>
  <si>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</si>
  <si>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</si>
  <si>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</si>
  <si>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</si>
  <si>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</si>
  <si>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</si>
  <si>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</si>
  <si>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</si>
  <si>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</si>
  <si>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</si>
  <si>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</si>
  <si>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</si>
  <si>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</si>
  <si>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</si>
  <si>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</si>
  <si>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</si>
  <si>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</si>
  <si>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</si>
  <si>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</si>
  <si>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</si>
  <si>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</si>
  <si>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</si>
  <si>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</si>
  <si>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</si>
  <si>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</si>
  <si>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</si>
  <si>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</si>
  <si>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</si>
  <si>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</si>
  <si>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</si>
  <si>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</si>
  <si>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</si>
  <si>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</si>
  <si>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</si>
  <si>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</si>
  <si>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</si>
  <si>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</si>
  <si>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</si>
  <si>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</si>
  <si>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</si>
  <si>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</si>
  <si>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</si>
  <si>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</si>
  <si>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</si>
  <si>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</si>
  <si>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</si>
  <si>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</si>
  <si>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</si>
  <si>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</si>
  <si>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</si>
  <si>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</si>
  <si>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</si>
  <si>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</si>
  <si>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</si>
  <si>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</si>
  <si>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</si>
  <si>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</si>
  <si>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</si>
  <si>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</si>
  <si>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</si>
  <si>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</si>
  <si>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</si>
  <si>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</si>
  <si>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</si>
  <si>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</si>
  <si>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</si>
  <si>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</si>
  <si>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</si>
  <si>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</si>
  <si>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</si>
  <si>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</si>
  <si>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</si>
  <si>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</si>
  <si>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</si>
  <si>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</si>
  <si>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</si>
  <si>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</si>
  <si>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</si>
  <si>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</si>
  <si>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</si>
  <si>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</si>
  <si>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</si>
  <si>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</si>
  <si>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</si>
  <si>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</si>
  <si>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</si>
  <si>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</si>
  <si>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</si>
  <si>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</si>
  <si>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</si>
  <si>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</si>
  <si>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</si>
  <si>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</si>
  <si>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</si>
  <si>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</si>
  <si>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</si>
  <si>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</si>
  <si>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</si>
  <si>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</si>
  <si>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</si>
  <si>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</si>
  <si>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</si>
  <si>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</si>
  <si>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</si>
  <si>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</si>
  <si>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</si>
  <si>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</si>
  <si>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</si>
  <si>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</si>
  <si>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</si>
  <si>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</si>
  <si>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</si>
  <si>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</si>
  <si>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</si>
  <si>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</si>
  <si>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</si>
  <si>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</si>
  <si>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</si>
  <si>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</si>
  <si>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</si>
  <si>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</si>
  <si>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</si>
  <si>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</si>
  <si>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</si>
  <si>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</si>
  <si>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</si>
  <si>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</si>
  <si>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</si>
  <si>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</si>
  <si>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</si>
  <si>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</si>
  <si>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</si>
  <si>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</si>
  <si>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</si>
  <si>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</si>
  <si>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</si>
  <si>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</si>
  <si>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</si>
  <si>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</si>
  <si>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</si>
  <si>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</si>
  <si>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</si>
  <si>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</si>
  <si>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</si>
  <si>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</si>
  <si>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</si>
  <si>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</si>
  <si>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</si>
  <si>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</si>
  <si>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</si>
  <si>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</si>
  <si>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</si>
  <si>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</si>
  <si>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</si>
  <si>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</si>
  <si>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</si>
  <si>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</si>
  <si>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</si>
  <si>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</si>
  <si>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</si>
  <si>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</si>
  <si>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</si>
  <si>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</si>
  <si>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</si>
  <si>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</si>
  <si>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</si>
  <si>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</si>
  <si>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</si>
  <si>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</si>
  <si>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</si>
  <si>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</si>
  <si>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</si>
  <si>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</si>
  <si>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</si>
  <si>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</si>
  <si>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</si>
  <si>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</si>
  <si>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</si>
  <si>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</si>
  <si>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</si>
  <si>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</si>
  <si>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</si>
  <si>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</si>
  <si>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</si>
  <si>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</si>
  <si>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</si>
  <si>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</si>
  <si>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</si>
  <si>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</si>
  <si>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</si>
  <si>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</si>
  <si>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</si>
  <si>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</si>
  <si>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</si>
  <si>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</si>
  <si>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</si>
  <si>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</si>
  <si>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</si>
  <si>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</si>
  <si>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</si>
  <si>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</si>
  <si>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</si>
  <si>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</si>
  <si>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</si>
  <si>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</si>
  <si>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</si>
  <si>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</si>
  <si>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</si>
  <si>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</si>
  <si>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</si>
  <si>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</si>
  <si>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</si>
  <si>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</si>
  <si>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</si>
  <si>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</si>
  <si>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</si>
  <si>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</si>
  <si>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</si>
  <si>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</si>
  <si>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</si>
  <si>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</si>
  <si>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</si>
  <si>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</si>
  <si>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</si>
  <si>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</si>
  <si>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</si>
  <si>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</si>
  <si>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</si>
  <si>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</si>
  <si>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</si>
  <si>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</si>
  <si>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</si>
  <si>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</si>
  <si>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</si>
  <si>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</si>
  <si>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</si>
  <si>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</si>
  <si>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</si>
  <si>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</si>
  <si>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</si>
  <si>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</si>
  <si>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</si>
  <si>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</si>
  <si>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</si>
  <si>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</si>
  <si>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</si>
  <si>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</si>
  <si>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</si>
  <si>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</si>
  <si>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</si>
  <si>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</si>
  <si>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</si>
  <si>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</si>
  <si>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</si>
  <si>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</si>
  <si>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</si>
  <si>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</si>
  <si>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</si>
  <si>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</si>
  <si>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</si>
  <si>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</si>
  <si>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</si>
  <si>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</si>
  <si>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</si>
  <si>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</si>
  <si>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</si>
  <si>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</si>
  <si>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</si>
  <si>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</si>
  <si>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</si>
  <si>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</si>
  <si>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</si>
  <si>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</si>
  <si>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</si>
  <si>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</si>
  <si>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</si>
  <si>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</si>
  <si>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</si>
  <si>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</si>
  <si>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</si>
  <si>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</si>
  <si>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</si>
  <si>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</si>
  <si>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</si>
  <si>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</si>
  <si>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</si>
  <si>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</si>
  <si>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</si>
  <si>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</si>
  <si>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</si>
  <si>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</si>
  <si>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</si>
  <si>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</si>
  <si>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</si>
  <si>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</si>
  <si>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</si>
  <si>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</si>
  <si>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</si>
  <si>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</si>
  <si>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</si>
  <si>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</si>
  <si>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</si>
  <si>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</si>
  <si>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</si>
  <si>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</si>
  <si>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</si>
  <si>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</si>
  <si>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</si>
  <si>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</si>
  <si>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</si>
  <si>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</si>
  <si>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</si>
  <si>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</si>
  <si>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</si>
  <si>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</si>
  <si>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</si>
  <si>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</si>
  <si>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</si>
  <si>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</si>
  <si>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</si>
  <si>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</si>
  <si>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</si>
  <si>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</si>
  <si>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</si>
  <si>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</si>
  <si>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</si>
  <si>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</si>
  <si>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</si>
  <si>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</si>
  <si>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</si>
  <si>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</si>
  <si>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</si>
  <si>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</si>
  <si>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</si>
  <si>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</si>
  <si>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</si>
  <si>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</si>
  <si>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</si>
  <si>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</si>
  <si>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</si>
  <si>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</si>
  <si>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</si>
  <si>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</si>
  <si>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</si>
  <si>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</si>
  <si>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</si>
  <si>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</si>
  <si>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</si>
  <si>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</si>
  <si>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</si>
  <si>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</si>
  <si>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</si>
  <si>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</si>
  <si>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</si>
  <si>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</si>
  <si>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</si>
  <si>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</si>
  <si>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</si>
  <si>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</si>
  <si>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</si>
  <si>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</si>
  <si>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</si>
  <si>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</si>
  <si>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</si>
  <si>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</si>
  <si>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</si>
  <si>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</si>
  <si>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</si>
  <si>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</si>
  <si>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</si>
  <si>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</si>
  <si>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</si>
  <si>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</si>
  <si>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</si>
  <si>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</si>
  <si>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</si>
  <si>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</si>
  <si>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</si>
  <si>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</si>
  <si>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</si>
  <si>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</si>
  <si>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</si>
  <si>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</si>
  <si>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</si>
  <si>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</si>
  <si>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</si>
  <si>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</si>
  <si>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</si>
  <si>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</si>
  <si>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</si>
  <si>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</si>
  <si>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</si>
  <si>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</si>
  <si>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</si>
  <si>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</si>
  <si>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</si>
  <si>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</si>
  <si>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</si>
  <si>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</si>
  <si>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</si>
  <si>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</si>
  <si>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</si>
  <si>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</si>
  <si>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</si>
  <si>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</si>
  <si>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</si>
  <si>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</si>
  <si>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</si>
  <si>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</si>
  <si>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</si>
  <si>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</si>
  <si>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</si>
  <si>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</si>
  <si>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</si>
  <si>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</si>
  <si>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</si>
  <si>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</si>
  <si>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</si>
  <si>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</si>
  <si>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</si>
  <si>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</si>
  <si>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</si>
  <si>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</si>
  <si>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</si>
  <si>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</si>
  <si>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</si>
  <si>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</si>
  <si>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</si>
  <si>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</si>
  <si>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</si>
  <si>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</si>
  <si>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</si>
  <si>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</si>
  <si>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</si>
  <si>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</si>
  <si>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</si>
  <si>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</si>
  <si>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</si>
  <si>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</si>
  <si>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</si>
  <si>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</si>
  <si>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</si>
  <si>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</si>
  <si>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</si>
  <si>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</si>
  <si>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</si>
  <si>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</si>
  <si>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</si>
  <si>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</si>
  <si>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</si>
  <si>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</si>
  <si>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</si>
  <si>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</si>
  <si>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</si>
  <si>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</si>
  <si>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</si>
  <si>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</si>
  <si>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</si>
  <si>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</si>
  <si>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</si>
  <si>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</si>
  <si>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</si>
  <si>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</si>
  <si>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</si>
  <si>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</si>
  <si>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</si>
  <si>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</si>
  <si>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</si>
  <si>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</si>
  <si>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</si>
  <si>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</si>
  <si>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</si>
  <si>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</si>
  <si>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</si>
  <si>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</si>
  <si>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</si>
  <si>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</si>
  <si>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</si>
  <si>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</si>
  <si>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</si>
  <si>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</si>
  <si>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</si>
  <si>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</si>
  <si>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</si>
  <si>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</si>
  <si>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</si>
  <si>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</si>
  <si>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</si>
  <si>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</si>
  <si>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</si>
  <si>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</si>
  <si>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</si>
  <si>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</si>
  <si>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</si>
  <si>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</si>
  <si>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</si>
  <si>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</si>
  <si>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</si>
  <si>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</si>
  <si>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</si>
  <si>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</si>
  <si>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</si>
  <si>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</si>
  <si>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</si>
  <si>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</si>
  <si>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</si>
  <si>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</si>
  <si>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</si>
  <si>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</si>
  <si>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</si>
  <si>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</si>
  <si>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</si>
  <si>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</si>
  <si>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</si>
  <si>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</si>
  <si>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</si>
  <si>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</si>
  <si>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</si>
  <si>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</si>
  <si>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</si>
  <si>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</si>
  <si>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</si>
  <si>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</si>
  <si>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</si>
  <si>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</si>
  <si>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</si>
  <si>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</si>
  <si>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</si>
  <si>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</si>
  <si>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</si>
  <si>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</si>
  <si>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</si>
  <si>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</si>
  <si>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</si>
  <si>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</si>
  <si>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</si>
  <si>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</si>
  <si>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</si>
  <si>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</si>
  <si>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</si>
  <si>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</si>
  <si>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</si>
  <si>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</si>
  <si>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</si>
  <si>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</si>
  <si>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</si>
  <si>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</si>
  <si>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</si>
  <si>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</si>
  <si>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</si>
  <si>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</si>
  <si>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</si>
  <si>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</si>
  <si>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</si>
  <si>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</si>
  <si>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</si>
  <si>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</si>
  <si>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</si>
  <si>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</si>
  <si>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</si>
  <si>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</si>
  <si>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</si>
  <si>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</si>
  <si>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</si>
  <si>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</si>
  <si>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</si>
  <si>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</si>
  <si>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</si>
  <si>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</si>
  <si>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</si>
  <si>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</si>
  <si>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</si>
  <si>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</si>
  <si>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</si>
  <si>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</si>
  <si>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</si>
  <si>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</si>
  <si>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</si>
  <si>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</si>
  <si>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</si>
  <si>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</si>
  <si>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</si>
  <si>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</si>
  <si>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</si>
  <si>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</si>
  <si>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</si>
  <si>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</si>
  <si>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</si>
  <si>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</si>
  <si>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</si>
  <si>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</si>
  <si>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</si>
  <si>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</si>
  <si>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</si>
  <si>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</si>
  <si>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</si>
  <si>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</si>
  <si>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</si>
  <si>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</si>
  <si>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</si>
  <si>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</si>
  <si>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</si>
  <si>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</si>
  <si>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</si>
  <si>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</si>
  <si>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</si>
  <si>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</si>
  <si>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</si>
  <si>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</si>
  <si>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</si>
  <si>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</si>
  <si>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</si>
  <si>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</si>
  <si>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</si>
  <si>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</si>
  <si>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</si>
  <si>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</si>
  <si>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</si>
  <si>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</si>
  <si>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</si>
  <si>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</si>
  <si>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</si>
  <si>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</si>
  <si>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</si>
  <si>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</si>
  <si>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</si>
  <si>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</si>
  <si>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</si>
  <si>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</si>
  <si>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</si>
  <si>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</si>
  <si>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</si>
  <si>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</si>
  <si>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</si>
  <si>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</si>
  <si>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</si>
  <si>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</si>
  <si>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</si>
  <si>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</si>
  <si>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</si>
  <si>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</si>
  <si>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</si>
  <si>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</si>
  <si>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</si>
  <si>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</si>
  <si>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</si>
  <si>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</si>
  <si>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</si>
  <si>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</si>
  <si>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</si>
  <si>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</si>
  <si>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</si>
  <si>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</si>
  <si>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</si>
  <si>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</si>
  <si>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</si>
  <si>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</si>
  <si>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</si>
  <si>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</si>
  <si>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</si>
  <si>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</si>
  <si>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</si>
  <si>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</si>
  <si>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</si>
  <si>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</si>
  <si>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</si>
  <si>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</si>
  <si>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</si>
  <si>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</si>
  <si>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</si>
  <si>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</si>
  <si>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</si>
  <si>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</si>
  <si>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</si>
  <si>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</si>
  <si>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</si>
  <si>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</si>
  <si>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</si>
  <si>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</si>
  <si>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</si>
  <si>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</si>
  <si>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</si>
  <si>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</si>
  <si>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</si>
  <si>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</si>
  <si>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</si>
  <si>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</si>
  <si>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</si>
  <si>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</si>
  <si>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</si>
  <si>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</si>
  <si>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</si>
  <si>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</si>
  <si>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</si>
  <si>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</si>
  <si>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</si>
  <si>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</si>
  <si>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</si>
  <si>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</si>
  <si>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</si>
  <si>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</si>
  <si>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</si>
  <si>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</si>
  <si>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</si>
  <si>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</si>
  <si>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</si>
  <si>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</si>
  <si>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</si>
  <si>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</si>
  <si>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</si>
  <si>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</si>
  <si>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</si>
  <si>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</si>
  <si>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</si>
  <si>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</si>
  <si>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</si>
  <si>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</si>
  <si>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</si>
  <si>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</si>
  <si>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</si>
  <si>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</si>
  <si>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</si>
  <si>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</si>
  <si>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</si>
  <si>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</si>
  <si>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</si>
  <si>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</si>
  <si>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</si>
  <si>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</si>
  <si>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</si>
  <si>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</si>
  <si>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</si>
  <si>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</si>
  <si>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</si>
  <si>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</si>
  <si>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</si>
  <si>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</si>
  <si>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</si>
  <si>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</si>
  <si>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</si>
  <si>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</si>
  <si>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</si>
  <si>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</si>
  <si>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</si>
  <si>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</si>
  <si>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</si>
  <si>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</si>
  <si>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</si>
  <si>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</si>
  <si>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</si>
  <si>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</si>
  <si>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</si>
  <si>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</si>
  <si>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</si>
  <si>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</si>
  <si>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</si>
  <si>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</si>
  <si>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</si>
  <si>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</si>
  <si>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</si>
  <si>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</si>
  <si>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</si>
  <si>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</si>
  <si>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</si>
  <si>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</si>
  <si>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</si>
  <si>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</si>
  <si>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</si>
  <si>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</si>
  <si>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</si>
  <si>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</si>
  <si>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</si>
  <si>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</si>
  <si>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</si>
  <si>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</si>
  <si>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</si>
  <si>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</si>
  <si>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</si>
  <si>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</si>
  <si>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</si>
  <si>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</si>
  <si>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</si>
  <si>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</si>
  <si>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</si>
  <si>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</si>
  <si>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</si>
  <si>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</si>
  <si>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</si>
  <si>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</si>
  <si>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</si>
  <si>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</si>
  <si>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</si>
  <si>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</si>
  <si>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</si>
  <si>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</si>
  <si>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</si>
  <si>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</si>
  <si>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</si>
  <si>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</si>
  <si>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</si>
  <si>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</si>
  <si>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</si>
  <si>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</si>
  <si>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</si>
  <si>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</si>
  <si>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</si>
  <si>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</si>
  <si>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</si>
  <si>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</si>
  <si>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</si>
  <si>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</si>
  <si>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</si>
  <si>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</si>
  <si>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</si>
  <si>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</si>
  <si>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</si>
  <si>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</si>
  <si>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</si>
  <si>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</si>
  <si>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</si>
  <si>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</si>
  <si>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</si>
  <si>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</si>
  <si>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</si>
  <si>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</si>
  <si>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</si>
  <si>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</si>
  <si>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</si>
  <si>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</si>
  <si>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</si>
  <si>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</si>
  <si>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</si>
  <si>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</si>
  <si>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</si>
  <si>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</si>
  <si>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</si>
  <si>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</si>
  <si>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</si>
  <si>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</si>
  <si>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</si>
  <si>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</si>
  <si>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</si>
  <si>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</si>
  <si>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</si>
  <si>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</si>
  <si>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</si>
  <si>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</si>
  <si>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</si>
  <si>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</si>
  <si>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</si>
  <si>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</si>
  <si>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</si>
  <si>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</si>
  <si>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</si>
  <si>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</si>
  <si>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</si>
  <si>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</si>
  <si>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</si>
  <si>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</si>
  <si>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</si>
  <si>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</si>
  <si>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</si>
  <si>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</si>
  <si>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</si>
  <si>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</si>
  <si>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</si>
  <si>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</si>
  <si>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</si>
  <si>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</si>
  <si>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</si>
  <si>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</si>
  <si>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</si>
  <si>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</si>
  <si>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</si>
  <si>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</si>
  <si>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</si>
  <si>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</si>
  <si>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</si>
  <si>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</si>
  <si>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</si>
  <si>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</si>
  <si>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</si>
  <si>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</si>
  <si>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</si>
  <si>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</si>
  <si>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</si>
  <si>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</si>
  <si>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</si>
  <si>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</si>
  <si>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</si>
  <si>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</si>
  <si>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</si>
  <si>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</si>
  <si>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</si>
  <si>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</si>
  <si>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</si>
  <si>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</si>
  <si>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</si>
  <si>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</si>
  <si>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</si>
  <si>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</si>
  <si>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</si>
  <si>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</si>
  <si>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</si>
  <si>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</si>
  <si>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</si>
  <si>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</si>
  <si>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</si>
  <si>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</si>
  <si>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</si>
  <si>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</si>
  <si>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</si>
  <si>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</si>
  <si>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</si>
  <si>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</si>
  <si>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</si>
  <si>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</si>
  <si>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</si>
  <si>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</si>
  <si>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</si>
  <si>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</si>
  <si>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</si>
  <si>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</si>
  <si>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</si>
  <si>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</si>
  <si>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</si>
  <si>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</si>
  <si>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</si>
  <si>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</si>
  <si>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</si>
  <si>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</si>
  <si>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</si>
  <si>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</si>
  <si>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</si>
  <si>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</si>
  <si>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</si>
  <si>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</si>
  <si>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</si>
  <si>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</si>
  <si>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</si>
  <si>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</si>
  <si>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</si>
  <si>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</si>
  <si>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</si>
  <si>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</si>
  <si>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</si>
  <si>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</si>
  <si>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</si>
  <si>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</si>
  <si>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</si>
  <si>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</si>
  <si>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</si>
  <si>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</si>
  <si>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</si>
  <si>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</si>
  <si>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</si>
  <si>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</si>
  <si>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</si>
  <si>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</si>
  <si>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</si>
  <si>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</si>
  <si>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</si>
  <si>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</si>
  <si>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</si>
  <si>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</si>
  <si>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</si>
  <si>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</si>
  <si>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</si>
  <si>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</si>
  <si>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</si>
  <si>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</si>
  <si>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</si>
  <si>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</si>
  <si>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</si>
  <si>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</si>
  <si>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</si>
  <si>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</si>
  <si>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</si>
  <si>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</si>
  <si>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</si>
  <si>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</si>
  <si>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</si>
  <si>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</si>
  <si>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</si>
  <si>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</si>
  <si>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</si>
  <si>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</si>
  <si>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</si>
  <si>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</si>
  <si>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</si>
  <si>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</si>
  <si>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</si>
  <si>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</si>
  <si>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</si>
  <si>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</si>
  <si>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</si>
  <si>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</si>
  <si>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</si>
  <si>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</si>
  <si>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</si>
  <si>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</si>
  <si>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</si>
  <si>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</si>
  <si>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</si>
  <si>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</si>
  <si>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</si>
  <si>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</si>
  <si>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</si>
  <si>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</si>
  <si>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</si>
  <si>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</si>
  <si>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</si>
  <si>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</si>
  <si>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</si>
  <si>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</si>
  <si>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</si>
  <si>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</si>
  <si>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</si>
  <si>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</si>
  <si>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</si>
  <si>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</si>
  <si>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</si>
  <si>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</si>
  <si>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</si>
  <si>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</si>
  <si>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</si>
  <si>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</si>
  <si>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</si>
  <si>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</si>
  <si>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</si>
  <si>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</si>
  <si>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</si>
  <si>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</si>
  <si>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</si>
  <si>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</si>
  <si>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</si>
  <si>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</si>
  <si>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</si>
  <si>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</si>
  <si>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</si>
  <si>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</si>
  <si>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</si>
  <si>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</si>
  <si>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</si>
  <si>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</si>
  <si>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</si>
  <si>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</si>
  <si>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</si>
  <si>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</si>
  <si>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</si>
  <si>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</si>
  <si>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</si>
  <si>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</si>
  <si>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</si>
  <si>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</si>
  <si>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</si>
  <si>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</si>
  <si>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</si>
  <si>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</si>
  <si>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</si>
  <si>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</si>
  <si>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</si>
  <si>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</si>
  <si>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</si>
  <si>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</si>
  <si>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</si>
  <si>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</si>
  <si>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</si>
  <si>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</si>
  <si>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</si>
  <si>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</si>
  <si>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</si>
  <si>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</si>
  <si>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</si>
  <si>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</si>
  <si>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</si>
  <si>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</si>
  <si>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</si>
  <si>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</si>
  <si>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</si>
  <si>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</si>
  <si>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</si>
  <si>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</si>
  <si>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</si>
  <si>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</si>
  <si>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</si>
  <si>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</si>
  <si>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</si>
  <si>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</si>
  <si>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</si>
  <si>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</si>
  <si>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</si>
  <si>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</si>
  <si>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</si>
  <si>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</si>
  <si>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</si>
  <si>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</si>
  <si>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</si>
  <si>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</si>
  <si>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</si>
  <si>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</si>
  <si>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</si>
  <si>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</si>
  <si>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</si>
  <si>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</si>
  <si>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</si>
  <si>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</si>
  <si>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</si>
  <si>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</si>
  <si>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</si>
  <si>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</si>
  <si>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</si>
  <si>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</si>
  <si>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</si>
  <si>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</si>
  <si>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</si>
  <si>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</si>
  <si>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</si>
  <si>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</si>
  <si>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</si>
  <si>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</si>
  <si>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</si>
  <si>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</si>
  <si>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</si>
  <si>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</si>
  <si>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</si>
  <si>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</si>
  <si>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</si>
  <si>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</si>
  <si>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</si>
  <si>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</si>
  <si>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</si>
  <si>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</si>
  <si>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</si>
  <si>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</si>
  <si>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</si>
  <si>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</si>
  <si>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</si>
  <si>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</si>
  <si>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</si>
  <si>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</si>
  <si>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</si>
  <si>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</si>
  <si>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</si>
  <si>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</si>
  <si>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</si>
  <si>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</si>
  <si>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</si>
  <si>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</si>
  <si>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</si>
  <si>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</si>
  <si>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</si>
  <si>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</si>
  <si>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</si>
  <si>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</si>
  <si>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2-1#</t>
  </si>
  <si>
    <t>2-2#</t>
  </si>
  <si>
    <t>2-2#</t>
    <phoneticPr fontId="3" type="noConversion"/>
  </si>
  <si>
    <t>1#A</t>
  </si>
  <si>
    <t>1#A</t>
    <phoneticPr fontId="3" type="noConversion"/>
  </si>
  <si>
    <t>1#B</t>
  </si>
  <si>
    <t>1#B</t>
    <phoneticPr fontId="3" type="noConversion"/>
  </si>
  <si>
    <t>是</t>
  </si>
  <si>
    <t>是</t>
    <phoneticPr fontId="3" type="noConversion"/>
  </si>
  <si>
    <t>地上</t>
  </si>
  <si>
    <t>成新度</t>
  </si>
  <si>
    <t>御水帝景城</t>
    <phoneticPr fontId="3" type="noConversion"/>
  </si>
  <si>
    <t>翡翠城</t>
    <phoneticPr fontId="3" type="noConversion"/>
  </si>
  <si>
    <t>正常</t>
  </si>
  <si>
    <t>住宅底商</t>
  </si>
  <si>
    <t>商业</t>
    <phoneticPr fontId="31" type="noConversion"/>
  </si>
  <si>
    <t>30-40（含）</t>
  </si>
  <si>
    <t>较好</t>
  </si>
  <si>
    <t>六通</t>
  </si>
  <si>
    <t>一般</t>
  </si>
  <si>
    <t>多面临街</t>
    <phoneticPr fontId="31" type="noConversion"/>
  </si>
  <si>
    <t>双面临街</t>
    <phoneticPr fontId="31" type="noConversion"/>
  </si>
  <si>
    <t>单面临街</t>
  </si>
  <si>
    <t>单面临街</t>
    <phoneticPr fontId="31" type="noConversion"/>
  </si>
  <si>
    <t>不临街</t>
    <phoneticPr fontId="31" type="noConversion"/>
  </si>
  <si>
    <t>好</t>
  </si>
  <si>
    <t>好</t>
    <phoneticPr fontId="31" type="noConversion"/>
  </si>
  <si>
    <t>较高</t>
    <phoneticPr fontId="31" type="noConversion"/>
  </si>
  <si>
    <r>
      <t>1-2</t>
    </r>
    <r>
      <rPr>
        <sz val="11"/>
        <color indexed="8"/>
        <rFont val="宋体"/>
        <family val="3"/>
        <charset val="134"/>
      </rPr>
      <t>层</t>
    </r>
    <phoneticPr fontId="31" type="noConversion"/>
  </si>
  <si>
    <t>住宅底商</t>
    <phoneticPr fontId="31" type="noConversion"/>
  </si>
  <si>
    <t>商业街商铺</t>
  </si>
  <si>
    <t>商业街商铺</t>
    <phoneticPr fontId="31" type="noConversion"/>
  </si>
  <si>
    <t>钢混</t>
  </si>
  <si>
    <t>钢混</t>
    <phoneticPr fontId="31" type="noConversion"/>
  </si>
  <si>
    <t>混合</t>
  </si>
  <si>
    <t>混合</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</si>
  <si>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</si>
  <si>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</si>
  <si>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</si>
  <si>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</si>
  <si>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</si>
  <si>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</si>
  <si>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</si>
  <si>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六通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</si>
  <si>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</si>
  <si>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</si>
  <si>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</si>
  <si>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</si>
  <si>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</si>
  <si>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</si>
  <si>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1-2层</t>
  </si>
  <si>
    <t>售价</t>
  </si>
  <si>
    <t>金丰尚城</t>
    <phoneticPr fontId="3" type="noConversion"/>
  </si>
  <si>
    <t>收益法</t>
  </si>
  <si>
    <t>非生产用房</t>
  </si>
  <si>
    <t>否</t>
  </si>
  <si>
    <t>按租金收入计税</t>
  </si>
  <si>
    <t>比较法-商业</t>
  </si>
  <si>
    <r>
      <t>1-2</t>
    </r>
    <r>
      <rPr>
        <sz val="10"/>
        <color indexed="8"/>
        <rFont val="宋体"/>
        <family val="3"/>
        <charset val="134"/>
      </rPr>
      <t>层</t>
    </r>
    <phoneticPr fontId="25" type="noConversion"/>
  </si>
  <si>
    <t>2-1#</t>
    <phoneticPr fontId="3" type="noConversion"/>
  </si>
  <si>
    <t>2-1#</t>
    <phoneticPr fontId="7" type="noConversion"/>
  </si>
  <si>
    <t>其余</t>
    <phoneticPr fontId="7" type="noConversion"/>
  </si>
  <si>
    <t>现房</t>
  </si>
  <si>
    <t>楼面单价</t>
  </si>
  <si>
    <t>典型户型修正</t>
  </si>
  <si>
    <t>位置</t>
    <phoneticPr fontId="143" type="noConversion"/>
  </si>
  <si>
    <t xml:space="preserve">面价 </t>
    <phoneticPr fontId="143" type="noConversion"/>
  </si>
  <si>
    <t>年租金</t>
    <phoneticPr fontId="143" type="noConversion"/>
  </si>
  <si>
    <t>日租金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</si>
</sst>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1"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18" borderId="28" xfId="0" applyFont="1" applyFill="1" applyBorder="1" applyAlignment="1" applyProtection="1">
      <alignment horizontal="center" vertical="center" wrapText="1"/>
    </xf>
    <xf numFmtId="183" fontId="56" fillId="18" borderId="49" xfId="0"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50" fillId="18" borderId="24"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152400</xdr:rowOff>
    </xdr:from>
    <xdr:to>
      <xdr:col>14</xdr:col>
      <xdr:colOff>65214</xdr:colOff>
      <xdr:row>22</xdr:row>
      <xdr:rowOff>74111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52400"/>
          <a:ext cx="9237789" cy="3693611"/>
        </a:xfrm>
        <a:prstGeom prst="rect">
          <a:avLst/>
        </a:prstGeom>
      </xdr:spPr>
    </xdr:pic>
    <xdr:clientData/>
  </xdr:twoCellAnchor>
  <xdr:twoCellAnchor editAs="oneCell">
    <xdr:from>
      <xdr:col>0</xdr:col>
      <xdr:colOff>588655</xdr:colOff>
      <xdr:row>24</xdr:row>
      <xdr:rowOff>19050</xdr:rowOff>
    </xdr:from>
    <xdr:to>
      <xdr:col>14</xdr:col>
      <xdr:colOff>187078</xdr:colOff>
      <xdr:row>46</xdr:row>
      <xdr:rowOff>142277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8655" y="4133850"/>
          <a:ext cx="9199623" cy="3895127"/>
        </a:xfrm>
        <a:prstGeom prst="rect">
          <a:avLst/>
        </a:prstGeom>
      </xdr:spPr>
    </xdr:pic>
    <xdr:clientData/>
  </xdr:twoCellAnchor>
  <xdr:twoCellAnchor editAs="oneCell">
    <xdr:from>
      <xdr:col>0</xdr:col>
      <xdr:colOff>171450</xdr:colOff>
      <xdr:row>72</xdr:row>
      <xdr:rowOff>19050</xdr:rowOff>
    </xdr:from>
    <xdr:to>
      <xdr:col>11</xdr:col>
      <xdr:colOff>380031</xdr:colOff>
      <xdr:row>102</xdr:row>
      <xdr:rowOff>123169</xdr:rowOff>
    </xdr:to>
    <xdr:pic>
      <xdr:nvPicPr>
        <xdr:cNvPr id="5" name="图片 4"/>
        <xdr:cNvPicPr>
          <a:picLocks noChangeAspect="1"/>
        </xdr:cNvPicPr>
      </xdr:nvPicPr>
      <xdr:blipFill>
        <a:blip xmlns:r="http://schemas.openxmlformats.org/officeDocument/2006/relationships" r:embed="rId3"/>
        <a:stretch>
          <a:fillRect/>
        </a:stretch>
      </xdr:blipFill>
      <xdr:spPr>
        <a:xfrm>
          <a:off x="171450" y="12363450"/>
          <a:ext cx="7752381" cy="5247619"/>
        </a:xfrm>
        <a:prstGeom prst="rect">
          <a:avLst/>
        </a:prstGeom>
      </xdr:spPr>
    </xdr:pic>
    <xdr:clientData/>
  </xdr:twoCellAnchor>
  <xdr:twoCellAnchor editAs="oneCell">
    <xdr:from>
      <xdr:col>1</xdr:col>
      <xdr:colOff>9525</xdr:colOff>
      <xdr:row>48</xdr:row>
      <xdr:rowOff>85300</xdr:rowOff>
    </xdr:from>
    <xdr:to>
      <xdr:col>14</xdr:col>
      <xdr:colOff>131885</xdr:colOff>
      <xdr:row>71</xdr:row>
      <xdr:rowOff>18422</xdr:rowOff>
    </xdr:to>
    <xdr:pic>
      <xdr:nvPicPr>
        <xdr:cNvPr id="6" name="图片 5"/>
        <xdr:cNvPicPr>
          <a:picLocks noChangeAspect="1"/>
        </xdr:cNvPicPr>
      </xdr:nvPicPr>
      <xdr:blipFill>
        <a:blip xmlns:r="http://schemas.openxmlformats.org/officeDocument/2006/relationships" r:embed="rId4"/>
        <a:stretch>
          <a:fillRect/>
        </a:stretch>
      </xdr:blipFill>
      <xdr:spPr>
        <a:xfrm>
          <a:off x="695325" y="8314900"/>
          <a:ext cx="9037760" cy="38764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估价对象为出让国有建设用地使用权及在建建筑物房地产，为所有。根据《国有土地使用证》[]，估价对象（分摊）出让国有建设用地使用权面积为3030.4平方米，建筑面积为2633.48平方米。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3030.4平方米，规划建筑面积为2633.48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2019年8月13日（评估专业人员实地查勘之日）</v>
      </c>
    </row>
    <row r="13" spans="1:2" s="1591" customFormat="1">
      <c r="A13" s="1589" t="s">
        <v>1223</v>
      </c>
      <c r="B13" s="1590"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1980</v>
      </c>
    </row>
    <row r="21" spans="1:2" s="1591" customFormat="1">
      <c r="A21" s="1589" t="s">
        <v>1231</v>
      </c>
      <c r="B21" s="1590">
        <f ca="1">'预评函-2'!D7</f>
        <v>7519</v>
      </c>
    </row>
    <row r="22" spans="1:2" s="1591" customFormat="1">
      <c r="A22" s="1589" t="s">
        <v>1232</v>
      </c>
      <c r="B22" s="1590" t="str">
        <f ca="1">'预评函-2'!D6</f>
        <v>壹仟玖佰捌拾万元整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1980</v>
      </c>
    </row>
    <row r="31" spans="1:2" s="1591" customFormat="1">
      <c r="A31" s="1589" t="s">
        <v>1270</v>
      </c>
      <c r="B31" s="1590">
        <f ca="1">'预评函-2'!D15</f>
        <v>7519</v>
      </c>
    </row>
    <row r="32" spans="1:2" s="1591" customFormat="1">
      <c r="A32" s="1589" t="s">
        <v>1237</v>
      </c>
      <c r="B32" s="1590" t="str">
        <f ca="1">'预评函-2'!D14</f>
        <v>壹仟玖佰捌拾万元整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2633.48</v>
      </c>
    </row>
    <row r="44" spans="1:2" s="1591" customFormat="1">
      <c r="A44" s="1589" t="s">
        <v>1269</v>
      </c>
      <c r="B44" s="1590" t="str">
        <f>'预评函-3'!C2</f>
        <v>(分摊)土地面积</v>
      </c>
    </row>
    <row r="45" spans="1:2" s="1591" customFormat="1">
      <c r="A45" s="1589" t="s">
        <v>1241</v>
      </c>
      <c r="B45" s="1590">
        <f>'预评函-3'!C4</f>
        <v>3030.4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3125</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19" t="s">
        <v>861</v>
      </c>
      <c r="C54" s="2016" t="s">
        <v>1277</v>
      </c>
    </row>
    <row r="55" spans="1:4">
      <c r="A55" s="3022"/>
      <c r="B55" s="2019" t="s">
        <v>862</v>
      </c>
      <c r="C55" s="2016" t="s">
        <v>1278</v>
      </c>
    </row>
    <row r="56" spans="1:4">
      <c r="A56" s="3022"/>
      <c r="B56" s="2019" t="s">
        <v>863</v>
      </c>
      <c r="C56" s="2016" t="s">
        <v>1282</v>
      </c>
    </row>
    <row r="57" spans="1:4">
      <c r="A57" s="302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31" t="str">
        <f>IF(B10="北京市","北京市",C10)&amp;F10&amp;IF(结果表!G1="在建","出让国有建设用地使用权及在建建筑物",IF(结果表!G1="土地","出让国有建设用地使用权",))&amp;B9&amp;"预评估"</f>
        <v>出让国有建设用地使用权及在建建筑物房地产抵押价值预评估</v>
      </c>
      <c r="C1" s="3032"/>
      <c r="D1" s="3032"/>
      <c r="E1" s="3032"/>
      <c r="F1" s="3032"/>
      <c r="G1" s="3032"/>
      <c r="H1" s="3032"/>
      <c r="I1" s="303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43690</v>
      </c>
      <c r="C3" s="2034" t="s">
        <v>1774</v>
      </c>
      <c r="D3" s="2033">
        <f>B3</f>
        <v>43690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34"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35"/>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55665</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32.799999999999997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41"/>
      <c r="C16" s="3042"/>
      <c r="D16" s="3043"/>
      <c r="E16" s="2083" t="s">
        <v>1797</v>
      </c>
      <c r="F16" s="3044"/>
      <c r="G16" s="3045"/>
      <c r="H16" s="3045"/>
      <c r="I16" s="3046"/>
      <c r="J16" s="2026"/>
      <c r="K16" s="2080"/>
      <c r="L16" s="2081"/>
      <c r="M16" s="2081"/>
      <c r="N16" s="2082"/>
      <c r="O16" s="2081"/>
      <c r="P16" s="2082"/>
      <c r="Q16" s="2026"/>
      <c r="R16" s="2026"/>
    </row>
    <row r="17" spans="1:22" ht="18" customHeight="1">
      <c r="A17" s="2084" t="s">
        <v>1798</v>
      </c>
      <c r="B17" s="2032" t="s">
        <v>1799</v>
      </c>
      <c r="C17" s="1052">
        <f>'数据-汇总表'!E3</f>
        <v>2633.48</v>
      </c>
      <c r="D17" s="2085" t="s">
        <v>1800</v>
      </c>
      <c r="E17" s="3047" t="s">
        <v>1801</v>
      </c>
      <c r="F17" s="3048"/>
      <c r="G17" s="3048"/>
      <c r="H17" s="3048"/>
      <c r="I17" s="3049"/>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3030.4</v>
      </c>
      <c r="D18" s="2088" t="s">
        <v>1800</v>
      </c>
      <c r="E18" s="3050" t="s">
        <v>1804</v>
      </c>
      <c r="F18" s="3051"/>
      <c r="G18" s="3051"/>
      <c r="H18" s="3051"/>
      <c r="I18" s="3052"/>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37" t="s">
        <v>1809</v>
      </c>
      <c r="C20" s="3038"/>
      <c r="D20" s="3039" t="s">
        <v>1810</v>
      </c>
      <c r="E20" s="3040"/>
      <c r="F20" s="2095" t="s">
        <v>1811</v>
      </c>
      <c r="G20" s="2039"/>
      <c r="H20" s="2039"/>
      <c r="I20" s="2039"/>
      <c r="J20" s="2039"/>
      <c r="K20" s="3036"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3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3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4"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4"/>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4"/>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25"/>
      <c r="B30" s="2032" t="s">
        <v>1828</v>
      </c>
      <c r="C30" s="3026"/>
      <c r="D30" s="3027"/>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28"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29"/>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29"/>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23" t="s">
        <v>1838</v>
      </c>
      <c r="T34" s="2132" t="str">
        <f>NUMBERSTRING(7-K34,1)&amp;"通"</f>
        <v>七通</v>
      </c>
      <c r="U34" s="2026"/>
      <c r="V34" s="2026"/>
    </row>
    <row r="35" spans="1:22" ht="18" customHeight="1">
      <c r="A35" s="2133"/>
      <c r="B35" s="3030" t="s">
        <v>1839</v>
      </c>
      <c r="C35" s="3030"/>
      <c r="D35" s="3030"/>
      <c r="E35" s="3030"/>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1391.6+1638.8</f>
        <v>3030.3999999999996</v>
      </c>
      <c r="B3" s="14">
        <f>IF(C3="否",G5-AT5,G5)</f>
        <v>2633.48</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2633.48</v>
      </c>
      <c r="H5" s="16">
        <f t="shared" ref="H5:AT5" si="0">SUM(H13:H656)</f>
        <v>2633.48</v>
      </c>
      <c r="I5" s="16">
        <f t="shared" si="0"/>
        <v>2633.48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2633.48</v>
      </c>
      <c r="BA5" s="18">
        <f t="shared" si="1"/>
        <v>2633.48</v>
      </c>
      <c r="BB5" s="18">
        <f t="shared" si="1"/>
        <v>2633.48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3030.4</v>
      </c>
      <c r="F6" s="16" t="s">
        <v>1</v>
      </c>
      <c r="G6" s="16" t="s">
        <v>2</v>
      </c>
      <c r="H6" s="20">
        <f>SUMIF(I$12:AB$12,"总值",I6:AB6)</f>
        <v>3030.4</v>
      </c>
      <c r="I6" s="16">
        <f t="shared" ref="I6:AB6" si="2">ROUND($A$3*I5/$B$3,2)</f>
        <v>3030.4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3030.4</v>
      </c>
      <c r="AZ6" s="16" t="s">
        <v>3</v>
      </c>
      <c r="BA6" s="16">
        <f>ROUND($AY$6*BA5/$AZ$5,2)</f>
        <v>3030.4</v>
      </c>
      <c r="BB6" s="16">
        <f>ROUND($AY$6*BB5/$AZ$5,2)</f>
        <v>3030.4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3070</v>
      </c>
      <c r="J9" s="979"/>
      <c r="K9" s="2189"/>
      <c r="L9" s="979"/>
      <c r="M9" s="2189"/>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3120</v>
      </c>
      <c r="D13" s="2969" t="s">
        <v>3069</v>
      </c>
      <c r="E13" s="16">
        <f>IF($C$3="是",ROUND($A$3*G13/$B$3,2),ROUND($A$3*(G13-AT13)/$B$3,2))</f>
        <v>519.54999999999995</v>
      </c>
      <c r="F13" s="32"/>
      <c r="G13" s="33">
        <f>H13+AC13+AT13</f>
        <v>451.5</v>
      </c>
      <c r="H13" s="20">
        <f>SUMIF(I$12:AB$12,"总值",I13:AB13)</f>
        <v>451.5</v>
      </c>
      <c r="I13" s="2212">
        <v>451.5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v>
      </c>
      <c r="AY13" s="1804">
        <f>ROUND($AY$6*AZ13/$AZ$5,2)</f>
        <v>519.54999999999995</v>
      </c>
      <c r="AZ13" s="16">
        <f>BA13+BL13</f>
        <v>451.5</v>
      </c>
      <c r="BA13" s="16">
        <f>SUM(BB13:BK13)</f>
        <v>451.5</v>
      </c>
      <c r="BB13" s="16">
        <f>IF($D13="是",I13-J13,0)</f>
        <v>451.5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3063</v>
      </c>
      <c r="D14" s="2969" t="s">
        <v>3068</v>
      </c>
      <c r="E14" s="16">
        <f>IF($C$3="是",ROUND($A$3*G14/$B$3,2),ROUND($A$3*(G14-AT14)/$B$3,2))</f>
        <v>480.15</v>
      </c>
      <c r="F14" s="32"/>
      <c r="G14" s="33">
        <f>H14+AC14+AT14</f>
        <v>417.26</v>
      </c>
      <c r="H14" s="20">
        <f>SUMIF(I$12:AB$12,"总值",I14:AB14)</f>
        <v>417.26</v>
      </c>
      <c r="I14" s="2212">
        <v>417.26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2-2#</v>
      </c>
      <c r="AY14" s="1804">
        <f>ROUND($AY$6*AZ14/$AZ$5,2)</f>
        <v>480.15</v>
      </c>
      <c r="AZ14" s="16">
        <f>BA14+BL14</f>
        <v>417.26</v>
      </c>
      <c r="BA14" s="16">
        <f>SUM(BB14:BK14)</f>
        <v>417.26</v>
      </c>
      <c r="BB14" s="16">
        <f>IF($D14="是",I14-J14,0)</f>
        <v>417.26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3065</v>
      </c>
      <c r="D15" s="2969" t="s">
        <v>3068</v>
      </c>
      <c r="E15" s="16">
        <f>IF($C$3="是",ROUND($A$3*G15/$B$3,2),ROUND($A$3*(G15-AT15)/$B$3,2))</f>
        <v>410.53</v>
      </c>
      <c r="F15" s="32"/>
      <c r="G15" s="33">
        <f>H15+AC15+AT15</f>
        <v>356.76</v>
      </c>
      <c r="H15" s="20">
        <f>SUMIF(I$12:AB$12,"总值",I15:AB15)</f>
        <v>356.76</v>
      </c>
      <c r="I15" s="2212">
        <v>356.76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1#A</v>
      </c>
      <c r="AY15" s="1804">
        <f>ROUND($AY$6*AZ15/$AZ$5,2)</f>
        <v>410.53</v>
      </c>
      <c r="AZ15" s="16">
        <f>BA15+BL15</f>
        <v>356.76</v>
      </c>
      <c r="BA15" s="16">
        <f>SUM(BB15:BK15)</f>
        <v>356.76</v>
      </c>
      <c r="BB15" s="16">
        <f>IF($D15="是",I15-J15,0)</f>
        <v>356.76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3067</v>
      </c>
      <c r="D16" s="2969" t="s">
        <v>3068</v>
      </c>
      <c r="E16" s="16">
        <f>IF($C$3="是",ROUND($A$3*G16/$B$3,2),ROUND($A$3*(G16-AT16)/$B$3,2))</f>
        <v>1620.17</v>
      </c>
      <c r="F16" s="32"/>
      <c r="G16" s="33">
        <f>H16+AC16+AT16</f>
        <v>1407.96</v>
      </c>
      <c r="H16" s="20">
        <f>SUMIF(I$12:AB$12,"总值",I16:AB16)</f>
        <v>1407.96</v>
      </c>
      <c r="I16" s="2212">
        <v>1407.96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1#B</v>
      </c>
      <c r="AY16" s="1804">
        <f>ROUND($AY$6*AZ16/$AZ$5,2)</f>
        <v>1620.17</v>
      </c>
      <c r="AZ16" s="16">
        <f>BA16+BL16</f>
        <v>1407.96</v>
      </c>
      <c r="BA16" s="16">
        <f>SUM(BB16:BK16)</f>
        <v>1407.96</v>
      </c>
      <c r="BB16" s="16">
        <f>IF($D16="是",I16-J16,0)</f>
        <v>1407.96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64" t="s">
        <v>1935</v>
      </c>
      <c r="B2" s="3064"/>
      <c r="C2" s="3064"/>
      <c r="D2" s="965" t="s">
        <v>1911</v>
      </c>
      <c r="E2" s="2225" t="s">
        <v>1912</v>
      </c>
      <c r="F2" s="1390"/>
      <c r="G2" s="2226"/>
      <c r="H2" s="2227"/>
      <c r="I2" s="2228" t="s">
        <v>1936</v>
      </c>
      <c r="J2" s="1390"/>
      <c r="K2" s="1390"/>
      <c r="L2" s="1390"/>
      <c r="M2" s="1390"/>
      <c r="N2" s="1425"/>
      <c r="O2" s="1390"/>
      <c r="P2" s="1390"/>
    </row>
    <row r="3" spans="1:16" ht="15.75" thickBot="1">
      <c r="A3" s="3065" t="s">
        <v>1909</v>
      </c>
      <c r="B3" s="3065"/>
      <c r="C3" s="3065"/>
      <c r="D3" s="46">
        <f>'数据-基础表'!AY6</f>
        <v>3030.4</v>
      </c>
      <c r="E3" s="46">
        <f>'数据-基础表'!AZ5</f>
        <v>2633.48</v>
      </c>
      <c r="F3" s="1390"/>
      <c r="G3" s="1397"/>
      <c r="H3" s="1245" t="s">
        <v>1910</v>
      </c>
      <c r="I3" s="55">
        <f>ROUND('数据-基础表'!B3/'数据-基础表'!A3,2)</f>
        <v>0.87</v>
      </c>
      <c r="J3" s="1390"/>
      <c r="K3" s="1390"/>
      <c r="L3" s="1390"/>
      <c r="M3" s="1390"/>
      <c r="N3" s="1425"/>
      <c r="O3" s="1390"/>
      <c r="P3" s="1390"/>
    </row>
    <row r="4" spans="1:16" ht="15">
      <c r="A4" s="3066"/>
      <c r="B4" s="3067"/>
      <c r="C4" s="3068"/>
      <c r="D4" s="2229" t="s">
        <v>1911</v>
      </c>
      <c r="E4" s="2230" t="s">
        <v>1912</v>
      </c>
      <c r="F4" s="1390"/>
      <c r="G4" s="2231" t="s">
        <v>1937</v>
      </c>
      <c r="H4" s="1245" t="s">
        <v>1917</v>
      </c>
      <c r="I4" s="55">
        <f>ROUND(SUMIF('数据-基础表'!I9:AS9,"地上",'数据-基础表'!I5:AS5)/'数据-基础表'!A3,2)</f>
        <v>0.87</v>
      </c>
      <c r="J4" s="1390"/>
      <c r="K4" s="1390"/>
      <c r="L4" s="1390"/>
      <c r="M4" s="1390"/>
      <c r="N4" s="1425"/>
      <c r="O4" s="1390"/>
      <c r="P4" s="1390"/>
    </row>
    <row r="5" spans="1:16">
      <c r="A5" s="47" t="s">
        <v>1913</v>
      </c>
      <c r="B5" s="3069" t="s">
        <v>1914</v>
      </c>
      <c r="C5" s="3069"/>
      <c r="D5" s="48">
        <f>ROUND($D$3*E5/$E$3,2)</f>
        <v>0</v>
      </c>
      <c r="E5" s="49">
        <f>SUMIF('数据-基础表'!$11:$11,"住宅",'数据-基础表'!$5:$5)</f>
        <v>0</v>
      </c>
      <c r="F5" s="1390"/>
      <c r="G5" s="1397"/>
      <c r="H5" s="1245" t="s">
        <v>1910</v>
      </c>
      <c r="I5" s="55">
        <f>ROUND(E31/D31,2)</f>
        <v>0.87</v>
      </c>
      <c r="J5" s="1390"/>
      <c r="K5" s="1390"/>
      <c r="L5" s="1390"/>
      <c r="M5" s="1390"/>
      <c r="N5" s="1390"/>
      <c r="O5" s="1390"/>
      <c r="P5" s="1390"/>
    </row>
    <row r="6" spans="1:16" ht="15" thickBot="1">
      <c r="A6" s="2232"/>
      <c r="B6" s="3069" t="s">
        <v>1915</v>
      </c>
      <c r="C6" s="3069"/>
      <c r="D6" s="48">
        <f>ROUND($D$3*E6/$E$3,2)</f>
        <v>3030.4</v>
      </c>
      <c r="E6" s="49">
        <f>E3-E5</f>
        <v>2633.48</v>
      </c>
      <c r="F6" s="1390"/>
      <c r="G6" s="2233" t="s">
        <v>1916</v>
      </c>
      <c r="H6" s="1397" t="s">
        <v>1917</v>
      </c>
      <c r="I6" s="937">
        <f>ROUND(F31/D31,2)</f>
        <v>0.87</v>
      </c>
      <c r="J6" s="1390"/>
      <c r="K6" s="1390"/>
      <c r="L6" s="1390"/>
      <c r="M6" s="1390"/>
      <c r="N6" s="1390"/>
      <c r="O6" s="1390"/>
      <c r="P6" s="1390"/>
    </row>
    <row r="7" spans="1:16" ht="15">
      <c r="A7" s="3061"/>
      <c r="B7" s="3062"/>
      <c r="C7" s="3063"/>
      <c r="D7" s="2229" t="s">
        <v>1911</v>
      </c>
      <c r="E7" s="2234" t="s">
        <v>1918</v>
      </c>
      <c r="F7" s="1390"/>
      <c r="G7" s="2226" t="s">
        <v>1919</v>
      </c>
      <c r="H7" s="64"/>
      <c r="I7" s="420"/>
      <c r="J7" s="1390"/>
      <c r="K7" s="1390"/>
      <c r="L7" s="1390"/>
      <c r="M7" s="1390"/>
      <c r="N7" s="1390"/>
      <c r="O7" s="1390"/>
      <c r="P7" s="1390"/>
    </row>
    <row r="8" spans="1:16">
      <c r="A8" s="47" t="s">
        <v>1920</v>
      </c>
      <c r="B8" s="50" t="s">
        <v>1921</v>
      </c>
      <c r="C8" s="48" t="s">
        <v>1922</v>
      </c>
      <c r="D8" s="48">
        <f t="shared" ref="D8:D15" si="0">ROUND($D$3*E8/$E$3,2)</f>
        <v>3030.4</v>
      </c>
      <c r="E8" s="51">
        <f>SUMIF('数据-基础表'!BB10:BK10,"地上",'数据-基础表'!BB5:BK5)</f>
        <v>2633.48</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3030.4</v>
      </c>
      <c r="E16" s="53">
        <f>SUM(E8:E15)</f>
        <v>2633.48</v>
      </c>
      <c r="F16" s="1390"/>
      <c r="G16" s="2235"/>
      <c r="H16" s="2238" t="s">
        <v>1939</v>
      </c>
      <c r="I16" s="2239"/>
      <c r="J16" s="1390"/>
      <c r="K16" s="3058" t="s">
        <v>1939</v>
      </c>
      <c r="L16" s="3059"/>
      <c r="M16" s="3059"/>
      <c r="N16" s="3059"/>
      <c r="O16" s="3059"/>
      <c r="P16" s="3060"/>
    </row>
    <row r="17" spans="1:19" ht="15">
      <c r="A17" s="2240" t="s">
        <v>1940</v>
      </c>
      <c r="B17" s="2241" t="s">
        <v>1941</v>
      </c>
      <c r="C17" s="2242" t="s">
        <v>1942</v>
      </c>
      <c r="D17" s="2243" t="s">
        <v>1930</v>
      </c>
      <c r="E17" s="2244" t="s">
        <v>1931</v>
      </c>
      <c r="F17" s="2245"/>
      <c r="G17" s="2246"/>
      <c r="H17" s="2247" t="s">
        <v>1943</v>
      </c>
      <c r="I17" s="2248" t="s">
        <v>1928</v>
      </c>
      <c r="J17" s="1390"/>
      <c r="K17" s="3055" t="s">
        <v>1944</v>
      </c>
      <c r="L17" s="3056"/>
      <c r="M17" s="3057"/>
      <c r="N17" s="3055" t="s">
        <v>1945</v>
      </c>
      <c r="O17" s="3056"/>
      <c r="P17" s="3057"/>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70" t="s">
        <v>3121</v>
      </c>
      <c r="D19" s="48">
        <f>ROUND($D$3*E19/$E$3,2)</f>
        <v>519.54999999999995</v>
      </c>
      <c r="E19" s="56">
        <f t="shared" ref="E19:E26" si="1">SUM(F19:G19)</f>
        <v>451.5</v>
      </c>
      <c r="F19" s="57">
        <f>'数据-基础表'!I13</f>
        <v>451.5</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519.54999999999995</v>
      </c>
      <c r="S19" s="1246">
        <f t="shared" si="5"/>
        <v>451.5</v>
      </c>
    </row>
    <row r="20" spans="1:19">
      <c r="A20" s="2261"/>
      <c r="B20" s="50" t="s">
        <v>1957</v>
      </c>
      <c r="C20" s="2970" t="s">
        <v>3122</v>
      </c>
      <c r="D20" s="48">
        <f t="shared" ref="D20:D26" si="6">ROUND($D$3*E20/$E$3,2)</f>
        <v>2510.85</v>
      </c>
      <c r="E20" s="56">
        <f t="shared" si="1"/>
        <v>2181.98</v>
      </c>
      <c r="F20" s="57">
        <f>'数据-基础表'!I14+'数据-基础表'!I15+'数据-基础表'!I16</f>
        <v>2181.98</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2510.85</v>
      </c>
      <c r="S20" s="1246">
        <f t="shared" si="5"/>
        <v>2181.98</v>
      </c>
    </row>
    <row r="21" spans="1:19">
      <c r="A21" s="2261"/>
      <c r="B21" s="50" t="s">
        <v>1957</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1958</v>
      </c>
      <c r="D27" s="1391">
        <f>SUM(D19:D26)</f>
        <v>3030.3999999999996</v>
      </c>
      <c r="E27" s="1392">
        <f>IF(SUM(E19:E26)='数据-基础表'!BA5,SUM(E19:E26),IF(F27="地上面积有误","面积有误","地下面积有误"))</f>
        <v>2633.48</v>
      </c>
      <c r="F27" s="1391">
        <f>IF(SUM(F19:F26)=E8,SUM(F19:F26),"地上面积有误")</f>
        <v>2633.48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3030.3999999999996</v>
      </c>
      <c r="S27" s="1245">
        <f>IF(SUM(S19:S26)=$E$3,SUM(S19:S26),SUM(S19:S26)&amp;"误差"&amp;ROUND(SUM(S19:S26)-E3,2))</f>
        <v>2633.48</v>
      </c>
    </row>
    <row r="28" spans="1:19">
      <c r="A28" s="2261"/>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1959</v>
      </c>
      <c r="C29" s="2265"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1962</v>
      </c>
      <c r="D31" s="727">
        <f>D27+D30</f>
        <v>3030.3999999999996</v>
      </c>
      <c r="E31" s="727">
        <f>E27+E30</f>
        <v>2633.48</v>
      </c>
      <c r="F31" s="728">
        <f>F27+F30</f>
        <v>2633.48</v>
      </c>
      <c r="G31" s="729">
        <f>G27+G30</f>
        <v>0</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9" sqref="D3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1965</v>
      </c>
      <c r="B2" s="1264">
        <f>项目基本情况!D3</f>
        <v>43690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6" t="s">
        <v>1976</v>
      </c>
      <c r="F5" s="2291" t="s">
        <v>1977</v>
      </c>
      <c r="G5" s="1266" t="s">
        <v>1978</v>
      </c>
      <c r="H5" s="1266" t="s">
        <v>1979</v>
      </c>
      <c r="I5" s="1266" t="s">
        <v>1980</v>
      </c>
      <c r="J5" s="2292" t="s">
        <v>1981</v>
      </c>
      <c r="K5" s="2293" t="s">
        <v>1982</v>
      </c>
      <c r="L5" s="2294" t="s">
        <v>1983</v>
      </c>
      <c r="M5" s="2295" t="s">
        <v>1984</v>
      </c>
      <c r="N5" s="2296" t="s">
        <v>3071</v>
      </c>
      <c r="O5" s="2294" t="s">
        <v>1985</v>
      </c>
      <c r="P5" s="2297" t="s">
        <v>1986</v>
      </c>
      <c r="Q5" s="69" t="s">
        <v>1987</v>
      </c>
      <c r="R5" s="2298" t="s">
        <v>1988</v>
      </c>
      <c r="S5" s="2299" t="s">
        <v>1989</v>
      </c>
      <c r="T5" s="2300" t="s">
        <v>1990</v>
      </c>
      <c r="U5" s="1265" t="s">
        <v>1991</v>
      </c>
      <c r="V5" s="1266" t="s">
        <v>1992</v>
      </c>
      <c r="W5" s="1266" t="s">
        <v>1993</v>
      </c>
      <c r="X5" s="71"/>
      <c r="Y5" s="70" t="s">
        <v>1994</v>
      </c>
      <c r="Z5" s="2301" t="s">
        <v>1991</v>
      </c>
      <c r="AA5" s="1266" t="s">
        <v>1992</v>
      </c>
      <c r="AB5" s="1266" t="s">
        <v>1993</v>
      </c>
      <c r="AC5" s="71"/>
      <c r="AD5" s="71" t="s">
        <v>1994</v>
      </c>
      <c r="AE5" s="1265" t="s">
        <v>1995</v>
      </c>
      <c r="AF5" s="1266" t="s">
        <v>1996</v>
      </c>
      <c r="AG5" s="70" t="s">
        <v>1997</v>
      </c>
      <c r="AH5" s="1265" t="s">
        <v>1998</v>
      </c>
      <c r="AI5" s="2301" t="s">
        <v>1999</v>
      </c>
      <c r="AJ5" s="2301" t="s">
        <v>2000</v>
      </c>
      <c r="AK5" s="1266" t="s">
        <v>2001</v>
      </c>
      <c r="AL5" s="1266" t="s">
        <v>2002</v>
      </c>
      <c r="AM5" s="70" t="s">
        <v>2003</v>
      </c>
      <c r="AN5" s="2302" t="s">
        <v>2004</v>
      </c>
      <c r="AO5" s="2072" t="s">
        <v>2005</v>
      </c>
      <c r="AP5" s="1247"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2-1#</v>
      </c>
      <c r="B6" s="2305" t="str">
        <f>IF(A6=0,"","经营性")</f>
        <v>经营性</v>
      </c>
      <c r="C6" s="2306" t="s">
        <v>1373</v>
      </c>
      <c r="D6" s="1049">
        <f>SUMIF(项目基本情况!D$12:I$12,C6,项目基本情况!D$14:I$14)</f>
        <v>40</v>
      </c>
      <c r="E6" s="1046">
        <f>IF(B6="","",SUMIF(项目基本情况!D$12:I$12,C6,项目基本情况!D$13:I$13))</f>
        <v>55665</v>
      </c>
      <c r="F6" s="72">
        <f>SUMIF(项目基本情况!D$12:I$12,C6,项目基本情况!D$15:I$15)</f>
        <v>32.799999999999997</v>
      </c>
      <c r="G6" s="73">
        <f>IF(ISERROR(ROUND(POWER(1+H6,D6-F6)*(POWER(1+H6,F6)-1)/(POWER(1+H6,D6)-1),3)),0,ROUND(POWER(1+H6,D6-F6)*(POWER(1+H6,F6)-1)/(POWER(1+H6,D6)-1),3))</f>
        <v>0.93700000000000006</v>
      </c>
      <c r="H6" s="800">
        <v>5.5E-2</v>
      </c>
      <c r="I6" s="800">
        <v>0.06</v>
      </c>
      <c r="J6" s="74">
        <v>8.5000000000000006E-2</v>
      </c>
      <c r="K6" s="1249">
        <f>SUMIF('数据-汇总表'!C$19:C$33,A6,'数据-汇总表'!E$19:E$33)</f>
        <v>451.5</v>
      </c>
      <c r="L6" s="801">
        <v>2100</v>
      </c>
      <c r="M6" s="75">
        <f t="shared" ref="M6:M14" si="0">ROUND(K6*L6/10000,0)</f>
        <v>95</v>
      </c>
      <c r="N6" s="799">
        <v>0.86</v>
      </c>
      <c r="O6" s="75" t="str">
        <f>IF($N$5="成新度","——",ROUND(M6*N6,0))</f>
        <v>——</v>
      </c>
      <c r="P6" s="76" t="str">
        <f>IF($N$5="成新度","——",M6-O6)</f>
        <v>——</v>
      </c>
      <c r="Q6" s="802">
        <v>0.15</v>
      </c>
      <c r="R6" s="77">
        <f ca="1">SUMIF('数据-汇总表'!C$19:C$33,A6,'数据-汇总表'!R$19:R$27)</f>
        <v>519.54999999999995</v>
      </c>
      <c r="S6" s="54">
        <f>IF('数据-汇总表'!$I$17="按面积比例",SUMIF('数据-汇总表'!C$19:C$33,A6,'数据-汇总表'!K$19:K$33),SUMIF('数据-汇总表'!C$19:C$33,A6,'数据-汇总表'!N$19:N$33))</f>
        <v>0</v>
      </c>
      <c r="T6" s="1441">
        <f>ROUND($L$14*S6/10000,0)</f>
        <v>0</v>
      </c>
      <c r="U6" s="78">
        <v>1.2</v>
      </c>
      <c r="V6" s="79">
        <v>0.02</v>
      </c>
      <c r="W6" s="79">
        <v>0.15</v>
      </c>
      <c r="X6" s="1259"/>
      <c r="Y6" s="80">
        <f>N6</f>
        <v>0.86</v>
      </c>
      <c r="Z6" s="81"/>
      <c r="AA6" s="74"/>
      <c r="AB6" s="74"/>
      <c r="AC6" s="1259"/>
      <c r="AD6" s="82"/>
      <c r="AE6" s="1260">
        <f ca="1">IF(AN6="",0,SUMIF(INDIRECT("'"&amp;AN6&amp;"'"&amp;"!E:E"),$AE$5,INDIRECT("'"&amp;AN6&amp;"'"&amp;"!F:F")))</f>
        <v>32.799999999999997</v>
      </c>
      <c r="AF6" s="1802"/>
      <c r="AG6" s="147">
        <f>IF(AF6="",0,AE6-AF6)</f>
        <v>0</v>
      </c>
      <c r="AH6" s="83"/>
      <c r="AI6" s="85">
        <v>365</v>
      </c>
      <c r="AJ6" s="86"/>
      <c r="AK6" s="87">
        <v>1.4999999999999999E-2</v>
      </c>
      <c r="AL6" s="88">
        <v>1.5E-3</v>
      </c>
      <c r="AM6" s="89">
        <v>0.01</v>
      </c>
      <c r="AN6" s="2307" t="s">
        <v>3114</v>
      </c>
      <c r="AO6" s="55">
        <f ca="1">SUMIF(INDIRECT("'"&amp;AN6&amp;"'"&amp;"!A:A"),"总价",INDIRECT("'"&amp;AN6&amp;"'"&amp;"!B:B"))</f>
        <v>200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其余</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2181.98</v>
      </c>
      <c r="L7" s="801"/>
      <c r="M7" s="75">
        <f t="shared" si="0"/>
        <v>0</v>
      </c>
      <c r="N7" s="799"/>
      <c r="O7" s="75" t="str">
        <f t="shared" ref="O7:O14" si="3">IF($N$5="成新度","——",ROUND(M7*N7,0))</f>
        <v>——</v>
      </c>
      <c r="P7" s="76" t="str">
        <f t="shared" ref="P7:P14" si="4">IF($N$5="成新度","——",M7-O7)</f>
        <v>——</v>
      </c>
      <c r="Q7" s="802"/>
      <c r="R7" s="77">
        <f ca="1">SUMIF('数据-汇总表'!C$19:C$33,A7,'数据-汇总表'!R$19:R$27)</f>
        <v>2510.85</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3"/>
      <c r="D16" s="2312"/>
      <c r="E16" s="97"/>
      <c r="F16" s="97"/>
      <c r="G16" s="98">
        <f>ROUND(SUMPRODUCT(G6:G13,K6:K13)/SUMPRODUCT((G6:G13&gt;0)*(K6:K13)),3)</f>
        <v>0.93700000000000006</v>
      </c>
      <c r="H16" s="99">
        <f>ROUND(SUMPRODUCT(H6:H13,K6:K13)/SUMPRODUCT((H6:H13&gt;0)*(K6:K13)),3)</f>
        <v>5.5E-2</v>
      </c>
      <c r="I16" s="100"/>
      <c r="J16" s="100"/>
      <c r="K16" s="101">
        <f>SUM(K6:K15)</f>
        <v>2633.48</v>
      </c>
      <c r="L16" s="102">
        <f>ROUND(M16*10000/SUM(K6:K14),0)</f>
        <v>361</v>
      </c>
      <c r="M16" s="102">
        <f>SUM(M6:M14)</f>
        <v>95</v>
      </c>
      <c r="N16" s="103">
        <f>ROUND(SUMPRODUCT(M6:M14,N6:N14)/M16,3)</f>
        <v>0.86</v>
      </c>
      <c r="O16" s="102">
        <f>SUM(O6:O14)</f>
        <v>0</v>
      </c>
      <c r="P16" s="102">
        <f>SUM(P6:P14)</f>
        <v>0</v>
      </c>
      <c r="Q16" s="104">
        <f>ROUND(SUMPRODUCT(Q6:Q13,K6:K13)/SUMPRODUCT((Q6:Q13&gt;0)*(K6:K13)),2)</f>
        <v>0.15</v>
      </c>
      <c r="R16" s="1253">
        <f ca="1">SUM(R6:R13)</f>
        <v>3030.3999999999996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2015</v>
      </c>
      <c r="B19" s="112">
        <v>0</v>
      </c>
      <c r="C19" s="2275" t="s">
        <v>2016</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2017</v>
      </c>
      <c r="B20" s="113">
        <v>1.5</v>
      </c>
      <c r="C20" s="2275" t="s">
        <v>2018</v>
      </c>
      <c r="D20" s="2276"/>
      <c r="E20" s="2275"/>
      <c r="F20" s="2275"/>
      <c r="G20" s="2275"/>
      <c r="H20" s="2275"/>
      <c r="I20" s="2275"/>
      <c r="J20" s="2275"/>
      <c r="K20" s="168"/>
      <c r="L20" s="168"/>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2019</v>
      </c>
      <c r="B21" s="113">
        <v>1.5</v>
      </c>
      <c r="C21" s="2275"/>
      <c r="D21" s="2276"/>
      <c r="E21" s="2275"/>
      <c r="F21" s="2275"/>
      <c r="G21" s="2275"/>
      <c r="H21" s="2275"/>
      <c r="I21" s="2275"/>
      <c r="J21" s="2275"/>
      <c r="K21" s="168"/>
      <c r="L21" s="168"/>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2020</v>
      </c>
      <c r="B22" s="114">
        <f>B19+B20</f>
        <v>1.5</v>
      </c>
      <c r="C22" s="2275"/>
      <c r="D22" s="2276"/>
      <c r="E22" s="2275"/>
      <c r="F22" s="2275"/>
      <c r="G22" s="2275"/>
      <c r="H22" s="2275"/>
      <c r="I22" s="2275"/>
      <c r="J22" s="2275"/>
      <c r="K22" s="168"/>
      <c r="L22" s="168"/>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2021</v>
      </c>
      <c r="B23" s="114">
        <f>B19+B21</f>
        <v>1.5</v>
      </c>
      <c r="C23" s="2275"/>
      <c r="D23" s="2276"/>
      <c r="E23" s="2275"/>
      <c r="F23" s="2275"/>
      <c r="G23" s="2275"/>
      <c r="H23" s="2275"/>
      <c r="I23" s="2275"/>
      <c r="J23" s="2275"/>
      <c r="K23" s="168"/>
      <c r="L23" s="168"/>
      <c r="M23" s="1579"/>
      <c r="N23" s="1579">
        <v>50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2022</v>
      </c>
      <c r="B24" s="115">
        <f>B20-B21</f>
        <v>0</v>
      </c>
      <c r="C24" s="2275"/>
      <c r="D24" s="2276"/>
      <c r="E24" s="2275"/>
      <c r="F24" s="2275"/>
      <c r="G24" s="2275"/>
      <c r="H24" s="2275"/>
      <c r="I24" s="2275"/>
      <c r="J24" s="2275"/>
      <c r="K24" s="168"/>
      <c r="L24" s="168"/>
      <c r="M24" s="1579"/>
      <c r="N24" s="1579">
        <f>N23-N22</f>
        <v>43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f>N24/N23</f>
        <v>0.86</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2023</v>
      </c>
      <c r="B26" s="2318" t="s">
        <v>2024</v>
      </c>
      <c r="C26" s="2319" t="s">
        <v>2025</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2026</v>
      </c>
      <c r="B27" s="116"/>
      <c r="C27" s="1762" t="s">
        <v>2027</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2028</v>
      </c>
      <c r="B28" s="119">
        <v>75</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2029</v>
      </c>
      <c r="B29" s="121">
        <v>0</v>
      </c>
      <c r="C29" s="1762" t="s">
        <v>2030</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2031</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2032</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2033</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2034</v>
      </c>
      <c r="B33" s="724">
        <v>0.03</v>
      </c>
      <c r="C33" s="1761" t="s">
        <v>2035</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2036</v>
      </c>
      <c r="B34" s="122">
        <v>0</v>
      </c>
      <c r="C34" s="1761" t="s">
        <v>2037</v>
      </c>
      <c r="D34" s="2276" t="s">
        <v>2038</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2039</v>
      </c>
      <c r="B35" s="119">
        <v>200</v>
      </c>
      <c r="C35" s="1761" t="s">
        <v>2040</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2041</v>
      </c>
      <c r="B36" s="123">
        <v>1.4999999999999999E-2</v>
      </c>
      <c r="C36" s="1761" t="s">
        <v>2042</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2043</v>
      </c>
      <c r="B37" s="124">
        <v>0.02</v>
      </c>
      <c r="C37" s="1761" t="s">
        <v>2044</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2045</v>
      </c>
      <c r="B38" s="122">
        <v>0.02</v>
      </c>
      <c r="C38" s="1761" t="s">
        <v>2044</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2046</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2047</v>
      </c>
      <c r="B40" s="1298">
        <f ca="1">存贷款利率!G1</f>
        <v>4.7500000000000001E-2</v>
      </c>
      <c r="C40" s="1761" t="s">
        <v>2048</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2049</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2050</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2051</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2052</v>
      </c>
      <c r="B44" s="128">
        <v>0.05</v>
      </c>
      <c r="C44" s="1761" t="s">
        <v>2053</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2054</v>
      </c>
      <c r="B45" s="126">
        <v>0.03</v>
      </c>
      <c r="C45" s="1762" t="s">
        <v>2055</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2056</v>
      </c>
      <c r="B46" s="126">
        <v>0.02</v>
      </c>
      <c r="C46" s="1762" t="s">
        <v>2057</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2058</v>
      </c>
      <c r="B47" s="129"/>
      <c r="C47" s="1762" t="s">
        <v>2059</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2060</v>
      </c>
      <c r="B48" s="130">
        <v>0.03</v>
      </c>
      <c r="C48" s="1769" t="s">
        <v>2061</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2062</v>
      </c>
      <c r="B49" s="126">
        <v>5.0000000000000001E-4</v>
      </c>
      <c r="C49" s="1769" t="s">
        <v>2063</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2064</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2065</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2066</v>
      </c>
      <c r="B52" s="133">
        <f>SUMIF(A54:A63,B53,B54:B63)</f>
        <v>6</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2067</v>
      </c>
      <c r="B53" s="2334" t="s">
        <v>212</v>
      </c>
      <c r="C53" s="1425" t="s">
        <v>2068</v>
      </c>
      <c r="D53" s="2335" t="s">
        <v>2069</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2070</v>
      </c>
      <c r="B54" s="84">
        <v>6</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2071</v>
      </c>
      <c r="B55" s="84">
        <v>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2072</v>
      </c>
      <c r="B56" s="84">
        <v>2</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2073</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2074</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2075</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2076</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2077</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2078</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2079</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0" t="s">
        <v>2080</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5" t="s">
        <v>2083</v>
      </c>
      <c r="B3" s="1266"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3"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3" t="s">
        <v>2092</v>
      </c>
      <c r="C5" s="2372" t="s">
        <v>2093</v>
      </c>
      <c r="D5" s="2369"/>
      <c r="E5" s="2373"/>
      <c r="F5" s="1793" t="s">
        <v>2094</v>
      </c>
      <c r="G5" s="2374" t="s">
        <v>2095</v>
      </c>
      <c r="H5" s="2366"/>
      <c r="I5" s="2366"/>
      <c r="J5" s="2366"/>
      <c r="K5" s="2366"/>
      <c r="L5" s="2366"/>
      <c r="M5" s="2366"/>
      <c r="N5" s="2366"/>
      <c r="O5" s="2366"/>
      <c r="P5" s="2366"/>
      <c r="Q5" s="2366"/>
      <c r="R5" s="2366"/>
    </row>
    <row r="6" spans="1:29" ht="54">
      <c r="A6" s="431"/>
      <c r="B6" s="1793" t="s">
        <v>2096</v>
      </c>
      <c r="C6" s="2374" t="s">
        <v>2091</v>
      </c>
      <c r="D6" s="2369"/>
      <c r="E6" s="2373"/>
      <c r="F6" s="1793" t="s">
        <v>2097</v>
      </c>
      <c r="G6" s="2374" t="s">
        <v>2098</v>
      </c>
      <c r="H6" s="2366"/>
      <c r="I6" s="2366"/>
      <c r="J6" s="2366"/>
      <c r="K6" s="2366"/>
      <c r="L6" s="2366"/>
      <c r="M6" s="2366"/>
      <c r="N6" s="2366"/>
      <c r="O6" s="2366"/>
      <c r="P6" s="2366"/>
      <c r="Q6" s="2366"/>
      <c r="R6" s="2366"/>
    </row>
    <row r="7" spans="1:29" ht="41.25" thickBot="1">
      <c r="A7" s="431"/>
      <c r="B7" s="1793"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3" t="s">
        <v>2097</v>
      </c>
      <c r="C8" s="2374" t="s">
        <v>2098</v>
      </c>
      <c r="D8" s="2375"/>
      <c r="E8" s="2375"/>
      <c r="F8" s="1131"/>
      <c r="G8" s="1131"/>
      <c r="H8" s="2366"/>
      <c r="I8" s="2366"/>
      <c r="J8" s="2366"/>
      <c r="K8" s="2366"/>
      <c r="L8" s="2366"/>
      <c r="M8" s="2366"/>
      <c r="N8" s="2366"/>
      <c r="O8" s="2366"/>
      <c r="P8" s="2366"/>
      <c r="Q8" s="2366"/>
      <c r="R8" s="2366"/>
    </row>
    <row r="9" spans="1:29" ht="27">
      <c r="A9" s="431"/>
      <c r="B9" s="1793" t="s">
        <v>2101</v>
      </c>
      <c r="C9" s="2372" t="s">
        <v>2102</v>
      </c>
      <c r="D9" s="2369"/>
      <c r="E9" s="2375"/>
      <c r="F9" s="1131"/>
      <c r="G9" s="1131"/>
      <c r="H9" s="2366"/>
      <c r="I9" s="2366"/>
      <c r="J9" s="2366"/>
      <c r="K9" s="2366"/>
      <c r="L9" s="2366"/>
      <c r="M9" s="2366"/>
      <c r="N9" s="2366"/>
      <c r="O9" s="2366"/>
      <c r="P9" s="2366"/>
      <c r="Q9" s="2366"/>
      <c r="R9" s="2366"/>
    </row>
    <row r="10" spans="1:29" s="117" customFormat="1" ht="15.75" thickBot="1">
      <c r="A10" s="2379"/>
      <c r="B10" s="2380" t="s">
        <v>2103</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5" t="s">
        <v>2084</v>
      </c>
      <c r="C15" s="2401" t="str">
        <f>C3</f>
        <v>估价对象周边居住用地比例、居住小区规模和社区发展完善程度，综合评价居住社区成熟度一般</v>
      </c>
      <c r="D15" s="2369"/>
      <c r="E15" s="2402" t="s">
        <v>2108</v>
      </c>
      <c r="F15" s="1265"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7"/>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7"/>
      <c r="D19" s="2369"/>
      <c r="E19" s="2405"/>
      <c r="F19" s="1793"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3" t="s">
        <v>2113</v>
      </c>
      <c r="G20" s="136" t="str">
        <f>G6</f>
        <v>估价对象所在区域基础设施水平</v>
      </c>
    </row>
    <row r="21" spans="1:18" ht="28.5">
      <c r="A21" s="645"/>
      <c r="B21" s="1793" t="s">
        <v>2094</v>
      </c>
      <c r="C21" s="136" t="str">
        <f>C7</f>
        <v>估价对象所在区域公共配套设施齐备情况</v>
      </c>
      <c r="D21" s="2369"/>
      <c r="E21" s="2405"/>
      <c r="F21" s="2406" t="s">
        <v>2114</v>
      </c>
      <c r="G21" s="2407"/>
    </row>
    <row r="22" spans="1:18" ht="13.5" customHeight="1">
      <c r="A22" s="645"/>
      <c r="B22" s="1793" t="s">
        <v>2097</v>
      </c>
      <c r="C22" s="136" t="str">
        <f>C8</f>
        <v>估价对象所在区域基础设施水平</v>
      </c>
      <c r="D22" s="2369"/>
      <c r="E22" s="2405"/>
      <c r="F22" s="2406" t="s">
        <v>2103</v>
      </c>
      <c r="G22" s="1567"/>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2633.48</v>
      </c>
      <c r="C1" s="1740"/>
      <c r="D1" s="1740"/>
      <c r="E1" s="1740"/>
      <c r="F1" s="1740"/>
      <c r="G1" s="1738"/>
    </row>
    <row r="2" spans="1:10" ht="16.5">
      <c r="A2" s="1741" t="s">
        <v>1349</v>
      </c>
      <c r="B2" s="1741">
        <f>SUM(C14:C23)</f>
        <v>3030.4</v>
      </c>
      <c r="C2" s="1740"/>
      <c r="D2" s="1740"/>
      <c r="E2" s="1740"/>
      <c r="F2" s="1740"/>
      <c r="G2" s="1738"/>
    </row>
    <row r="3" spans="1:10" ht="16.5">
      <c r="A3" s="1741" t="s">
        <v>1358</v>
      </c>
      <c r="B3" s="1742">
        <f>项目基本情况!D3</f>
        <v>43690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1980</v>
      </c>
      <c r="C5" s="1741">
        <f ca="1">ROUND(B5*10000/$B$1,0)</f>
        <v>7519</v>
      </c>
      <c r="D5" s="1741">
        <f ca="1">ROUND(B5*10000/$B$2,0)</f>
        <v>6534</v>
      </c>
      <c r="E5" s="1740"/>
      <c r="F5" s="1738"/>
      <c r="G5" s="1738"/>
    </row>
    <row r="6" spans="1:10" ht="16.5">
      <c r="A6" s="1741" t="s">
        <v>1352</v>
      </c>
      <c r="B6" s="1741">
        <f ca="1">SUM(G14:G23)</f>
        <v>1980</v>
      </c>
      <c r="C6" s="1741">
        <f ca="1">ROUND(B6*10000/$B$1,0)</f>
        <v>7519</v>
      </c>
      <c r="D6" s="1741">
        <f ca="1">ROUND(B6*10000/$B$2,0)</f>
        <v>6534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2633.48</v>
      </c>
      <c r="C14" s="1739">
        <f>结果表!C118</f>
        <v>3030.4</v>
      </c>
      <c r="D14" s="1739">
        <f ca="1">结果表!H118</f>
        <v>1980</v>
      </c>
      <c r="E14" s="1739">
        <f ca="1">ROUND(D14*10000/B14,0)</f>
        <v>7519</v>
      </c>
      <c r="F14" s="1739">
        <f ca="1">ROUND(D14*10000/C14,0)</f>
        <v>6534</v>
      </c>
      <c r="G14" s="1739">
        <f ca="1">结果表!D122</f>
        <v>1980</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c r="D1" s="2417"/>
      <c r="E1" s="2417"/>
      <c r="F1" s="2419" t="s">
        <v>2118</v>
      </c>
      <c r="G1" s="2068" t="s">
        <v>2119</v>
      </c>
      <c r="H1" s="2420" t="str">
        <f>IF(G1="现房","——","估价对象范围")</f>
        <v>估价对象范围</v>
      </c>
      <c r="I1" s="2421"/>
    </row>
    <row r="2" spans="1:12" ht="21.75" customHeight="1" thickBot="1">
      <c r="A2" s="3105" t="str">
        <f>项目基本情况!S2</f>
        <v>出让国有建设用地使用权及在建建筑物房地产</v>
      </c>
      <c r="B2" s="3106"/>
      <c r="C2" s="3106"/>
      <c r="D2" s="3106"/>
      <c r="E2" s="3106"/>
      <c r="F2" s="3106"/>
      <c r="G2" s="3106"/>
      <c r="H2" s="3106"/>
      <c r="I2" s="3107"/>
    </row>
    <row r="3" spans="1:12" ht="12.75">
      <c r="A3" s="3109" t="s">
        <v>2120</v>
      </c>
      <c r="B3" s="3110"/>
      <c r="C3" s="3110"/>
      <c r="D3" s="3110"/>
      <c r="E3" s="3110"/>
      <c r="F3" s="3110"/>
      <c r="G3" s="3110"/>
      <c r="H3" s="3110"/>
      <c r="I3" s="3110"/>
    </row>
    <row r="4" spans="1:12" ht="14.25">
      <c r="A4" s="2424" t="s">
        <v>2121</v>
      </c>
      <c r="B4" s="2425" t="s">
        <v>2122</v>
      </c>
      <c r="C4" s="2426" t="s">
        <v>3125</v>
      </c>
      <c r="D4" s="2426" t="s">
        <v>3118</v>
      </c>
      <c r="E4" s="3102" t="s">
        <v>2123</v>
      </c>
      <c r="F4" s="3103"/>
      <c r="G4" s="3103"/>
      <c r="H4" s="3103"/>
      <c r="I4" s="3111"/>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85" t="s">
        <v>2124</v>
      </c>
      <c r="B5" s="3023">
        <v>25</v>
      </c>
      <c r="C5" s="3088"/>
      <c r="D5" s="3108"/>
      <c r="E5" s="140" t="s">
        <v>2125</v>
      </c>
      <c r="F5" s="2428"/>
      <c r="G5" s="2428"/>
      <c r="H5" s="2428"/>
      <c r="I5" s="1829"/>
    </row>
    <row r="6" spans="1:12" ht="12.75">
      <c r="A6" s="3085"/>
      <c r="B6" s="3023"/>
      <c r="C6" s="3089"/>
      <c r="D6" s="3108"/>
      <c r="E6" s="140" t="s">
        <v>2126</v>
      </c>
      <c r="F6" s="2428"/>
      <c r="G6" s="2428"/>
      <c r="H6" s="2428"/>
      <c r="I6" s="1829"/>
    </row>
    <row r="7" spans="1:12" ht="12.75">
      <c r="A7" s="3085"/>
      <c r="B7" s="3023"/>
      <c r="C7" s="3090"/>
      <c r="D7" s="3108"/>
      <c r="E7" s="140" t="s">
        <v>2127</v>
      </c>
      <c r="F7" s="2428"/>
      <c r="G7" s="2428"/>
      <c r="H7" s="2428"/>
      <c r="I7" s="1829"/>
    </row>
    <row r="8" spans="1:12" ht="12.75">
      <c r="A8" s="3085" t="s">
        <v>2128</v>
      </c>
      <c r="B8" s="3023">
        <v>15</v>
      </c>
      <c r="C8" s="3088"/>
      <c r="D8" s="3108"/>
      <c r="E8" s="140" t="s">
        <v>2129</v>
      </c>
      <c r="F8" s="2428"/>
      <c r="G8" s="2428"/>
      <c r="H8" s="2428"/>
      <c r="I8" s="1829"/>
    </row>
    <row r="9" spans="1:12" ht="12.75">
      <c r="A9" s="3085"/>
      <c r="B9" s="3023"/>
      <c r="C9" s="3090"/>
      <c r="D9" s="3108"/>
      <c r="E9" s="140" t="s">
        <v>2130</v>
      </c>
      <c r="F9" s="2428"/>
      <c r="G9" s="2428"/>
      <c r="H9" s="2428"/>
      <c r="I9" s="1829"/>
    </row>
    <row r="10" spans="1:12" ht="12.75">
      <c r="A10" s="3085" t="s">
        <v>2131</v>
      </c>
      <c r="B10" s="3023">
        <v>15</v>
      </c>
      <c r="C10" s="3088"/>
      <c r="D10" s="3108"/>
      <c r="E10" s="140" t="s">
        <v>2132</v>
      </c>
      <c r="F10" s="2428"/>
      <c r="G10" s="2428"/>
      <c r="H10" s="2428"/>
      <c r="I10" s="1829"/>
    </row>
    <row r="11" spans="1:12" ht="12.75">
      <c r="A11" s="3085"/>
      <c r="B11" s="3023"/>
      <c r="C11" s="3090"/>
      <c r="D11" s="3108"/>
      <c r="E11" s="140" t="s">
        <v>2133</v>
      </c>
      <c r="F11" s="2428"/>
      <c r="G11" s="2428"/>
      <c r="H11" s="2428"/>
      <c r="I11" s="1829"/>
    </row>
    <row r="12" spans="1:12" ht="12.75">
      <c r="A12" s="3085" t="s">
        <v>2134</v>
      </c>
      <c r="B12" s="3023">
        <v>15</v>
      </c>
      <c r="C12" s="3088"/>
      <c r="D12" s="3108"/>
      <c r="E12" s="140" t="s">
        <v>2135</v>
      </c>
      <c r="F12" s="2428"/>
      <c r="G12" s="2428"/>
      <c r="H12" s="2428"/>
      <c r="I12" s="1829"/>
    </row>
    <row r="13" spans="1:12" ht="12.75">
      <c r="A13" s="3085"/>
      <c r="B13" s="3023"/>
      <c r="C13" s="3090"/>
      <c r="D13" s="3108"/>
      <c r="E13" s="140" t="s">
        <v>2136</v>
      </c>
      <c r="F13" s="2428"/>
      <c r="G13" s="2428"/>
      <c r="H13" s="2428"/>
      <c r="I13" s="1829"/>
    </row>
    <row r="14" spans="1:12" ht="12.75">
      <c r="A14" s="3085" t="s">
        <v>2137</v>
      </c>
      <c r="B14" s="3023">
        <v>30</v>
      </c>
      <c r="C14" s="3088">
        <v>1</v>
      </c>
      <c r="D14" s="3108">
        <v>0</v>
      </c>
      <c r="E14" s="140" t="s">
        <v>2138</v>
      </c>
      <c r="F14" s="2428"/>
      <c r="G14" s="2428"/>
      <c r="H14" s="2428"/>
      <c r="I14" s="1829"/>
    </row>
    <row r="15" spans="1:12" ht="12.75">
      <c r="A15" s="3085"/>
      <c r="B15" s="3023"/>
      <c r="C15" s="3089"/>
      <c r="D15" s="3108"/>
      <c r="E15" s="140" t="s">
        <v>2139</v>
      </c>
      <c r="F15" s="2428"/>
      <c r="G15" s="2428"/>
      <c r="H15" s="2428"/>
      <c r="I15" s="1829"/>
    </row>
    <row r="16" spans="1:12" ht="12.75">
      <c r="A16" s="3085"/>
      <c r="B16" s="3023"/>
      <c r="C16" s="3090"/>
      <c r="D16" s="3108"/>
      <c r="E16" s="140" t="s">
        <v>2140</v>
      </c>
      <c r="F16" s="2428"/>
      <c r="G16" s="2428"/>
      <c r="H16" s="2428"/>
      <c r="I16" s="1829"/>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2633.48</v>
      </c>
      <c r="M18" s="2427">
        <f>IF(C1="",'数据-汇总表'!E3,SUMIF(项目类型,C1,'数据-汇总表'!E17:E26))</f>
        <v>2633.48</v>
      </c>
    </row>
    <row r="19" spans="1:35" ht="15">
      <c r="A19" s="2433" t="s">
        <v>2146</v>
      </c>
      <c r="B19" s="2434" t="s">
        <v>2147</v>
      </c>
      <c r="C19" s="143">
        <f ca="1">SUMIF(INDIRECT("'"&amp;C4&amp;"'"&amp;"!A:A"),结果表!B19,INDIRECT("'"&amp;C4&amp;"'"&amp;"!B:B"))</f>
        <v>1980</v>
      </c>
      <c r="D19" s="144">
        <f ca="1">SUMIF(INDIRECT("'"&amp;D4&amp;"'"&amp;"!A:A"),结果表!B19,INDIRECT("'"&amp;D4&amp;"'"&amp;"!B:B"))</f>
        <v>439</v>
      </c>
      <c r="E19" s="2433" t="s">
        <v>2148</v>
      </c>
      <c r="F19" s="2434" t="s">
        <v>2147</v>
      </c>
      <c r="G19" s="145">
        <f ca="1">ROUND(C19*$C$18+D19*$D$18,0)</f>
        <v>1980</v>
      </c>
      <c r="H19" s="2435" t="s">
        <v>2149</v>
      </c>
      <c r="I19" s="138"/>
      <c r="K19" s="2427" t="s">
        <v>2150</v>
      </c>
      <c r="L19" s="2427">
        <f>IF(C1="",'数据-汇总表'!D3,SUMIF(项目类型,C1,'数据-汇总表'!D17:D26)+SUMIF(项目类型,C1,'数据-汇总表'!H17:H27))</f>
        <v>3030.4</v>
      </c>
      <c r="M19" s="2427">
        <f>IF(C1="",'数据-汇总表'!D3,SUMIF(项目类型,C1,'数据-汇总表'!D17:D26))</f>
        <v>3030.4</v>
      </c>
    </row>
    <row r="20" spans="1:35" ht="15">
      <c r="A20" s="2436"/>
      <c r="B20" s="1245" t="s">
        <v>2151</v>
      </c>
      <c r="C20" s="146">
        <f ca="1">SUMIF(INDIRECT("'"&amp;C4&amp;"'"&amp;"!A:A"),结果表!B20,INDIRECT("'"&amp;C4&amp;"'"&amp;"!B:B"))</f>
        <v>7519</v>
      </c>
      <c r="D20" s="147">
        <f ca="1">SUMIF(INDIRECT("'"&amp;D4&amp;"'"&amp;"!A:A"),结果表!B20,INDIRECT("'"&amp;D4&amp;"'"&amp;"!B:B"))</f>
        <v>9713</v>
      </c>
      <c r="E20" s="2436"/>
      <c r="F20" s="1245" t="s">
        <v>2151</v>
      </c>
      <c r="G20" s="148">
        <f ca="1">ROUND(C20*$C$18+D20*$D$18,0)</f>
        <v>7519</v>
      </c>
      <c r="H20" s="978" t="s">
        <v>2152</v>
      </c>
      <c r="I20" s="138"/>
    </row>
    <row r="21" spans="1:35" ht="15" customHeight="1" thickBot="1">
      <c r="A21" s="998"/>
      <c r="B21" s="2437" t="s">
        <v>2153</v>
      </c>
      <c r="C21" s="787">
        <f ca="1">ROUND(C19*10000/L19,0)</f>
        <v>6534</v>
      </c>
      <c r="D21" s="788">
        <f ca="1">ROUND(D19*10000/L19,0)</f>
        <v>1449</v>
      </c>
      <c r="E21" s="998"/>
      <c r="F21" s="2437" t="s">
        <v>2153</v>
      </c>
      <c r="G21" s="149">
        <f ca="1">ROUND(G19*10000/L19,0)</f>
        <v>6534</v>
      </c>
      <c r="H21" s="2438" t="s">
        <v>2152</v>
      </c>
      <c r="I21" s="138"/>
    </row>
    <row r="22" spans="1:35" ht="15" thickBot="1">
      <c r="A22" s="2279" t="s">
        <v>2154</v>
      </c>
      <c r="B22" s="2439"/>
      <c r="C22" s="2440"/>
      <c r="D22" s="789">
        <f ca="1">IF(C19&lt;D19,D19/C19-1,C19/D19-1)</f>
        <v>3.5102505694760824</v>
      </c>
      <c r="E22" s="138"/>
      <c r="F22" s="138"/>
      <c r="G22" s="138"/>
      <c r="H22" s="138"/>
      <c r="I22" s="138"/>
    </row>
    <row r="23" spans="1:35" ht="13.5" thickBot="1">
      <c r="A23" s="2417"/>
      <c r="B23" s="2417"/>
      <c r="C23" s="2417"/>
      <c r="D23" s="2417"/>
      <c r="E23" s="138"/>
      <c r="F23" s="138"/>
      <c r="G23" s="138"/>
      <c r="H23" s="138"/>
      <c r="I23" s="138"/>
    </row>
    <row r="24" spans="1:35" ht="14.25">
      <c r="A24" s="3079" t="s">
        <v>2155</v>
      </c>
      <c r="B24" s="2434" t="s">
        <v>2147</v>
      </c>
      <c r="C24" s="145">
        <f>IF(B30=0,0,D30)</f>
        <v>0</v>
      </c>
      <c r="D24" s="2441"/>
      <c r="E24" s="138"/>
      <c r="F24" s="138"/>
      <c r="G24" s="138"/>
      <c r="H24" s="138"/>
      <c r="I24" s="138"/>
    </row>
    <row r="25" spans="1:35" ht="14.25">
      <c r="A25" s="3080"/>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1980</v>
      </c>
      <c r="D32" s="2448" t="s">
        <v>2162</v>
      </c>
      <c r="E32" s="138"/>
      <c r="F32" s="138"/>
      <c r="G32" s="138"/>
      <c r="H32" s="138"/>
      <c r="I32" s="138"/>
    </row>
    <row r="33" spans="1:15" ht="15">
      <c r="A33" s="955"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097" t="s">
        <v>2169</v>
      </c>
      <c r="B36" s="2460" t="s">
        <v>2170</v>
      </c>
      <c r="C36" s="154"/>
      <c r="D36" s="2461"/>
      <c r="E36" s="2462"/>
      <c r="F36" s="2463"/>
      <c r="G36" s="138"/>
      <c r="H36" s="138"/>
      <c r="I36" s="138"/>
    </row>
    <row r="37" spans="1:15" ht="15.75" thickBot="1">
      <c r="A37" s="3098"/>
      <c r="B37" s="2265" t="s">
        <v>2171</v>
      </c>
      <c r="C37" s="156"/>
      <c r="D37" s="1390"/>
      <c r="E37" s="1390"/>
      <c r="F37" s="2463"/>
      <c r="G37" s="138"/>
      <c r="H37" s="138"/>
      <c r="I37" s="138"/>
    </row>
    <row r="38" spans="1:15" ht="15.75" thickBot="1">
      <c r="A38" s="3099"/>
      <c r="B38" s="2464" t="s">
        <v>2172</v>
      </c>
      <c r="C38" s="725"/>
      <c r="D38" s="2465" t="s">
        <v>2173</v>
      </c>
      <c r="E38" s="1390"/>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76" t="s">
        <v>2183</v>
      </c>
      <c r="B45" s="3077"/>
      <c r="C45" s="3078"/>
      <c r="D45" s="164">
        <f ca="1">ROUND(H101*F45,0)</f>
        <v>1980</v>
      </c>
      <c r="E45" s="165" t="s">
        <v>2184</v>
      </c>
      <c r="F45" s="166">
        <v>1</v>
      </c>
      <c r="G45" s="167" t="s">
        <v>2185</v>
      </c>
      <c r="H45" s="138"/>
      <c r="I45" s="138"/>
      <c r="J45" s="3136" t="s">
        <v>2186</v>
      </c>
      <c r="K45" s="3136"/>
      <c r="L45" s="3136"/>
      <c r="M45" s="3136"/>
      <c r="N45" s="3136"/>
      <c r="O45" s="3136"/>
    </row>
    <row r="46" spans="1:15" ht="14.25" customHeight="1">
      <c r="A46" s="3073" t="s">
        <v>2187</v>
      </c>
      <c r="B46" s="3074"/>
      <c r="C46" s="3074"/>
      <c r="D46" s="3074"/>
      <c r="E46" s="3074"/>
      <c r="F46" s="3074"/>
      <c r="G46" s="3075"/>
      <c r="H46" s="2479"/>
      <c r="I46" s="168"/>
      <c r="J46" s="1807">
        <v>1</v>
      </c>
      <c r="K46" s="3136" t="s">
        <v>2188</v>
      </c>
      <c r="L46" s="3136"/>
      <c r="M46" s="3156"/>
      <c r="N46" s="3156"/>
      <c r="O46" s="3156"/>
    </row>
    <row r="47" spans="1:15" ht="12" customHeight="1">
      <c r="A47" s="169" t="s">
        <v>2189</v>
      </c>
      <c r="B47" s="170"/>
      <c r="C47" s="171"/>
      <c r="D47" s="172" t="s">
        <v>2190</v>
      </c>
      <c r="E47" s="24" t="s">
        <v>2191</v>
      </c>
      <c r="F47" s="173" t="s">
        <v>2192</v>
      </c>
      <c r="G47" s="174" t="s">
        <v>2193</v>
      </c>
      <c r="H47" s="2479"/>
      <c r="I47" s="168"/>
      <c r="J47" s="1807">
        <v>2</v>
      </c>
      <c r="K47" s="3136" t="s">
        <v>2194</v>
      </c>
      <c r="L47" s="3136"/>
      <c r="M47" s="3157">
        <f>'数据-取费表'!B2</f>
        <v>43690</v>
      </c>
      <c r="N47" s="3157"/>
      <c r="O47" s="3157"/>
    </row>
    <row r="48" spans="1:15" ht="25.5">
      <c r="A48" s="3104" t="s">
        <v>2195</v>
      </c>
      <c r="B48" s="3087"/>
      <c r="C48" s="3087"/>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36" t="s">
        <v>2198</v>
      </c>
      <c r="L48" s="3136"/>
      <c r="M48" s="3158">
        <f ca="1">H101</f>
        <v>1980</v>
      </c>
      <c r="N48" s="3158"/>
      <c r="O48" s="3158"/>
    </row>
    <row r="49" spans="1:35" ht="25.5" customHeight="1">
      <c r="A49" s="176" t="s">
        <v>2199</v>
      </c>
      <c r="B49" s="3072" t="s">
        <v>2200</v>
      </c>
      <c r="C49" s="3072"/>
      <c r="D49" s="177">
        <v>0</v>
      </c>
      <c r="E49" s="23" t="s">
        <v>2201</v>
      </c>
      <c r="F49" s="28" t="s">
        <v>34</v>
      </c>
      <c r="G49" s="3142"/>
      <c r="H49" s="138"/>
      <c r="I49" s="2482"/>
      <c r="J49" s="1807">
        <v>4</v>
      </c>
      <c r="K49" s="3136" t="str">
        <f>IF(项目基本情况!E8="房地产抵押价值","房地产抵押价值","抵押担保权已注销时的房地产抵押价值")</f>
        <v>房地产抵押价值</v>
      </c>
      <c r="L49" s="3136"/>
      <c r="M49" s="3158">
        <f ca="1">IF(项目基本情况!E8="房地产抵押价值",H107,H109)</f>
        <v>1980</v>
      </c>
      <c r="N49" s="3158"/>
      <c r="O49" s="3158"/>
    </row>
    <row r="50" spans="1:35" ht="25.5" customHeight="1">
      <c r="A50" s="178"/>
      <c r="B50" s="3072" t="s">
        <v>2202</v>
      </c>
      <c r="C50" s="3072"/>
      <c r="D50" s="179"/>
      <c r="E50" s="31"/>
      <c r="F50" s="180"/>
      <c r="G50" s="3143"/>
      <c r="H50" s="138"/>
      <c r="I50" s="2482"/>
      <c r="J50" s="3136" t="s">
        <v>2203</v>
      </c>
      <c r="K50" s="3136"/>
      <c r="L50" s="3136"/>
      <c r="M50" s="3136"/>
      <c r="N50" s="3136"/>
      <c r="O50" s="3136"/>
    </row>
    <row r="51" spans="1:35" ht="12" customHeight="1">
      <c r="A51" s="181"/>
      <c r="B51" s="3072" t="s">
        <v>2204</v>
      </c>
      <c r="C51" s="3072"/>
      <c r="D51" s="182"/>
      <c r="E51" s="30"/>
      <c r="F51" s="180"/>
      <c r="G51" s="3144"/>
      <c r="H51" s="138"/>
      <c r="I51" s="2482"/>
      <c r="J51" s="2483" t="s">
        <v>2205</v>
      </c>
      <c r="K51" s="3136" t="s">
        <v>2206</v>
      </c>
      <c r="L51" s="3136"/>
      <c r="M51" s="2483" t="s">
        <v>2207</v>
      </c>
      <c r="N51" s="2483" t="s">
        <v>2208</v>
      </c>
      <c r="O51" s="2483" t="s">
        <v>2209</v>
      </c>
    </row>
    <row r="52" spans="1:35" ht="24" customHeight="1">
      <c r="A52" s="183" t="s">
        <v>2210</v>
      </c>
      <c r="B52" s="3072" t="s">
        <v>2211</v>
      </c>
      <c r="C52" s="3072"/>
      <c r="D52" s="182">
        <f ca="1">ROUND(D45*'数据-取费表'!B41/(1+'数据-取费表'!C42),0)</f>
        <v>104</v>
      </c>
      <c r="E52" s="11" t="s">
        <v>2212</v>
      </c>
      <c r="F52" s="184">
        <f>'数据-取费表'!B41</f>
        <v>5.5000000000000007E-2</v>
      </c>
      <c r="G52" s="2484"/>
      <c r="H52" s="138"/>
      <c r="I52" s="2482"/>
      <c r="J52" s="1807">
        <v>1</v>
      </c>
      <c r="K52" s="3137" t="s">
        <v>2213</v>
      </c>
      <c r="L52" s="3137"/>
      <c r="M52" s="1749">
        <f>D48</f>
        <v>0</v>
      </c>
      <c r="N52" s="1807" t="str">
        <f>E48</f>
        <v>销售额×税（费）率</v>
      </c>
      <c r="O52" s="1750" t="str">
        <f>F48</f>
        <v>免征</v>
      </c>
    </row>
    <row r="53" spans="1:35" ht="12" customHeight="1">
      <c r="A53" s="183" t="s">
        <v>2214</v>
      </c>
      <c r="B53" s="3095" t="s">
        <v>2215</v>
      </c>
      <c r="C53" s="3096"/>
      <c r="D53" s="182">
        <f ca="1">ROUND(D45*'数据-取费表'!B41/(1+'数据-取费表'!C42),0)</f>
        <v>104</v>
      </c>
      <c r="E53" s="11" t="s">
        <v>2212</v>
      </c>
      <c r="F53" s="184">
        <f>'数据-取费表'!B41</f>
        <v>5.5000000000000007E-2</v>
      </c>
      <c r="G53" s="2484"/>
      <c r="H53" s="138"/>
      <c r="I53" s="2482"/>
      <c r="J53" s="1807">
        <v>2</v>
      </c>
      <c r="K53" s="3137" t="s">
        <v>2216</v>
      </c>
      <c r="L53" s="3137"/>
      <c r="M53" s="1749">
        <f t="shared" ref="M53:O54" ca="1" si="0">D55</f>
        <v>1</v>
      </c>
      <c r="N53" s="1807" t="str">
        <f t="shared" si="0"/>
        <v>销售额×税（费）率</v>
      </c>
      <c r="O53" s="1750">
        <f t="shared" si="0"/>
        <v>5.0000000000000001E-4</v>
      </c>
    </row>
    <row r="54" spans="1:35" ht="12" customHeight="1">
      <c r="A54" s="183" t="s">
        <v>2217</v>
      </c>
      <c r="B54" s="3095" t="s">
        <v>2218</v>
      </c>
      <c r="C54" s="3096"/>
      <c r="D54" s="182">
        <f ca="1">C68</f>
        <v>104</v>
      </c>
      <c r="E54" s="30" t="s">
        <v>2219</v>
      </c>
      <c r="F54" s="184">
        <f>'数据-取费表'!B41</f>
        <v>5.5000000000000007E-2</v>
      </c>
      <c r="G54" s="2484"/>
      <c r="H54" s="2485"/>
      <c r="I54" s="2482"/>
      <c r="J54" s="1807">
        <v>3</v>
      </c>
      <c r="K54" s="3137" t="s">
        <v>2220</v>
      </c>
      <c r="L54" s="3137"/>
      <c r="M54" s="1749">
        <f t="shared" ca="1" si="0"/>
        <v>1123</v>
      </c>
      <c r="N54" s="1807" t="str">
        <f t="shared" si="0"/>
        <v>增值额×税（费）率</v>
      </c>
      <c r="O54" s="1751" t="str">
        <f t="shared" si="0"/>
        <v>——</v>
      </c>
    </row>
    <row r="55" spans="1:35" ht="24" customHeight="1">
      <c r="A55" s="3086" t="s">
        <v>2221</v>
      </c>
      <c r="B55" s="3087"/>
      <c r="C55" s="3087"/>
      <c r="D55" s="185">
        <f ca="1">IF(H55="个人住宅",0,ROUND(D45*I55,0))</f>
        <v>1</v>
      </c>
      <c r="E55" s="11" t="s">
        <v>2222</v>
      </c>
      <c r="F55" s="184">
        <f>IF(H55="正常",I55,"免征")</f>
        <v>5.0000000000000001E-4</v>
      </c>
      <c r="G55" s="2484"/>
      <c r="H55" s="2481" t="s">
        <v>2223</v>
      </c>
      <c r="I55" s="186">
        <f>'数据-取费表'!B49</f>
        <v>5.0000000000000001E-4</v>
      </c>
      <c r="J55" s="1807" t="str">
        <f>IF(H59="非个人房产","",4)</f>
        <v/>
      </c>
      <c r="K55" s="3137" t="str">
        <f>IF(H59="非个人房产","——","个人所得税")</f>
        <v>——</v>
      </c>
      <c r="L55" s="3137"/>
      <c r="M55" s="1752" t="str">
        <f>D59</f>
        <v>——</v>
      </c>
      <c r="N55" s="1805" t="str">
        <f>E59</f>
        <v>——</v>
      </c>
      <c r="O55" s="1753" t="str">
        <f>F59</f>
        <v>——</v>
      </c>
    </row>
    <row r="56" spans="1:35" ht="24.75">
      <c r="A56" s="3086" t="s">
        <v>2224</v>
      </c>
      <c r="B56" s="3087"/>
      <c r="C56" s="3087"/>
      <c r="D56" s="185">
        <f ca="1">IF(H56="个人住宅",D57,D58)</f>
        <v>1123</v>
      </c>
      <c r="E56" s="11" t="s">
        <v>2225</v>
      </c>
      <c r="F56" s="184" t="str">
        <f>IF(H56="正常",F58,"免征")</f>
        <v>——</v>
      </c>
      <c r="G56" s="2486" t="s">
        <v>2226</v>
      </c>
      <c r="H56" s="2487" t="s">
        <v>2223</v>
      </c>
      <c r="I56" s="2488"/>
      <c r="J56" s="1807" t="str">
        <f>IF(项目基本情况!K6="上海银行",IF(J55="",4,J55+1),"")</f>
        <v/>
      </c>
      <c r="K56" s="3160" t="str">
        <f>IF(项目基本情况!K6="上海银行","其他处置费用","")</f>
        <v/>
      </c>
      <c r="L56" s="3161"/>
      <c r="M56" s="1749" t="str">
        <f>IF(项目基本情况!K6="上海银行",M69,"")</f>
        <v/>
      </c>
      <c r="N56" s="3163" t="str">
        <f>IF(项目基本情况!K6="上海银行","包含处置中涉及的律师、诉讼、拍卖、评估等费用","")</f>
        <v/>
      </c>
      <c r="O56" s="3164"/>
    </row>
    <row r="57" spans="1:35" ht="12.75">
      <c r="A57" s="183" t="s">
        <v>2199</v>
      </c>
      <c r="B57" s="3102" t="s">
        <v>2227</v>
      </c>
      <c r="C57" s="3111"/>
      <c r="D57" s="187">
        <v>0</v>
      </c>
      <c r="E57" s="23" t="s">
        <v>2201</v>
      </c>
      <c r="F57" s="155"/>
      <c r="G57" s="2484"/>
      <c r="H57" s="2488"/>
      <c r="I57" s="2488"/>
      <c r="J57" s="3137">
        <f>IF(AND(J55="",J56=""),4,IF(项目基本情况!K6="上海银行",结果表!J56+1,结果表!J55+1))</f>
        <v>4</v>
      </c>
      <c r="K57" s="3137" t="s">
        <v>2228</v>
      </c>
      <c r="L57" s="2489" t="s">
        <v>2229</v>
      </c>
      <c r="M57" s="1754"/>
      <c r="N57" s="1755">
        <f ca="1">SUMIF(M52:M56,"&lt;9e307")</f>
        <v>1124</v>
      </c>
      <c r="O57" s="2490"/>
      <c r="P57" s="1748">
        <f ca="1">N57/M49</f>
        <v>0.56767676767676767</v>
      </c>
    </row>
    <row r="58" spans="1:35" ht="24.75">
      <c r="A58" s="183" t="s">
        <v>2210</v>
      </c>
      <c r="B58" s="3102" t="s">
        <v>2230</v>
      </c>
      <c r="C58" s="3103"/>
      <c r="D58" s="185">
        <f ca="1">IF(H58="转让取得",C81,C97)</f>
        <v>1123</v>
      </c>
      <c r="E58" s="11" t="s">
        <v>2225</v>
      </c>
      <c r="F58" s="24" t="s">
        <v>34</v>
      </c>
      <c r="G58" s="2484"/>
      <c r="H58" s="2487" t="s">
        <v>2231</v>
      </c>
      <c r="I58" s="2488"/>
      <c r="J58" s="3137"/>
      <c r="K58" s="3137"/>
      <c r="L58" s="2489" t="s">
        <v>2232</v>
      </c>
      <c r="M58" s="1756"/>
      <c r="N58" s="2491" t="str">
        <f ca="1">NUMBERSTRING(INT(N57*10000),2)&amp;"元整"</f>
        <v>壹仟壹佰贰拾肆万元整</v>
      </c>
      <c r="O58" s="2492"/>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8">
        <f>J57+1</f>
        <v>5</v>
      </c>
      <c r="K59" s="3137" t="s">
        <v>2235</v>
      </c>
      <c r="L59" s="1807" t="s">
        <v>2229</v>
      </c>
      <c r="M59" s="1757"/>
      <c r="N59" s="1758">
        <f ca="1">M49-N57</f>
        <v>856</v>
      </c>
      <c r="O59" s="2494"/>
    </row>
    <row r="60" spans="1:35" ht="12" customHeight="1">
      <c r="A60" s="2495"/>
      <c r="B60" s="2417"/>
      <c r="C60" s="2417"/>
      <c r="D60" s="2417"/>
      <c r="E60" s="2164"/>
      <c r="F60" s="2488"/>
      <c r="G60" s="2488"/>
      <c r="H60" s="2496"/>
      <c r="I60" s="138"/>
      <c r="J60" s="3139"/>
      <c r="K60" s="3137"/>
      <c r="L60" s="2489" t="s">
        <v>2232</v>
      </c>
      <c r="M60" s="1756"/>
      <c r="N60" s="2491" t="str">
        <f ca="1">NUMBERSTRING(INT(N59*10000),2)&amp;"元整"</f>
        <v>捌佰伍拾陆万元整</v>
      </c>
      <c r="O60" s="2492"/>
    </row>
    <row r="61" spans="1:35" ht="13.5" thickBot="1">
      <c r="A61" s="3084" t="s">
        <v>2236</v>
      </c>
      <c r="B61" s="3084"/>
      <c r="C61" s="3084"/>
      <c r="D61" s="3084"/>
      <c r="E61" s="3084"/>
      <c r="F61" s="2488"/>
      <c r="G61" s="2488"/>
      <c r="H61" s="2496"/>
      <c r="I61" s="138"/>
      <c r="J61" s="1807">
        <f>J59+1</f>
        <v>6</v>
      </c>
      <c r="K61" s="3137" t="s">
        <v>2237</v>
      </c>
      <c r="L61" s="3137"/>
      <c r="M61" s="1759"/>
      <c r="N61" s="1760">
        <f ca="1">ROUND(N59*10000/'数据-汇总表'!E3,0)</f>
        <v>3250</v>
      </c>
      <c r="O61" s="2497"/>
    </row>
    <row r="62" spans="1:35" ht="12.75">
      <c r="A62" s="3100" t="s">
        <v>2238</v>
      </c>
      <c r="B62" s="3101"/>
      <c r="C62" s="1799"/>
      <c r="D62" s="1799" t="s">
        <v>2239</v>
      </c>
      <c r="E62" s="192" t="s">
        <v>2240</v>
      </c>
      <c r="F62" s="2488"/>
      <c r="G62" s="2488"/>
      <c r="H62" s="2496"/>
      <c r="I62" s="138"/>
    </row>
    <row r="63" spans="1:35" ht="12.75">
      <c r="A63" s="203" t="s">
        <v>775</v>
      </c>
      <c r="B63" s="193" t="s">
        <v>2241</v>
      </c>
      <c r="C63" s="194">
        <f ca="1">ROUND((C64+C65)/(1+'数据-取费表'!C42),0)</f>
        <v>1886</v>
      </c>
      <c r="D63" s="195"/>
      <c r="E63" s="196"/>
      <c r="F63" s="2488"/>
      <c r="G63" s="2488"/>
      <c r="H63" s="2496"/>
      <c r="I63" s="138"/>
      <c r="J63" s="3162" t="s">
        <v>2242</v>
      </c>
      <c r="K63" s="2498" t="s">
        <v>2243</v>
      </c>
      <c r="L63" s="1747">
        <f ca="1">IF(M49&gt;10000,M49*0.5%,IF(AND(M49&gt;1000,M49&lt;=10000),M49*1%,IF(AND(M49&gt;100,M49&lt;=1000),M49*3%,IF(AND(M49&gt;10,M49&lt;=100),M49*5%,M49*8%))))</f>
        <v>19.8</v>
      </c>
      <c r="M63" s="24">
        <f ca="1">ROUND(L63,1)</f>
        <v>19.8</v>
      </c>
      <c r="Z63" s="2422"/>
      <c r="AI63" s="2423"/>
    </row>
    <row r="64" spans="1:35" ht="14.25" customHeight="1">
      <c r="A64" s="197" t="s">
        <v>770</v>
      </c>
      <c r="B64" s="198" t="s">
        <v>2244</v>
      </c>
      <c r="C64" s="199">
        <f ca="1">D45</f>
        <v>1980</v>
      </c>
      <c r="D64" s="200" t="s">
        <v>32</v>
      </c>
      <c r="E64" s="201"/>
      <c r="F64" s="2488"/>
      <c r="G64" s="2488"/>
      <c r="H64" s="2496"/>
      <c r="I64" s="138"/>
      <c r="J64" s="3162"/>
      <c r="K64" s="2498" t="s">
        <v>2245</v>
      </c>
      <c r="L64" s="1747">
        <f ca="1">IF(M49&gt;2000,M49*0.5%,IF(AND(M49&gt;1000,M49&lt;=2000),M49*0.6%,IF(AND(M49&gt;500,M49&lt;=1000),M49*0.7%,IF(AND(M49&gt;200,M49&lt;=500),M49*0.8%,IF(AND(M49&gt;100,M49&lt;=200),M49*0.9%,IF(AND(M49&gt;50,M49&lt;=100),M49*1%,IF(AND(M49&gt;20,M49&lt;=50),M49*1.5%,IF(AND(M49&gt;10,M49&lt;=20),M49*2%,IF(AND(M49&gt;1,M49&lt;=10),M49*2.5%)))))))))</f>
        <v>11.88</v>
      </c>
      <c r="M64" s="24">
        <f t="shared" ref="M64:M65" ca="1" si="1">ROUND(L64,1)</f>
        <v>11.9</v>
      </c>
      <c r="N64" s="138" t="s">
        <v>2246</v>
      </c>
      <c r="Z64" s="2422"/>
      <c r="AI64" s="2423"/>
    </row>
    <row r="65" spans="1:35" ht="14.25" customHeight="1">
      <c r="A65" s="197" t="s">
        <v>771</v>
      </c>
      <c r="B65" s="198" t="s">
        <v>2247</v>
      </c>
      <c r="C65" s="202"/>
      <c r="D65" s="200"/>
      <c r="E65" s="201"/>
      <c r="F65" s="2488"/>
      <c r="G65" s="2488"/>
      <c r="H65" s="2496"/>
      <c r="I65" s="138"/>
      <c r="J65" s="3162"/>
      <c r="K65" s="2498" t="s">
        <v>2248</v>
      </c>
      <c r="L65" s="1747">
        <f ca="1">IF(M49&gt;1000,M49*0.1%,IF(AND(M49&gt;500,M49&lt;=1000),M49*0.5%,IF(AND(M49&gt;50,M49&lt;=500),M49*1%,IF(AND(M49&gt;1,M49&lt;=50),M49*1.5%))))</f>
        <v>1.98</v>
      </c>
      <c r="M65" s="24">
        <f t="shared" ca="1" si="1"/>
        <v>2</v>
      </c>
      <c r="N65" s="138" t="s">
        <v>2246</v>
      </c>
      <c r="Z65" s="2422"/>
      <c r="AI65" s="2423"/>
    </row>
    <row r="66" spans="1:35" ht="14.25" customHeight="1">
      <c r="A66" s="203" t="s">
        <v>772</v>
      </c>
      <c r="B66" s="204" t="s">
        <v>2249</v>
      </c>
      <c r="C66" s="205"/>
      <c r="D66" s="206" t="s">
        <v>32</v>
      </c>
      <c r="E66" s="1771" t="s">
        <v>1367</v>
      </c>
      <c r="F66" s="2488"/>
      <c r="G66" s="2488"/>
      <c r="H66" s="2496"/>
      <c r="I66" s="138"/>
      <c r="J66" s="3162"/>
      <c r="K66" s="2498" t="s">
        <v>2250</v>
      </c>
      <c r="L66" s="1747">
        <f ca="1">M49*0.5%</f>
        <v>9.9</v>
      </c>
      <c r="M66" s="24">
        <f ca="1">IF(L66&gt;0.5,0.5,ROUND(L66,0))</f>
        <v>0.5</v>
      </c>
      <c r="N66" s="138" t="s">
        <v>2251</v>
      </c>
      <c r="Z66" s="2422"/>
      <c r="AI66" s="2423"/>
    </row>
    <row r="67" spans="1:35" ht="14.25" customHeight="1">
      <c r="A67" s="203" t="s">
        <v>773</v>
      </c>
      <c r="B67" s="204" t="s">
        <v>2252</v>
      </c>
      <c r="C67" s="207">
        <f ca="1">C63-C66</f>
        <v>1886</v>
      </c>
      <c r="D67" s="200" t="s">
        <v>32</v>
      </c>
      <c r="E67" s="201"/>
      <c r="F67" s="2488"/>
      <c r="G67" s="2488"/>
      <c r="H67" s="2496"/>
      <c r="I67" s="138"/>
      <c r="J67" s="3162"/>
      <c r="K67" s="2498" t="s">
        <v>2253</v>
      </c>
      <c r="L67" s="1747">
        <f ca="1">IF(M49&gt;=10000,(8.25+(M49-10000)*0.01%),IF(AND(M49&gt;=8000,M49&lt;10000),(7.85+(M49-8000)*0.02%),IF(AND(M49&gt;=5000,M49&lt;8000),(6.65+(M49-5000)*0.04%),IF(AND(M49&gt;=2000,M49&lt;5000),(4.25+(PM49-2000)*0.08%),IF(AND(M49&gt;=1000,M49&lt;2000),(2.75+(M49-1000)*0.15%),IF(AND(M49&gt;=100,M49&lt;1000),(0.5+(M49-100)*0.25%),IF(AND(M49&gt;0,M49&lt;100),M49*0.5%)))))))</f>
        <v>4.22</v>
      </c>
      <c r="M67" s="24">
        <f ca="1">ROUND(L67*0.9,1)</f>
        <v>3.8</v>
      </c>
      <c r="Z67" s="2422"/>
      <c r="AI67" s="2423"/>
    </row>
    <row r="68" spans="1:35" ht="14.25" customHeight="1" thickBot="1">
      <c r="A68" s="208" t="s">
        <v>774</v>
      </c>
      <c r="B68" s="209" t="s">
        <v>2254</v>
      </c>
      <c r="C68" s="210">
        <f ca="1">IF(C67&lt;=0,0,ROUND(C67*D68,0))</f>
        <v>104</v>
      </c>
      <c r="D68" s="211">
        <f>'数据-取费表'!B41</f>
        <v>5.5000000000000007E-2</v>
      </c>
      <c r="E68" s="212"/>
      <c r="F68" s="2488"/>
      <c r="G68" s="2488"/>
      <c r="H68" s="2496"/>
      <c r="I68" s="138"/>
      <c r="J68" s="3162"/>
      <c r="K68" s="2498" t="s">
        <v>2255</v>
      </c>
      <c r="L68" s="1747">
        <f ca="1">IF(M49&gt;10000,M49*0.5%,IF(AND(M49&gt;5000,M49&lt;=10000),M49*1%,IF(AND(M49&gt;1000,M49&lt;=5000),M49*2%,IF(AND(M49&gt;200,M49&lt;=1000),M49*3%,M49*5%))))</f>
        <v>39.6</v>
      </c>
      <c r="M68" s="24">
        <f ca="1">ROUND(L68,1)</f>
        <v>39.6</v>
      </c>
      <c r="Z68" s="2422"/>
      <c r="AI68" s="2423"/>
    </row>
    <row r="69" spans="1:35" s="2445" customFormat="1" ht="16.5" customHeight="1">
      <c r="A69" s="2499"/>
      <c r="B69" s="2500"/>
      <c r="C69" s="2501"/>
      <c r="D69" s="2502"/>
      <c r="E69" s="2503"/>
      <c r="F69" s="2164"/>
      <c r="G69" s="2164"/>
      <c r="H69" s="2163"/>
      <c r="I69" s="2417"/>
      <c r="J69" s="3162"/>
      <c r="K69" s="2498" t="s">
        <v>2256</v>
      </c>
      <c r="L69" s="2504"/>
      <c r="M69" s="24">
        <f ca="1">ROUND(SUM(M63:M68),0)</f>
        <v>78</v>
      </c>
      <c r="N69" s="1748">
        <f ca="1">M69/M49</f>
        <v>3.9393939393939391E-2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1" t="s">
        <v>2257</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2238</v>
      </c>
      <c r="B71" s="3101"/>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1886</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9</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095" t="s">
        <v>2266</v>
      </c>
      <c r="F76" s="3072"/>
      <c r="G76" s="3072"/>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9</v>
      </c>
      <c r="D78" s="226">
        <f>'数据-取费表'!B43</f>
        <v>5.000000000000001E-3</v>
      </c>
      <c r="E78" s="3081" t="s">
        <v>2271</v>
      </c>
      <c r="F78" s="3082"/>
      <c r="G78" s="3082"/>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1877</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208.55555555555554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2275</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2238</v>
      </c>
      <c r="B84" s="3101"/>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1886</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9</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81" t="s">
        <v>2284</v>
      </c>
      <c r="F91" s="3082"/>
      <c r="G91" s="308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81" t="s">
        <v>2288</v>
      </c>
      <c r="F92" s="3082"/>
      <c r="G92" s="3082"/>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9</v>
      </c>
      <c r="D93" s="226">
        <f>'数据-取费表'!B43</f>
        <v>5.000000000000001E-3</v>
      </c>
      <c r="E93" s="3081" t="s">
        <v>2271</v>
      </c>
      <c r="F93" s="3082"/>
      <c r="G93" s="3082"/>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092" t="s">
        <v>2292</v>
      </c>
      <c r="F94" s="3093"/>
      <c r="G94" s="3093"/>
      <c r="H94" s="309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1877</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208.55555555555554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66" t="s">
        <v>2294</v>
      </c>
      <c r="B100" s="3067"/>
      <c r="C100" s="3067"/>
      <c r="D100" s="3083"/>
      <c r="E100" s="3067" t="s">
        <v>2295</v>
      </c>
      <c r="F100" s="3067"/>
      <c r="G100" s="3067"/>
      <c r="H100" s="3083"/>
      <c r="I100" s="138"/>
    </row>
    <row r="101" spans="1:35" ht="18.75" customHeight="1">
      <c r="A101" s="3145" t="s">
        <v>2296</v>
      </c>
      <c r="B101" s="3146"/>
      <c r="C101" s="734" t="str">
        <f>C4</f>
        <v>典型户型修正</v>
      </c>
      <c r="D101" s="735" t="str">
        <f>D4</f>
        <v>比较法-商业</v>
      </c>
      <c r="E101" s="3159" t="s">
        <v>2297</v>
      </c>
      <c r="F101" s="3113"/>
      <c r="G101" s="2519" t="s">
        <v>2298</v>
      </c>
      <c r="H101" s="1043">
        <f ca="1">H118</f>
        <v>1980</v>
      </c>
      <c r="I101" s="138"/>
    </row>
    <row r="102" spans="1:35" ht="18.75" customHeight="1">
      <c r="A102" s="3115" t="s">
        <v>2299</v>
      </c>
      <c r="B102" s="2519" t="s">
        <v>2298</v>
      </c>
      <c r="C102" s="734">
        <f ca="1">C19</f>
        <v>1980</v>
      </c>
      <c r="D102" s="735">
        <f ca="1">D19</f>
        <v>439</v>
      </c>
      <c r="E102" s="3159"/>
      <c r="F102" s="3113"/>
      <c r="G102" s="2519" t="s">
        <v>2300</v>
      </c>
      <c r="H102" s="371">
        <f ca="1">I118</f>
        <v>7519</v>
      </c>
      <c r="I102" s="138"/>
    </row>
    <row r="103" spans="1:35" ht="42.75" customHeight="1">
      <c r="A103" s="3115"/>
      <c r="B103" s="2519" t="s">
        <v>2300</v>
      </c>
      <c r="C103" s="736">
        <f ca="1">C20</f>
        <v>7519</v>
      </c>
      <c r="D103" s="737">
        <f ca="1">D20</f>
        <v>9713</v>
      </c>
      <c r="E103" s="3154" t="s">
        <v>2301</v>
      </c>
      <c r="F103" s="3155"/>
      <c r="G103" s="2520" t="s">
        <v>2302</v>
      </c>
      <c r="H103" s="1043">
        <f>IF(D36="正常操作",H104+H105+H106,H105+H106)</f>
        <v>0</v>
      </c>
      <c r="I103" s="138"/>
    </row>
    <row r="104" spans="1:35" ht="18.75" customHeight="1">
      <c r="A104" s="3115" t="s">
        <v>2303</v>
      </c>
      <c r="B104" s="2521" t="s">
        <v>2298</v>
      </c>
      <c r="C104" s="738">
        <f ca="1">H118</f>
        <v>1980</v>
      </c>
      <c r="D104" s="739"/>
      <c r="E104" s="2265" t="s">
        <v>2304</v>
      </c>
      <c r="F104" s="2256"/>
      <c r="G104" s="2520" t="s">
        <v>2302</v>
      </c>
      <c r="H104" s="1044">
        <f>IF(D36="同一抵押权人同一抵押物续贷",C36&amp;"（未扣减，详见特别提示）",C36)</f>
        <v>0</v>
      </c>
      <c r="I104" s="138"/>
    </row>
    <row r="105" spans="1:35" ht="18.75" customHeight="1" thickBot="1">
      <c r="A105" s="3116"/>
      <c r="B105" s="2522" t="s">
        <v>2300</v>
      </c>
      <c r="C105" s="740">
        <f ca="1">I118</f>
        <v>7519</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2" t="str">
        <f>IF(项目基本情况!E8="已注销","——","3.房地产抵押价值")</f>
        <v>3.房地产抵押价值</v>
      </c>
      <c r="F107" s="3113"/>
      <c r="G107" s="2519" t="s">
        <v>2298</v>
      </c>
      <c r="H107" s="1043">
        <f ca="1">IF(E107="——","——",H101-H103)</f>
        <v>1980</v>
      </c>
      <c r="I107" s="138"/>
    </row>
    <row r="108" spans="1:35" ht="18.75" customHeight="1">
      <c r="A108" s="138"/>
      <c r="B108" s="138"/>
      <c r="C108" s="138"/>
      <c r="D108" s="138"/>
      <c r="E108" s="3112"/>
      <c r="F108" s="3113"/>
      <c r="G108" s="2519" t="s">
        <v>2300</v>
      </c>
      <c r="H108" s="371">
        <f ca="1">ROUND(H107*10000/'数据-汇总表'!E3,0)</f>
        <v>7519</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9" t="s">
        <v>2298</v>
      </c>
      <c r="H109" s="348" t="str">
        <f>IF(E109="——","——",H101-H105-H106)</f>
        <v>——</v>
      </c>
      <c r="I109" s="138"/>
    </row>
    <row r="110" spans="1:35" ht="18.75" customHeight="1">
      <c r="A110" s="138"/>
      <c r="B110" s="138"/>
      <c r="C110" s="138"/>
      <c r="D110" s="138"/>
      <c r="E110" s="3112"/>
      <c r="F110" s="3113"/>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3" t="str">
        <f>IF(E111="——","——",N59)</f>
        <v>——</v>
      </c>
      <c r="I111" s="138"/>
    </row>
    <row r="112" spans="1:35" ht="18.75" customHeight="1" thickBot="1">
      <c r="A112" s="138"/>
      <c r="B112" s="138"/>
      <c r="C112" s="138"/>
      <c r="D112" s="138"/>
      <c r="E112" s="3149"/>
      <c r="F112" s="3150"/>
      <c r="G112" s="2524" t="s">
        <v>2300</v>
      </c>
      <c r="H112" s="788" t="str">
        <f>IF(E111="——","——",N61)</f>
        <v>——</v>
      </c>
      <c r="I112" s="138"/>
    </row>
    <row r="113" spans="1:11" ht="18.75" customHeight="1">
      <c r="A113" s="138"/>
      <c r="B113" s="138"/>
      <c r="C113" s="138"/>
      <c r="D113" s="138"/>
      <c r="E113" s="3117" t="s">
        <v>2306</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2308</v>
      </c>
      <c r="B115" s="3131"/>
      <c r="C115" s="3131"/>
      <c r="D115" s="3131"/>
      <c r="E115" s="3131"/>
      <c r="F115" s="3131"/>
      <c r="G115" s="3131"/>
      <c r="H115" s="3131"/>
      <c r="I115" s="3132"/>
    </row>
    <row r="116" spans="1:11" ht="27" customHeight="1">
      <c r="A116" s="3023" t="s">
        <v>2309</v>
      </c>
      <c r="B116" s="3118" t="s">
        <v>2310</v>
      </c>
      <c r="C116" s="3118" t="s">
        <v>2311</v>
      </c>
      <c r="D116" s="3134" t="s">
        <v>2312</v>
      </c>
      <c r="E116" s="3135"/>
      <c r="F116" s="3126" t="s">
        <v>2313</v>
      </c>
      <c r="G116" s="3126"/>
      <c r="H116" s="3023" t="s">
        <v>2314</v>
      </c>
      <c r="I116" s="3023"/>
    </row>
    <row r="117" spans="1:11" ht="18.75" customHeight="1">
      <c r="A117" s="3023"/>
      <c r="B117" s="3119"/>
      <c r="C117" s="3119"/>
      <c r="D117" s="1793" t="s">
        <v>2315</v>
      </c>
      <c r="E117" s="1793" t="s">
        <v>2316</v>
      </c>
      <c r="F117" s="1793" t="s">
        <v>2315</v>
      </c>
      <c r="G117" s="1793" t="s">
        <v>2317</v>
      </c>
      <c r="H117" s="1793" t="s">
        <v>2315</v>
      </c>
      <c r="I117" s="1793" t="s">
        <v>2317</v>
      </c>
    </row>
    <row r="118" spans="1:11" ht="24.75" customHeight="1">
      <c r="A118" s="2525" t="str">
        <f>项目基本情况!S2</f>
        <v>出让国有建设用地使用权及在建建筑物房地产</v>
      </c>
      <c r="B118" s="1793">
        <f>M18</f>
        <v>2633.48</v>
      </c>
      <c r="C118" s="1793">
        <f>M19</f>
        <v>3030.4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1980</v>
      </c>
      <c r="I118" s="1793">
        <f ca="1">ROUND(IF(D32="楼面单价",C32,H118*10000/B118),0)</f>
        <v>7519</v>
      </c>
    </row>
    <row r="119" spans="1:11" ht="18.75" customHeight="1">
      <c r="A119" s="3023" t="s">
        <v>2318</v>
      </c>
      <c r="B119" s="3023"/>
      <c r="C119" s="3023"/>
      <c r="D119" s="3123" t="e">
        <f ca="1">NUMBERSTRING(INT(D118*10000),2)&amp;"元整"</f>
        <v>#REF!</v>
      </c>
      <c r="E119" s="3125"/>
      <c r="F119" s="3123" t="e">
        <f ca="1">NUMBERSTRING(INT(F118*10000),2)&amp;"元整"</f>
        <v>#REF!</v>
      </c>
      <c r="G119" s="3125"/>
      <c r="H119" s="3123" t="str">
        <f ca="1">NUMBERSTRING(INT(H118*10000),2)&amp;"元整"</f>
        <v>壹仟玖佰捌拾万元整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27" t="s">
        <v>2318</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1980</v>
      </c>
      <c r="E122" s="3152"/>
      <c r="F122" s="3152"/>
      <c r="G122" s="3152"/>
      <c r="H122" s="3152"/>
      <c r="I122" s="3153"/>
    </row>
    <row r="123" spans="1:11" ht="18.75" customHeight="1">
      <c r="A123" s="3023" t="s">
        <v>2318</v>
      </c>
      <c r="B123" s="3023"/>
      <c r="C123" s="3023"/>
      <c r="D123" s="3123" t="str">
        <f ca="1">NUMBERSTRING(INT(D122*10000),2)&amp;"元整"</f>
        <v>壹仟玖佰捌拾万元整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2318</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2318</v>
      </c>
      <c r="B127" s="3023"/>
      <c r="C127" s="3023"/>
      <c r="D127" s="3123" t="e">
        <f>NUMBERSTRING(INT(D126*10000),2)&amp;"元整"</f>
        <v>#VALUE!</v>
      </c>
      <c r="E127" s="3124"/>
      <c r="F127" s="3124"/>
      <c r="G127" s="3124"/>
      <c r="H127" s="3124"/>
      <c r="I127" s="3125"/>
    </row>
    <row r="128" spans="1:11" ht="21.75" customHeight="1">
      <c r="A128" s="3133" t="s">
        <v>2319</v>
      </c>
      <c r="B128" s="3133"/>
      <c r="C128" s="3133"/>
      <c r="D128" s="3133"/>
      <c r="E128" s="3133"/>
      <c r="F128" s="3133"/>
      <c r="G128" s="3133"/>
      <c r="H128" s="3133"/>
      <c r="I128" s="313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8</v>
      </c>
    </row>
    <row r="2" spans="1:9" s="244" customFormat="1" ht="18" customHeight="1">
      <c r="A2" s="245" t="s">
        <v>2328</v>
      </c>
      <c r="B2" s="246">
        <f ca="1">IF(D2="——",C52,C52-E2)</f>
        <v>241</v>
      </c>
      <c r="C2" s="243" t="s">
        <v>2329</v>
      </c>
      <c r="D2" s="2548" t="s">
        <v>70</v>
      </c>
      <c r="E2" s="1438"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915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1"/>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0</v>
      </c>
      <c r="F9" s="265"/>
      <c r="G9" s="2552"/>
      <c r="H9" s="1388"/>
      <c r="I9" s="2553" t="s">
        <v>2345</v>
      </c>
    </row>
    <row r="10" spans="1:9" s="258" customFormat="1" ht="13.5" customHeight="1">
      <c r="A10" s="948" t="s">
        <v>801</v>
      </c>
      <c r="B10" s="268" t="s">
        <v>2346</v>
      </c>
      <c r="C10" s="269">
        <f ca="1">ROUND(D10*E10/10000,0)</f>
        <v>20</v>
      </c>
      <c r="D10" s="1030">
        <f ca="1">IF(B1="",'数据-汇总表'!E6,IF(INDIRECT("'数据-取费表'!c"&amp;$G$1)="住宅",INDIRECT("'数据-取费表'!s"&amp;$G$1),INDIRECT("'数据-取费表'!k"&amp;$G$1)+INDIRECT("'数据-取费表'!s"&amp;$G$1)))</f>
        <v>2633.48</v>
      </c>
      <c r="E10" s="269">
        <f>'数据-取费表'!B28</f>
        <v>75</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53</v>
      </c>
      <c r="D19" s="1034">
        <f ca="1">D9+D10</f>
        <v>2633.48</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4</v>
      </c>
      <c r="D24" s="282"/>
      <c r="E24" s="282"/>
      <c r="F24" s="283"/>
      <c r="G24" s="284" t="s">
        <v>2373</v>
      </c>
    </row>
    <row r="25" spans="1:7" s="258" customFormat="1" ht="24">
      <c r="A25" s="949" t="s">
        <v>2374</v>
      </c>
      <c r="B25" s="259" t="s">
        <v>2375</v>
      </c>
      <c r="C25" s="1353">
        <f ca="1">ROUND(IF('数据-取费表'!B22&lt;=1,C20*F22*'数据-取费表'!B23/2,C20*(POWER((1+F22),'数据-取费表'!B23/2)-1)),0)</f>
        <v>0</v>
      </c>
      <c r="D25" s="282"/>
      <c r="E25" s="285"/>
      <c r="F25" s="283"/>
      <c r="G25" s="286" t="s">
        <v>2376</v>
      </c>
    </row>
    <row r="26" spans="1:7" s="258" customFormat="1">
      <c r="A26" s="949"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8</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ROUND((C5+C19+C20)*F27*'数据-取费表'!B21/'数据-取费表'!B20,0)</f>
        <v>8</v>
      </c>
      <c r="D28" s="279"/>
      <c r="E28" s="280"/>
      <c r="F28" s="290"/>
      <c r="G28" s="291"/>
    </row>
    <row r="29" spans="1:7" s="258" customFormat="1" ht="13.5" customHeight="1">
      <c r="A29" s="949"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152</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49" t="s">
        <v>796</v>
      </c>
      <c r="B35" s="259" t="s">
        <v>2393</v>
      </c>
      <c r="C35" s="264">
        <f ca="1">ROUND(C34*F35,0)</f>
        <v>3</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53</v>
      </c>
      <c r="D37" s="261">
        <f ca="1">D19</f>
        <v>2633.48</v>
      </c>
      <c r="E37" s="293">
        <f>'数据-取费表'!B35</f>
        <v>200</v>
      </c>
      <c r="F37" s="303"/>
      <c r="G37" s="305" t="s">
        <v>2398</v>
      </c>
    </row>
    <row r="38" spans="1:7" ht="13.5" customHeight="1">
      <c r="A38" s="949"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5</v>
      </c>
      <c r="D42" s="282"/>
      <c r="E42" s="282"/>
      <c r="F42" s="283"/>
      <c r="G42" s="3165" t="s">
        <v>2410</v>
      </c>
    </row>
    <row r="43" spans="1:7" ht="13.5" customHeight="1">
      <c r="A43" s="949" t="s">
        <v>792</v>
      </c>
      <c r="B43" s="259" t="s">
        <v>2411</v>
      </c>
      <c r="C43" s="282">
        <f ca="1">ROUND(IF('数据-取费表'!B22&lt;=1,C39*F22*'数据-取费表'!B21/2,C39*(POWER((1+F22),'数据-取费表'!B21/2)-1)),0)</f>
        <v>0</v>
      </c>
      <c r="D43" s="282"/>
      <c r="E43" s="282"/>
      <c r="F43" s="283"/>
      <c r="G43" s="3166"/>
    </row>
    <row r="44" spans="1:7" ht="13.5" customHeight="1">
      <c r="A44" s="949" t="s">
        <v>793</v>
      </c>
      <c r="B44" s="259" t="s">
        <v>2412</v>
      </c>
      <c r="C44" s="282">
        <f ca="1">ROUND(IF('数据-取费表'!B22&lt;=1,C40*F22*'数据-取费表'!B21/2,C40*(POWER((1+F22),'数据-取费表'!B21/2)-1)),4)</f>
        <v>6.9999999999999999E-4</v>
      </c>
      <c r="D44" s="282"/>
      <c r="E44" s="282"/>
      <c r="F44" s="283"/>
      <c r="G44" s="3167"/>
    </row>
    <row r="45" spans="1:7" s="258" customFormat="1" ht="13.5" customHeight="1">
      <c r="A45" s="299" t="s">
        <v>2413</v>
      </c>
      <c r="B45" s="288" t="s">
        <v>2379</v>
      </c>
      <c r="C45" s="289">
        <f ca="1">C46</f>
        <v>23</v>
      </c>
      <c r="D45" s="279">
        <f ca="1">C47</f>
        <v>3.0000000000000001E-3</v>
      </c>
      <c r="E45" s="280" t="s">
        <v>2405</v>
      </c>
      <c r="F45" s="290"/>
      <c r="G45" s="291" t="s">
        <v>2414</v>
      </c>
    </row>
    <row r="46" spans="1:7" s="258" customFormat="1" ht="13.5" customHeight="1">
      <c r="A46" s="949" t="s">
        <v>791</v>
      </c>
      <c r="B46" s="292" t="s">
        <v>2415</v>
      </c>
      <c r="C46" s="293">
        <f ca="1">ROUND((C33+C39)*F27,0)</f>
        <v>23</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198</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170</v>
      </c>
      <c r="D51" s="276"/>
      <c r="E51" s="276"/>
      <c r="F51" s="308"/>
      <c r="G51" s="278" t="s">
        <v>2426</v>
      </c>
    </row>
    <row r="52" spans="1:7" s="252" customFormat="1" ht="16.5" thickBot="1">
      <c r="A52" s="309" t="s">
        <v>2427</v>
      </c>
      <c r="B52" s="310"/>
      <c r="C52" s="311">
        <f ca="1">C31+C51</f>
        <v>241</v>
      </c>
      <c r="D52" s="310"/>
      <c r="E52" s="310"/>
      <c r="F52" s="310"/>
      <c r="G52" s="312"/>
    </row>
    <row r="55" spans="1:7" ht="15">
      <c r="B55" s="314" t="s">
        <v>2428</v>
      </c>
      <c r="C55" s="315"/>
    </row>
    <row r="56" spans="1:7">
      <c r="B56" s="317" t="s">
        <v>1508</v>
      </c>
      <c r="C56" s="319">
        <f ca="1">1-C57</f>
        <v>0.29500000000000004</v>
      </c>
    </row>
    <row r="57" spans="1:7">
      <c r="B57" s="317" t="s">
        <v>1509</v>
      </c>
      <c r="C57" s="318">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出让国有建设用地使用权及在建建筑物房地产抵押价值预评估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54"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268</v>
      </c>
      <c r="C2" s="243" t="s">
        <v>2329</v>
      </c>
      <c r="D2" s="2548" t="s">
        <v>70</v>
      </c>
      <c r="E2" s="1438"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1018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197511</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197511</v>
      </c>
      <c r="D8" s="266"/>
      <c r="E8" s="264"/>
      <c r="F8" s="265"/>
      <c r="G8" s="2551"/>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2346</v>
      </c>
      <c r="C10" s="269">
        <f ca="1">ROUND(D10*E10,0)</f>
        <v>197511</v>
      </c>
      <c r="D10" s="1030">
        <f ca="1">IF(B1="",'数据-汇总表'!E6,IF(INDIRECT("'数据-取费表'!c"&amp;$G$1)="住宅",INDIRECT("'数据-取费表'!s"&amp;$G$1),INDIRECT("'数据-取费表'!k"&amp;$G$1)+INDIRECT("'数据-取费表'!s"&amp;$G$1)))</f>
        <v>2633.48</v>
      </c>
      <c r="E10" s="269">
        <f>'数据-取费表'!B28</f>
        <v>75</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526696</v>
      </c>
      <c r="D19" s="1034">
        <f ca="1">D9+D10</f>
        <v>2633.48</v>
      </c>
      <c r="E19" s="255">
        <f>'数据-取费表'!B31</f>
        <v>200</v>
      </c>
      <c r="F19" s="275"/>
      <c r="G19" s="2551"/>
    </row>
    <row r="20" spans="1:7" s="258" customFormat="1" ht="13.5" customHeight="1">
      <c r="A20" s="299" t="s">
        <v>2440</v>
      </c>
      <c r="B20" s="254" t="s">
        <v>2441</v>
      </c>
      <c r="C20" s="276">
        <f ca="1">ROUND((C5+C19)*F20,0)</f>
        <v>14484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52720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14238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37969</v>
      </c>
      <c r="D24" s="282"/>
      <c r="E24" s="282"/>
      <c r="F24" s="283"/>
      <c r="G24" s="284" t="s">
        <v>2452</v>
      </c>
    </row>
    <row r="25" spans="1:7" s="258" customFormat="1" ht="24">
      <c r="A25" s="949" t="s">
        <v>2342</v>
      </c>
      <c r="B25" s="259" t="s">
        <v>2453</v>
      </c>
      <c r="C25" s="1379">
        <f ca="1">ROUND(IF('数据-取费表'!B22&lt;=1,C20*F22*'数据-取费表'!B22/2,C20*(POWER((1+F22),'数据-取费表'!B22/2)-1)),0)</f>
        <v>513</v>
      </c>
      <c r="D25" s="282"/>
      <c r="E25" s="285"/>
      <c r="F25" s="283"/>
      <c r="G25" s="286" t="s">
        <v>2454</v>
      </c>
    </row>
    <row r="26" spans="1:7" s="258" customFormat="1">
      <c r="A26" s="949"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110804</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110804</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976529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1517513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948150</v>
      </c>
      <c r="D34" s="261"/>
      <c r="E34" s="264"/>
      <c r="F34" s="301"/>
      <c r="G34" s="263"/>
    </row>
    <row r="35" spans="1:7" ht="13.5" customHeight="1">
      <c r="A35" s="949" t="s">
        <v>796</v>
      </c>
      <c r="B35" s="259" t="s">
        <v>2393</v>
      </c>
      <c r="C35" s="264">
        <f ca="1">ROUND(C34*F35,0)</f>
        <v>28445</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526696</v>
      </c>
      <c r="D37" s="261">
        <f ca="1">D19</f>
        <v>2633.48</v>
      </c>
      <c r="E37" s="293">
        <f>'数据-取费表'!B35</f>
        <v>200</v>
      </c>
      <c r="F37" s="303"/>
      <c r="G37" s="305"/>
    </row>
    <row r="38" spans="1:7" ht="13.5" customHeight="1">
      <c r="A38" s="949" t="s">
        <v>799</v>
      </c>
      <c r="B38" s="259" t="s">
        <v>2399</v>
      </c>
      <c r="C38" s="264">
        <f ca="1">ROUND(C34*F38,0)</f>
        <v>14222</v>
      </c>
      <c r="D38" s="264"/>
      <c r="E38" s="264"/>
      <c r="F38" s="303">
        <f>'数据-取费表'!B36</f>
        <v>1.4999999999999999E-2</v>
      </c>
      <c r="G38" s="263" t="s">
        <v>2394</v>
      </c>
    </row>
    <row r="39" spans="1:7" s="258" customFormat="1" ht="13.5" customHeight="1">
      <c r="A39" s="299" t="s">
        <v>2400</v>
      </c>
      <c r="B39" s="254" t="s">
        <v>2401</v>
      </c>
      <c r="C39" s="276">
        <f ca="1">ROUND(C33*F20,0)</f>
        <v>30350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54822</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53747</v>
      </c>
      <c r="D42" s="282"/>
      <c r="E42" s="282"/>
      <c r="F42" s="283"/>
      <c r="G42" s="3165" t="s">
        <v>2457</v>
      </c>
    </row>
    <row r="43" spans="1:7" ht="13.5" customHeight="1">
      <c r="A43" s="949" t="s">
        <v>792</v>
      </c>
      <c r="B43" s="259" t="s">
        <v>2411</v>
      </c>
      <c r="C43" s="282">
        <f ca="1">ROUND(IF('数据-取费表'!B22&lt;=1,C39*F22*'数据-取费表'!B20/2,C39*(POWER((1+F22),'数据-取费表'!B20/2)-1)),0)</f>
        <v>1075</v>
      </c>
      <c r="D43" s="282"/>
      <c r="E43" s="282"/>
      <c r="F43" s="283"/>
      <c r="G43" s="3166"/>
    </row>
    <row r="44" spans="1:7" ht="13.5" customHeight="1">
      <c r="A44" s="949" t="s">
        <v>793</v>
      </c>
      <c r="B44" s="259" t="s">
        <v>2412</v>
      </c>
      <c r="C44" s="282">
        <f ca="1">ROUND(IF('数据-取费表'!B22&lt;=1,C40*F22*'数据-取费表'!B20/2,C40*(POWER((1+F22),'数据-取费表'!B20/2)-1)),4)</f>
        <v>6.9999999999999999E-4</v>
      </c>
      <c r="D44" s="282"/>
      <c r="E44" s="282"/>
      <c r="F44" s="283"/>
      <c r="G44" s="3167"/>
    </row>
    <row r="45" spans="1:7" s="258" customFormat="1" ht="13.5" customHeight="1">
      <c r="A45" s="299" t="s">
        <v>2413</v>
      </c>
      <c r="B45" s="288" t="s">
        <v>2379</v>
      </c>
      <c r="C45" s="289">
        <f ca="1">C46</f>
        <v>232179</v>
      </c>
      <c r="D45" s="279">
        <f ca="1">C47</f>
        <v>3.0000000000000001E-3</v>
      </c>
      <c r="E45" s="280" t="s">
        <v>2405</v>
      </c>
      <c r="F45" s="290"/>
      <c r="G45" s="291" t="s">
        <v>2414</v>
      </c>
    </row>
    <row r="46" spans="1:7" s="258" customFormat="1" ht="13.5" customHeight="1">
      <c r="A46" s="949" t="s">
        <v>791</v>
      </c>
      <c r="B46" s="292" t="s">
        <v>2415</v>
      </c>
      <c r="C46" s="293">
        <f ca="1">ROUND((C33+C39)*F27,0)</f>
        <v>232179</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1985998</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1707958</v>
      </c>
      <c r="D51" s="276"/>
      <c r="E51" s="276"/>
      <c r="F51" s="308"/>
      <c r="G51" s="278" t="s">
        <v>2426</v>
      </c>
    </row>
    <row r="52" spans="1:7" s="252" customFormat="1" ht="16.5" thickBot="1">
      <c r="A52" s="309" t="s">
        <v>2427</v>
      </c>
      <c r="B52" s="310"/>
      <c r="C52" s="311">
        <f ca="1">C31+C51</f>
        <v>2684487</v>
      </c>
      <c r="D52" s="310"/>
      <c r="E52" s="310"/>
      <c r="F52" s="310"/>
      <c r="G52" s="312"/>
    </row>
    <row r="55" spans="1:7" ht="15">
      <c r="B55" s="314" t="s">
        <v>2428</v>
      </c>
      <c r="C55" s="315"/>
    </row>
    <row r="56" spans="1:7">
      <c r="B56" s="317" t="s">
        <v>1508</v>
      </c>
      <c r="C56" s="319">
        <f ca="1">1-C57</f>
        <v>0.36399999999999999</v>
      </c>
    </row>
    <row r="57" spans="1:7">
      <c r="B57" s="317" t="s">
        <v>1509</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-84</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2633.48</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2633.48</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20</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2496</v>
      </c>
      <c r="C20" s="24">
        <f ca="1">ROUND(D20*E20/10000,0)</f>
        <v>20</v>
      </c>
      <c r="D20" s="1031">
        <f ca="1">IF(C1="",'数据-汇总表'!E6,IF(INDIRECT("'数据-取费表'!c"&amp;$K$1)="住宅",INDIRECT("'数据-取费表'!s"&amp;$K$1),INDIRECT("'数据-取费表'!k"&amp;$K$1)+INDIRECT("'数据-取费表'!s"&amp;$K$1)))</f>
        <v>2633.48</v>
      </c>
      <c r="E20" s="24">
        <f>'数据-取费表'!B28</f>
        <v>75</v>
      </c>
      <c r="F20" s="974"/>
      <c r="G20" s="15"/>
      <c r="H20" s="979"/>
      <c r="I20" s="979"/>
      <c r="J20" s="979"/>
      <c r="K20" s="980"/>
    </row>
    <row r="21" spans="1:33" s="973" customFormat="1" ht="13.5" customHeight="1">
      <c r="A21" s="959" t="s">
        <v>802</v>
      </c>
      <c r="B21" s="983" t="s">
        <v>2497</v>
      </c>
      <c r="C21" s="984">
        <f ca="1">C16+C17+C18</f>
        <v>20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2510</v>
      </c>
      <c r="B28" s="2560" t="s">
        <v>2511</v>
      </c>
      <c r="C28" s="331">
        <f ca="1">C30</f>
        <v>3</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t="s">
        <v>3061</v>
      </c>
      <c r="D1" s="2417"/>
      <c r="E1" s="2417"/>
      <c r="F1" s="2419" t="s">
        <v>2118</v>
      </c>
      <c r="G1" s="2068" t="s">
        <v>3123</v>
      </c>
      <c r="H1" s="2420" t="str">
        <f>IF(G1="现房","——","估价对象范围")</f>
        <v>——</v>
      </c>
      <c r="I1" s="2421"/>
    </row>
    <row r="2" spans="1:12" ht="21.75" customHeight="1" thickBot="1">
      <c r="A2" s="3105" t="str">
        <f>项目基本情况!S2</f>
        <v>出让国有建设用地使用权及在建建筑物房地产</v>
      </c>
      <c r="B2" s="3106"/>
      <c r="C2" s="3106"/>
      <c r="D2" s="3106"/>
      <c r="E2" s="3106"/>
      <c r="F2" s="3106"/>
      <c r="G2" s="3106"/>
      <c r="H2" s="3106"/>
      <c r="I2" s="3107"/>
    </row>
    <row r="3" spans="1:12" ht="12.75">
      <c r="A3" s="3109" t="s">
        <v>2120</v>
      </c>
      <c r="B3" s="3110"/>
      <c r="C3" s="3110"/>
      <c r="D3" s="3110"/>
      <c r="E3" s="3110"/>
      <c r="F3" s="3110"/>
      <c r="G3" s="3110"/>
      <c r="H3" s="3110"/>
      <c r="I3" s="3110"/>
    </row>
    <row r="4" spans="1:12" ht="14.25">
      <c r="A4" s="2424" t="s">
        <v>2121</v>
      </c>
      <c r="B4" s="2425" t="s">
        <v>2122</v>
      </c>
      <c r="C4" s="2426" t="s">
        <v>3114</v>
      </c>
      <c r="D4" s="2426" t="s">
        <v>3118</v>
      </c>
      <c r="E4" s="3102" t="s">
        <v>2123</v>
      </c>
      <c r="F4" s="3103"/>
      <c r="G4" s="3103"/>
      <c r="H4" s="3103"/>
      <c r="I4" s="3111"/>
      <c r="K4" s="2427" t="str">
        <f>IF(ISNUMBER(FIND("比较法",'结果表-2-1#'!C4)),"比较法",IF(ISNUMBER(FIND("成本法",'结果表-2-1#'!C4)),"成本法",IF(ISNUMBER(FIND("假设开发法",'结果表-2-1#'!C4)),"假设开发法",IF(ISNUMBER(FIND("收益法",'结果表-2-1#'!C4)),"收益法","基准地价系数修正法"))))</f>
        <v>收益法</v>
      </c>
      <c r="L4" s="2427" t="str">
        <f>IF(ISNUMBER(FIND("比较法",'结果表-2-1#'!D4)),"比较法",IF(ISNUMBER(FIND("成本法",'结果表-2-1#'!D4)),"成本法",IF(ISNUMBER(FIND("假设开发法",'结果表-2-1#'!D4)),"假设开发法",IF(ISNUMBER(FIND("收益法",'结果表-2-1#'!D4)),"收益法","基准地价系数修正法"))))</f>
        <v>比较法</v>
      </c>
    </row>
    <row r="5" spans="1:12" ht="12.75">
      <c r="A5" s="3085" t="s">
        <v>2124</v>
      </c>
      <c r="B5" s="3023">
        <v>25</v>
      </c>
      <c r="C5" s="3088"/>
      <c r="D5" s="3108"/>
      <c r="E5" s="140" t="s">
        <v>2125</v>
      </c>
      <c r="F5" s="2428"/>
      <c r="G5" s="2428"/>
      <c r="H5" s="2428"/>
      <c r="I5" s="1829"/>
    </row>
    <row r="6" spans="1:12" ht="12.75">
      <c r="A6" s="3085"/>
      <c r="B6" s="3023"/>
      <c r="C6" s="3089"/>
      <c r="D6" s="3108"/>
      <c r="E6" s="140" t="s">
        <v>2126</v>
      </c>
      <c r="F6" s="2428"/>
      <c r="G6" s="2428"/>
      <c r="H6" s="2428"/>
      <c r="I6" s="1829"/>
    </row>
    <row r="7" spans="1:12" ht="12.75">
      <c r="A7" s="3085"/>
      <c r="B7" s="3023"/>
      <c r="C7" s="3090"/>
      <c r="D7" s="3108"/>
      <c r="E7" s="140" t="s">
        <v>2127</v>
      </c>
      <c r="F7" s="2428"/>
      <c r="G7" s="2428"/>
      <c r="H7" s="2428"/>
      <c r="I7" s="1829"/>
    </row>
    <row r="8" spans="1:12" ht="12.75">
      <c r="A8" s="3085" t="s">
        <v>2128</v>
      </c>
      <c r="B8" s="3023">
        <v>15</v>
      </c>
      <c r="C8" s="3088"/>
      <c r="D8" s="3108"/>
      <c r="E8" s="140" t="s">
        <v>2129</v>
      </c>
      <c r="F8" s="2428"/>
      <c r="G8" s="2428"/>
      <c r="H8" s="2428"/>
      <c r="I8" s="1829"/>
    </row>
    <row r="9" spans="1:12" ht="12.75">
      <c r="A9" s="3085"/>
      <c r="B9" s="3023"/>
      <c r="C9" s="3090"/>
      <c r="D9" s="3108"/>
      <c r="E9" s="140" t="s">
        <v>2130</v>
      </c>
      <c r="F9" s="2428"/>
      <c r="G9" s="2428"/>
      <c r="H9" s="2428"/>
      <c r="I9" s="1829"/>
    </row>
    <row r="10" spans="1:12" ht="12.75">
      <c r="A10" s="3085" t="s">
        <v>2131</v>
      </c>
      <c r="B10" s="3023">
        <v>15</v>
      </c>
      <c r="C10" s="3088"/>
      <c r="D10" s="3108"/>
      <c r="E10" s="140" t="s">
        <v>2132</v>
      </c>
      <c r="F10" s="2428"/>
      <c r="G10" s="2428"/>
      <c r="H10" s="2428"/>
      <c r="I10" s="1829"/>
    </row>
    <row r="11" spans="1:12" ht="12.75">
      <c r="A11" s="3085"/>
      <c r="B11" s="3023"/>
      <c r="C11" s="3090"/>
      <c r="D11" s="3108"/>
      <c r="E11" s="140" t="s">
        <v>2133</v>
      </c>
      <c r="F11" s="2428"/>
      <c r="G11" s="2428"/>
      <c r="H11" s="2428"/>
      <c r="I11" s="1829"/>
    </row>
    <row r="12" spans="1:12" ht="12.75">
      <c r="A12" s="3085" t="s">
        <v>2134</v>
      </c>
      <c r="B12" s="3023">
        <v>15</v>
      </c>
      <c r="C12" s="3088"/>
      <c r="D12" s="3108"/>
      <c r="E12" s="140" t="s">
        <v>2135</v>
      </c>
      <c r="F12" s="2428"/>
      <c r="G12" s="2428"/>
      <c r="H12" s="2428"/>
      <c r="I12" s="1829"/>
    </row>
    <row r="13" spans="1:12" ht="12.75">
      <c r="A13" s="3085"/>
      <c r="B13" s="3023"/>
      <c r="C13" s="3090"/>
      <c r="D13" s="3108"/>
      <c r="E13" s="140" t="s">
        <v>2136</v>
      </c>
      <c r="F13" s="2428"/>
      <c r="G13" s="2428"/>
      <c r="H13" s="2428"/>
      <c r="I13" s="1829"/>
    </row>
    <row r="14" spans="1:12" ht="12.75">
      <c r="A14" s="3085" t="s">
        <v>2137</v>
      </c>
      <c r="B14" s="3023">
        <v>30</v>
      </c>
      <c r="C14" s="3088">
        <v>4</v>
      </c>
      <c r="D14" s="3108">
        <v>6</v>
      </c>
      <c r="E14" s="140" t="s">
        <v>2138</v>
      </c>
      <c r="F14" s="2428"/>
      <c r="G14" s="2428"/>
      <c r="H14" s="2428"/>
      <c r="I14" s="1829"/>
    </row>
    <row r="15" spans="1:12" ht="12.75">
      <c r="A15" s="3085"/>
      <c r="B15" s="3023"/>
      <c r="C15" s="3089"/>
      <c r="D15" s="3108"/>
      <c r="E15" s="140" t="s">
        <v>2139</v>
      </c>
      <c r="F15" s="2428"/>
      <c r="G15" s="2428"/>
      <c r="H15" s="2428"/>
      <c r="I15" s="1829"/>
    </row>
    <row r="16" spans="1:12" ht="12.75">
      <c r="A16" s="3085"/>
      <c r="B16" s="3023"/>
      <c r="C16" s="3090"/>
      <c r="D16" s="3108"/>
      <c r="E16" s="140" t="s">
        <v>2140</v>
      </c>
      <c r="F16" s="2428"/>
      <c r="G16" s="2428"/>
      <c r="H16" s="2428"/>
      <c r="I16" s="1829"/>
    </row>
    <row r="17" spans="1:35" ht="15">
      <c r="A17" s="2429" t="s">
        <v>2141</v>
      </c>
      <c r="B17" s="64"/>
      <c r="C17" s="141">
        <f>SUM(C5:C16)</f>
        <v>4</v>
      </c>
      <c r="D17" s="141">
        <f>SUM(D5:D16)</f>
        <v>6</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451.5</v>
      </c>
      <c r="M18" s="2427">
        <f>IF(C1="",'数据-汇总表'!E3,SUMIF(项目类型,C1,'数据-汇总表'!E17:E26))</f>
        <v>451.5</v>
      </c>
    </row>
    <row r="19" spans="1:35" ht="15">
      <c r="A19" s="2433" t="s">
        <v>2146</v>
      </c>
      <c r="B19" s="2434" t="s">
        <v>2147</v>
      </c>
      <c r="C19" s="143">
        <f ca="1">SUMIF(INDIRECT("'"&amp;C4&amp;"'"&amp;"!A:A"),'结果表-2-1#'!B19,INDIRECT("'"&amp;C4&amp;"'"&amp;"!B:B"))</f>
        <v>200</v>
      </c>
      <c r="D19" s="144">
        <f ca="1">SUMIF(INDIRECT("'"&amp;D4&amp;"'"&amp;"!A:A"),'结果表-2-1#'!B19,INDIRECT("'"&amp;D4&amp;"'"&amp;"!B:B"))</f>
        <v>439</v>
      </c>
      <c r="E19" s="2433" t="s">
        <v>2148</v>
      </c>
      <c r="F19" s="2434" t="s">
        <v>2147</v>
      </c>
      <c r="G19" s="145">
        <f ca="1">ROUND(C19*$C$18+D19*$D$18,0)</f>
        <v>343</v>
      </c>
      <c r="H19" s="2435" t="s">
        <v>2149</v>
      </c>
      <c r="I19" s="138"/>
      <c r="K19" s="2427" t="s">
        <v>2150</v>
      </c>
      <c r="L19" s="2427">
        <f>IF(C1="",'数据-汇总表'!D3,SUMIF(项目类型,C1,'数据-汇总表'!D17:D26)+SUMIF(项目类型,C1,'数据-汇总表'!H17:H27))</f>
        <v>519.54999999999995</v>
      </c>
      <c r="M19" s="2427">
        <f>IF(C1="",'数据-汇总表'!D3,SUMIF(项目类型,C1,'数据-汇总表'!D17:D26))</f>
        <v>519.54999999999995</v>
      </c>
    </row>
    <row r="20" spans="1:35" ht="15">
      <c r="A20" s="2436"/>
      <c r="B20" s="1245" t="s">
        <v>2151</v>
      </c>
      <c r="C20" s="146">
        <f ca="1">SUMIF(INDIRECT("'"&amp;C4&amp;"'"&amp;"!A:A"),'结果表-2-1#'!B20,INDIRECT("'"&amp;C4&amp;"'"&amp;"!B:B"))</f>
        <v>4430</v>
      </c>
      <c r="D20" s="147">
        <f ca="1">SUMIF(INDIRECT("'"&amp;D4&amp;"'"&amp;"!A:A"),'结果表-2-1#'!B20,INDIRECT("'"&amp;D4&amp;"'"&amp;"!B:B"))</f>
        <v>9713</v>
      </c>
      <c r="E20" s="2436"/>
      <c r="F20" s="1245" t="s">
        <v>2151</v>
      </c>
      <c r="G20" s="148">
        <f ca="1">ROUND(C20*$C$18+D20*$D$18,0)</f>
        <v>7600</v>
      </c>
      <c r="H20" s="978" t="s">
        <v>2152</v>
      </c>
      <c r="I20" s="138"/>
    </row>
    <row r="21" spans="1:35" ht="15" customHeight="1" thickBot="1">
      <c r="A21" s="998"/>
      <c r="B21" s="2437" t="s">
        <v>2153</v>
      </c>
      <c r="C21" s="787">
        <f ca="1">ROUND(C19*10000/L19,0)</f>
        <v>3849</v>
      </c>
      <c r="D21" s="788">
        <f ca="1">ROUND(D19*10000/L19,0)</f>
        <v>8450</v>
      </c>
      <c r="E21" s="998"/>
      <c r="F21" s="2437" t="s">
        <v>2153</v>
      </c>
      <c r="G21" s="149">
        <f ca="1">ROUND(G19*10000/L19,0)</f>
        <v>6602</v>
      </c>
      <c r="H21" s="2438" t="s">
        <v>2152</v>
      </c>
      <c r="I21" s="138"/>
    </row>
    <row r="22" spans="1:35" ht="15" thickBot="1">
      <c r="A22" s="2279" t="s">
        <v>2154</v>
      </c>
      <c r="B22" s="2439"/>
      <c r="C22" s="2440"/>
      <c r="D22" s="789">
        <f ca="1">IF(C19&lt;D19,D19/C19-1,C19/D19-1)</f>
        <v>1.1949999999999998</v>
      </c>
      <c r="E22" s="138"/>
      <c r="F22" s="138"/>
      <c r="G22" s="138"/>
      <c r="H22" s="138"/>
      <c r="I22" s="138"/>
    </row>
    <row r="23" spans="1:35" ht="13.5" thickBot="1">
      <c r="A23" s="2417"/>
      <c r="B23" s="2417"/>
      <c r="C23" s="2417"/>
      <c r="D23" s="2417"/>
      <c r="E23" s="138"/>
      <c r="F23" s="138"/>
      <c r="G23" s="138"/>
      <c r="H23" s="138"/>
      <c r="I23" s="138"/>
    </row>
    <row r="24" spans="1:35" ht="14.25">
      <c r="A24" s="3079" t="s">
        <v>2155</v>
      </c>
      <c r="B24" s="2434" t="s">
        <v>2147</v>
      </c>
      <c r="C24" s="145">
        <f>IF(B30=0,0,D30)</f>
        <v>0</v>
      </c>
      <c r="D24" s="2441"/>
      <c r="E24" s="138"/>
      <c r="F24" s="138"/>
      <c r="G24" s="138"/>
      <c r="H24" s="138"/>
      <c r="I24" s="138"/>
    </row>
    <row r="25" spans="1:35" ht="14.25">
      <c r="A25" s="3080"/>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7600</v>
      </c>
      <c r="D32" s="2448" t="s">
        <v>3124</v>
      </c>
      <c r="E32" s="138"/>
      <c r="F32" s="138"/>
      <c r="G32" s="138"/>
      <c r="H32" s="138"/>
      <c r="I32" s="138"/>
    </row>
    <row r="33" spans="1:15" ht="15">
      <c r="A33" s="955" t="s">
        <v>2163</v>
      </c>
      <c r="B33" s="2449"/>
      <c r="C33" s="2450"/>
      <c r="D33" s="2451"/>
      <c r="E33" s="2452" t="s">
        <v>2164</v>
      </c>
      <c r="F33" s="2954" t="str">
        <f>IF(D32="楼面单价","取值（单价）","取值（总价）")</f>
        <v>取值（单价）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097" t="s">
        <v>2169</v>
      </c>
      <c r="B36" s="2460" t="s">
        <v>2170</v>
      </c>
      <c r="C36" s="154"/>
      <c r="D36" s="2461"/>
      <c r="E36" s="2462"/>
      <c r="F36" s="2463"/>
      <c r="G36" s="138"/>
      <c r="H36" s="138"/>
      <c r="I36" s="138"/>
    </row>
    <row r="37" spans="1:15" ht="15.75" thickBot="1">
      <c r="A37" s="3098"/>
      <c r="B37" s="2265" t="s">
        <v>2171</v>
      </c>
      <c r="C37" s="156"/>
      <c r="D37" s="1390"/>
      <c r="E37" s="1390"/>
      <c r="F37" s="2463"/>
      <c r="G37" s="138"/>
      <c r="H37" s="138"/>
      <c r="I37" s="138"/>
    </row>
    <row r="38" spans="1:15" ht="15.75" thickBot="1">
      <c r="A38" s="3099"/>
      <c r="B38" s="2464" t="s">
        <v>2172</v>
      </c>
      <c r="C38" s="725"/>
      <c r="D38" s="2465" t="s">
        <v>2173</v>
      </c>
      <c r="E38" s="1390"/>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76" t="s">
        <v>2183</v>
      </c>
      <c r="B45" s="3077"/>
      <c r="C45" s="3078"/>
      <c r="D45" s="164">
        <f ca="1">ROUND(H101*F45,0)</f>
        <v>343</v>
      </c>
      <c r="E45" s="165" t="s">
        <v>2184</v>
      </c>
      <c r="F45" s="166">
        <v>1</v>
      </c>
      <c r="G45" s="167" t="s">
        <v>2185</v>
      </c>
      <c r="H45" s="138"/>
      <c r="I45" s="138"/>
      <c r="J45" s="3136" t="s">
        <v>2186</v>
      </c>
      <c r="K45" s="3136"/>
      <c r="L45" s="3136"/>
      <c r="M45" s="3136"/>
      <c r="N45" s="3136"/>
      <c r="O45" s="3136"/>
    </row>
    <row r="46" spans="1:15" ht="14.25" customHeight="1">
      <c r="A46" s="3073" t="s">
        <v>2187</v>
      </c>
      <c r="B46" s="3074"/>
      <c r="C46" s="3074"/>
      <c r="D46" s="3074"/>
      <c r="E46" s="3074"/>
      <c r="F46" s="3074"/>
      <c r="G46" s="3075"/>
      <c r="H46" s="2479"/>
      <c r="I46" s="168"/>
      <c r="J46" s="2959">
        <v>1</v>
      </c>
      <c r="K46" s="3136" t="s">
        <v>2188</v>
      </c>
      <c r="L46" s="3136"/>
      <c r="M46" s="3156"/>
      <c r="N46" s="3156"/>
      <c r="O46" s="3156"/>
    </row>
    <row r="47" spans="1:15" ht="12" customHeight="1">
      <c r="A47" s="169" t="s">
        <v>2189</v>
      </c>
      <c r="B47" s="170"/>
      <c r="C47" s="171"/>
      <c r="D47" s="172" t="s">
        <v>2190</v>
      </c>
      <c r="E47" s="24" t="s">
        <v>2191</v>
      </c>
      <c r="F47" s="173" t="s">
        <v>2192</v>
      </c>
      <c r="G47" s="174" t="s">
        <v>2193</v>
      </c>
      <c r="H47" s="2479"/>
      <c r="I47" s="168"/>
      <c r="J47" s="2959">
        <v>2</v>
      </c>
      <c r="K47" s="3136" t="s">
        <v>2194</v>
      </c>
      <c r="L47" s="3136"/>
      <c r="M47" s="3157">
        <f>'数据-取费表'!B2</f>
        <v>43690</v>
      </c>
      <c r="N47" s="3157"/>
      <c r="O47" s="3157"/>
    </row>
    <row r="48" spans="1:15" ht="25.5">
      <c r="A48" s="3104" t="s">
        <v>2195</v>
      </c>
      <c r="B48" s="3087"/>
      <c r="C48" s="3087"/>
      <c r="D48" s="140">
        <f>IF(H48="情况1",0,IF(H48="情况2",D52,IF(H48="情况3",D53,IF(H48="情况4",D54))))</f>
        <v>0</v>
      </c>
      <c r="E48" s="2968" t="str">
        <f>IF(H48="情况4","(销售额-原购置价)×税（费）率","销售额×税（费）率")</f>
        <v>销售额×税（费）率</v>
      </c>
      <c r="F48" s="175" t="str">
        <f>IF(H48="情况1","免征",'数据-取费表'!B41)</f>
        <v>免征</v>
      </c>
      <c r="G48" s="2480" t="s">
        <v>2196</v>
      </c>
      <c r="H48" s="2481" t="s">
        <v>2197</v>
      </c>
      <c r="I48" s="2479"/>
      <c r="J48" s="2959">
        <v>3</v>
      </c>
      <c r="K48" s="3136" t="s">
        <v>2198</v>
      </c>
      <c r="L48" s="3136"/>
      <c r="M48" s="3158">
        <f ca="1">H101</f>
        <v>343</v>
      </c>
      <c r="N48" s="3158"/>
      <c r="O48" s="3158"/>
    </row>
    <row r="49" spans="1:35" ht="25.5" customHeight="1">
      <c r="A49" s="176" t="s">
        <v>2199</v>
      </c>
      <c r="B49" s="3072" t="s">
        <v>2200</v>
      </c>
      <c r="C49" s="3072"/>
      <c r="D49" s="177">
        <v>0</v>
      </c>
      <c r="E49" s="23" t="s">
        <v>2201</v>
      </c>
      <c r="F49" s="28" t="s">
        <v>34</v>
      </c>
      <c r="G49" s="3142"/>
      <c r="H49" s="138"/>
      <c r="I49" s="2482"/>
      <c r="J49" s="2959">
        <v>4</v>
      </c>
      <c r="K49" s="3136" t="str">
        <f>IF(项目基本情况!E8="房地产抵押价值","房地产抵押价值","抵押担保权已注销时的房地产抵押价值")</f>
        <v>房地产抵押价值</v>
      </c>
      <c r="L49" s="3136"/>
      <c r="M49" s="3158">
        <f ca="1">IF(项目基本情况!E8="房地产抵押价值",H107,H109)</f>
        <v>343</v>
      </c>
      <c r="N49" s="3158"/>
      <c r="O49" s="3158"/>
    </row>
    <row r="50" spans="1:35" ht="25.5" customHeight="1">
      <c r="A50" s="178"/>
      <c r="B50" s="3072" t="s">
        <v>2202</v>
      </c>
      <c r="C50" s="3072"/>
      <c r="D50" s="179"/>
      <c r="E50" s="31"/>
      <c r="F50" s="180"/>
      <c r="G50" s="3143"/>
      <c r="H50" s="138"/>
      <c r="I50" s="2482"/>
      <c r="J50" s="3136" t="s">
        <v>2203</v>
      </c>
      <c r="K50" s="3136"/>
      <c r="L50" s="3136"/>
      <c r="M50" s="3136"/>
      <c r="N50" s="3136"/>
      <c r="O50" s="3136"/>
    </row>
    <row r="51" spans="1:35" ht="12" customHeight="1">
      <c r="A51" s="181"/>
      <c r="B51" s="3072" t="s">
        <v>2204</v>
      </c>
      <c r="C51" s="3072"/>
      <c r="D51" s="182"/>
      <c r="E51" s="30"/>
      <c r="F51" s="180"/>
      <c r="G51" s="3144"/>
      <c r="H51" s="138"/>
      <c r="I51" s="2482"/>
      <c r="J51" s="2956" t="s">
        <v>2205</v>
      </c>
      <c r="K51" s="3136" t="s">
        <v>2206</v>
      </c>
      <c r="L51" s="3136"/>
      <c r="M51" s="2956" t="s">
        <v>2207</v>
      </c>
      <c r="N51" s="2956" t="s">
        <v>2208</v>
      </c>
      <c r="O51" s="2956" t="s">
        <v>2209</v>
      </c>
    </row>
    <row r="52" spans="1:35" ht="24" customHeight="1">
      <c r="A52" s="183" t="s">
        <v>2210</v>
      </c>
      <c r="B52" s="3072" t="s">
        <v>2211</v>
      </c>
      <c r="C52" s="3072"/>
      <c r="D52" s="182">
        <f ca="1">ROUND(D45*'数据-取费表'!B41/(1+'数据-取费表'!C42),0)</f>
        <v>18</v>
      </c>
      <c r="E52" s="11" t="s">
        <v>2212</v>
      </c>
      <c r="F52" s="184">
        <f>'数据-取费表'!B41</f>
        <v>5.5000000000000007E-2</v>
      </c>
      <c r="G52" s="2484"/>
      <c r="H52" s="138"/>
      <c r="I52" s="2482"/>
      <c r="J52" s="2959">
        <v>1</v>
      </c>
      <c r="K52" s="3137" t="s">
        <v>2213</v>
      </c>
      <c r="L52" s="3137"/>
      <c r="M52" s="1749">
        <f>D48</f>
        <v>0</v>
      </c>
      <c r="N52" s="2959" t="str">
        <f>E48</f>
        <v>销售额×税（费）率</v>
      </c>
      <c r="O52" s="1750" t="str">
        <f>F48</f>
        <v>免征</v>
      </c>
    </row>
    <row r="53" spans="1:35" ht="12" customHeight="1">
      <c r="A53" s="183" t="s">
        <v>2214</v>
      </c>
      <c r="B53" s="3095" t="s">
        <v>2215</v>
      </c>
      <c r="C53" s="3096"/>
      <c r="D53" s="182">
        <f ca="1">ROUND(D45*'数据-取费表'!B41/(1+'数据-取费表'!C42),0)</f>
        <v>18</v>
      </c>
      <c r="E53" s="11" t="s">
        <v>2212</v>
      </c>
      <c r="F53" s="184">
        <f>'数据-取费表'!B41</f>
        <v>5.5000000000000007E-2</v>
      </c>
      <c r="G53" s="2484"/>
      <c r="H53" s="138"/>
      <c r="I53" s="2482"/>
      <c r="J53" s="2959">
        <v>2</v>
      </c>
      <c r="K53" s="3137" t="s">
        <v>2216</v>
      </c>
      <c r="L53" s="3137"/>
      <c r="M53" s="1749">
        <f t="shared" ref="M53:O54" ca="1" si="0">D55</f>
        <v>0</v>
      </c>
      <c r="N53" s="2959" t="str">
        <f t="shared" si="0"/>
        <v>销售额×税（费）率</v>
      </c>
      <c r="O53" s="1750">
        <f t="shared" si="0"/>
        <v>5.0000000000000001E-4</v>
      </c>
    </row>
    <row r="54" spans="1:35" ht="12" customHeight="1">
      <c r="A54" s="183" t="s">
        <v>2217</v>
      </c>
      <c r="B54" s="3095" t="s">
        <v>2218</v>
      </c>
      <c r="C54" s="3096"/>
      <c r="D54" s="182">
        <f ca="1">C68</f>
        <v>18</v>
      </c>
      <c r="E54" s="30" t="s">
        <v>2219</v>
      </c>
      <c r="F54" s="184">
        <f>'数据-取费表'!B41</f>
        <v>5.5000000000000007E-2</v>
      </c>
      <c r="G54" s="2484"/>
      <c r="H54" s="2485"/>
      <c r="I54" s="2482"/>
      <c r="J54" s="2959">
        <v>3</v>
      </c>
      <c r="K54" s="3137" t="s">
        <v>2220</v>
      </c>
      <c r="L54" s="3137"/>
      <c r="M54" s="1749">
        <f t="shared" ca="1" si="0"/>
        <v>194</v>
      </c>
      <c r="N54" s="2959" t="str">
        <f t="shared" si="0"/>
        <v>增值额×税（费）率</v>
      </c>
      <c r="O54" s="1751" t="str">
        <f t="shared" si="0"/>
        <v>——</v>
      </c>
    </row>
    <row r="55" spans="1:35" ht="24" customHeight="1">
      <c r="A55" s="3086" t="s">
        <v>2221</v>
      </c>
      <c r="B55" s="3087"/>
      <c r="C55" s="3087"/>
      <c r="D55" s="185">
        <f ca="1">IF(H55="个人住宅",0,ROUND(D45*I55,0))</f>
        <v>0</v>
      </c>
      <c r="E55" s="11" t="s">
        <v>2222</v>
      </c>
      <c r="F55" s="184">
        <f>IF(H55="正常",I55,"免征")</f>
        <v>5.0000000000000001E-4</v>
      </c>
      <c r="G55" s="2484"/>
      <c r="H55" s="2481" t="s">
        <v>2223</v>
      </c>
      <c r="I55" s="186">
        <f>'数据-取费表'!B49</f>
        <v>5.0000000000000001E-4</v>
      </c>
      <c r="J55" s="2959" t="str">
        <f>IF(H59="非个人房产","",4)</f>
        <v/>
      </c>
      <c r="K55" s="3137" t="str">
        <f>IF(H59="非个人房产","——","个人所得税")</f>
        <v>——</v>
      </c>
      <c r="L55" s="3137"/>
      <c r="M55" s="1752" t="str">
        <f>D59</f>
        <v>——</v>
      </c>
      <c r="N55" s="2960" t="str">
        <f>E59</f>
        <v>——</v>
      </c>
      <c r="O55" s="1753" t="str">
        <f>F59</f>
        <v>——</v>
      </c>
    </row>
    <row r="56" spans="1:35" ht="24.75">
      <c r="A56" s="3086" t="s">
        <v>2224</v>
      </c>
      <c r="B56" s="3087"/>
      <c r="C56" s="3087"/>
      <c r="D56" s="185">
        <f ca="1">IF(H56="个人住宅",D57,D58)</f>
        <v>194</v>
      </c>
      <c r="E56" s="11" t="s">
        <v>2225</v>
      </c>
      <c r="F56" s="184" t="str">
        <f>IF(H56="正常",F58,"免征")</f>
        <v>——</v>
      </c>
      <c r="G56" s="2486" t="s">
        <v>2226</v>
      </c>
      <c r="H56" s="2487" t="s">
        <v>2223</v>
      </c>
      <c r="I56" s="2488"/>
      <c r="J56" s="2959" t="str">
        <f>IF(项目基本情况!K6="上海银行",IF(J55="",4,J55+1),"")</f>
        <v/>
      </c>
      <c r="K56" s="3160" t="str">
        <f>IF(项目基本情况!K6="上海银行","其他处置费用","")</f>
        <v/>
      </c>
      <c r="L56" s="3161"/>
      <c r="M56" s="1749" t="str">
        <f>IF(项目基本情况!K6="上海银行",M69,"")</f>
        <v/>
      </c>
      <c r="N56" s="3163" t="str">
        <f>IF(项目基本情况!K6="上海银行","包含处置中涉及的律师、诉讼、拍卖、评估等费用","")</f>
        <v/>
      </c>
      <c r="O56" s="3164"/>
    </row>
    <row r="57" spans="1:35" ht="12.75">
      <c r="A57" s="183" t="s">
        <v>2199</v>
      </c>
      <c r="B57" s="3102" t="s">
        <v>2227</v>
      </c>
      <c r="C57" s="3111"/>
      <c r="D57" s="187">
        <v>0</v>
      </c>
      <c r="E57" s="23" t="s">
        <v>2201</v>
      </c>
      <c r="F57" s="155"/>
      <c r="G57" s="2484"/>
      <c r="H57" s="2488"/>
      <c r="I57" s="2488"/>
      <c r="J57" s="3137">
        <f>IF(AND(J55="",J56=""),4,IF(项目基本情况!K6="上海银行",'结果表-2-1#'!J56+1,'结果表-2-1#'!J55+1))</f>
        <v>4</v>
      </c>
      <c r="K57" s="3137" t="s">
        <v>2228</v>
      </c>
      <c r="L57" s="2489" t="s">
        <v>2229</v>
      </c>
      <c r="M57" s="1754"/>
      <c r="N57" s="1755">
        <f ca="1">SUMIF(M52:M56,"&lt;9e307")</f>
        <v>194</v>
      </c>
      <c r="O57" s="2490"/>
      <c r="P57" s="1748">
        <f ca="1">N57/M49</f>
        <v>0.56559766763848396</v>
      </c>
    </row>
    <row r="58" spans="1:35" ht="24.75">
      <c r="A58" s="183" t="s">
        <v>2210</v>
      </c>
      <c r="B58" s="3102" t="s">
        <v>2230</v>
      </c>
      <c r="C58" s="3103"/>
      <c r="D58" s="185">
        <f ca="1">IF(H58="转让取得",C81,C97)</f>
        <v>194</v>
      </c>
      <c r="E58" s="11" t="s">
        <v>2225</v>
      </c>
      <c r="F58" s="24" t="s">
        <v>34</v>
      </c>
      <c r="G58" s="2484"/>
      <c r="H58" s="2487" t="s">
        <v>2231</v>
      </c>
      <c r="I58" s="2488"/>
      <c r="J58" s="3137"/>
      <c r="K58" s="3137"/>
      <c r="L58" s="2489" t="s">
        <v>2232</v>
      </c>
      <c r="M58" s="1756"/>
      <c r="N58" s="2491" t="str">
        <f ca="1">NUMBERSTRING(INT(N57*10000),2)&amp;"元整"</f>
        <v>壹佰玖拾肆万元整</v>
      </c>
      <c r="O58" s="2492"/>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8">
        <f>J57+1</f>
        <v>5</v>
      </c>
      <c r="K59" s="3137" t="s">
        <v>2235</v>
      </c>
      <c r="L59" s="2959" t="s">
        <v>2229</v>
      </c>
      <c r="M59" s="1757"/>
      <c r="N59" s="1758">
        <f ca="1">M49-N57</f>
        <v>149</v>
      </c>
      <c r="O59" s="2494"/>
    </row>
    <row r="60" spans="1:35" ht="12" customHeight="1">
      <c r="A60" s="2495"/>
      <c r="B60" s="2417"/>
      <c r="C60" s="2417"/>
      <c r="D60" s="2417"/>
      <c r="E60" s="2164"/>
      <c r="F60" s="2488"/>
      <c r="G60" s="2488"/>
      <c r="H60" s="2496"/>
      <c r="I60" s="138"/>
      <c r="J60" s="3139"/>
      <c r="K60" s="3137"/>
      <c r="L60" s="2489" t="s">
        <v>2232</v>
      </c>
      <c r="M60" s="1756"/>
      <c r="N60" s="2491" t="str">
        <f ca="1">NUMBERSTRING(INT(N59*10000),2)&amp;"元整"</f>
        <v>壹佰肆拾玖万元整</v>
      </c>
      <c r="O60" s="2492"/>
    </row>
    <row r="61" spans="1:35" ht="13.5" thickBot="1">
      <c r="A61" s="3084" t="s">
        <v>2236</v>
      </c>
      <c r="B61" s="3084"/>
      <c r="C61" s="3084"/>
      <c r="D61" s="3084"/>
      <c r="E61" s="3084"/>
      <c r="F61" s="2488"/>
      <c r="G61" s="2488"/>
      <c r="H61" s="2496"/>
      <c r="I61" s="138"/>
      <c r="J61" s="2959">
        <f>J59+1</f>
        <v>6</v>
      </c>
      <c r="K61" s="3137" t="s">
        <v>2237</v>
      </c>
      <c r="L61" s="3137"/>
      <c r="M61" s="1759"/>
      <c r="N61" s="1760">
        <f ca="1">ROUND(N59*10000/'数据-汇总表'!E3,0)</f>
        <v>566</v>
      </c>
      <c r="O61" s="2497"/>
    </row>
    <row r="62" spans="1:35" ht="12.75">
      <c r="A62" s="3100" t="s">
        <v>2238</v>
      </c>
      <c r="B62" s="3101"/>
      <c r="C62" s="2964"/>
      <c r="D62" s="2964" t="s">
        <v>2239</v>
      </c>
      <c r="E62" s="192" t="s">
        <v>2240</v>
      </c>
      <c r="F62" s="2488"/>
      <c r="G62" s="2488"/>
      <c r="H62" s="2496"/>
      <c r="I62" s="138"/>
    </row>
    <row r="63" spans="1:35" ht="12.75">
      <c r="A63" s="203" t="s">
        <v>775</v>
      </c>
      <c r="B63" s="193" t="s">
        <v>2241</v>
      </c>
      <c r="C63" s="194">
        <f ca="1">ROUND((C64+C65)/(1+'数据-取费表'!C42),0)</f>
        <v>327</v>
      </c>
      <c r="D63" s="195"/>
      <c r="E63" s="196"/>
      <c r="F63" s="2488"/>
      <c r="G63" s="2488"/>
      <c r="H63" s="2496"/>
      <c r="I63" s="138"/>
      <c r="J63" s="3162" t="s">
        <v>2242</v>
      </c>
      <c r="K63" s="2957" t="s">
        <v>2243</v>
      </c>
      <c r="L63" s="1747">
        <f ca="1">IF(M49&gt;10000,M49*0.5%,IF(AND(M49&gt;1000,M49&lt;=10000),M49*1%,IF(AND(M49&gt;100,M49&lt;=1000),M49*3%,IF(AND(M49&gt;10,M49&lt;=100),M49*5%,M49*8%))))</f>
        <v>10.29</v>
      </c>
      <c r="M63" s="24">
        <f ca="1">ROUND(L63,1)</f>
        <v>10.3</v>
      </c>
      <c r="Z63" s="2422"/>
      <c r="AI63" s="2423"/>
    </row>
    <row r="64" spans="1:35" ht="14.25" customHeight="1">
      <c r="A64" s="197" t="s">
        <v>770</v>
      </c>
      <c r="B64" s="198" t="s">
        <v>2244</v>
      </c>
      <c r="C64" s="199">
        <f ca="1">D45</f>
        <v>343</v>
      </c>
      <c r="D64" s="200" t="s">
        <v>32</v>
      </c>
      <c r="E64" s="201"/>
      <c r="F64" s="2488"/>
      <c r="G64" s="2488"/>
      <c r="H64" s="2496"/>
      <c r="I64" s="138"/>
      <c r="J64" s="3162"/>
      <c r="K64" s="2957" t="s">
        <v>2245</v>
      </c>
      <c r="L64" s="1747">
        <f ca="1">IF(M49&gt;2000,M49*0.5%,IF(AND(M49&gt;1000,M49&lt;=2000),M49*0.6%,IF(AND(M49&gt;500,M49&lt;=1000),M49*0.7%,IF(AND(M49&gt;200,M49&lt;=500),M49*0.8%,IF(AND(M49&gt;100,M49&lt;=200),M49*0.9%,IF(AND(M49&gt;50,M49&lt;=100),M49*1%,IF(AND(M49&gt;20,M49&lt;=50),M49*1.5%,IF(AND(M49&gt;10,M49&lt;=20),M49*2%,IF(AND(M49&gt;1,M49&lt;=10),M49*2.5%)))))))))</f>
        <v>2.7440000000000002</v>
      </c>
      <c r="M64" s="24">
        <f t="shared" ref="M64:M65" ca="1" si="1">ROUND(L64,1)</f>
        <v>2.7</v>
      </c>
      <c r="N64" s="138" t="s">
        <v>2246</v>
      </c>
      <c r="Z64" s="2422"/>
      <c r="AI64" s="2423"/>
    </row>
    <row r="65" spans="1:35" ht="14.25" customHeight="1">
      <c r="A65" s="197" t="s">
        <v>771</v>
      </c>
      <c r="B65" s="198" t="s">
        <v>2247</v>
      </c>
      <c r="C65" s="202"/>
      <c r="D65" s="200"/>
      <c r="E65" s="201"/>
      <c r="F65" s="2488"/>
      <c r="G65" s="2488"/>
      <c r="H65" s="2496"/>
      <c r="I65" s="138"/>
      <c r="J65" s="3162"/>
      <c r="K65" s="2957" t="s">
        <v>2248</v>
      </c>
      <c r="L65" s="1747">
        <f ca="1">IF(M49&gt;1000,M49*0.1%,IF(AND(M49&gt;500,M49&lt;=1000),M49*0.5%,IF(AND(M49&gt;50,M49&lt;=500),M49*1%,IF(AND(M49&gt;1,M49&lt;=50),M49*1.5%))))</f>
        <v>3.43</v>
      </c>
      <c r="M65" s="24">
        <f t="shared" ca="1" si="1"/>
        <v>3.4</v>
      </c>
      <c r="N65" s="138" t="s">
        <v>2246</v>
      </c>
      <c r="Z65" s="2422"/>
      <c r="AI65" s="2423"/>
    </row>
    <row r="66" spans="1:35" ht="14.25" customHeight="1">
      <c r="A66" s="203" t="s">
        <v>772</v>
      </c>
      <c r="B66" s="204" t="s">
        <v>2249</v>
      </c>
      <c r="C66" s="205"/>
      <c r="D66" s="206" t="s">
        <v>32</v>
      </c>
      <c r="E66" s="1771" t="s">
        <v>1367</v>
      </c>
      <c r="F66" s="2488"/>
      <c r="G66" s="2488"/>
      <c r="H66" s="2496"/>
      <c r="I66" s="138"/>
      <c r="J66" s="3162"/>
      <c r="K66" s="2957" t="s">
        <v>2250</v>
      </c>
      <c r="L66" s="1747">
        <f ca="1">M49*0.5%</f>
        <v>1.7150000000000001</v>
      </c>
      <c r="M66" s="24">
        <f ca="1">IF(L66&gt;0.5,0.5,ROUND(L66,0))</f>
        <v>0.5</v>
      </c>
      <c r="N66" s="138" t="s">
        <v>2251</v>
      </c>
      <c r="Z66" s="2422"/>
      <c r="AI66" s="2423"/>
    </row>
    <row r="67" spans="1:35" ht="14.25" customHeight="1">
      <c r="A67" s="203" t="s">
        <v>773</v>
      </c>
      <c r="B67" s="204" t="s">
        <v>2252</v>
      </c>
      <c r="C67" s="207">
        <f ca="1">C63-C66</f>
        <v>327</v>
      </c>
      <c r="D67" s="200" t="s">
        <v>32</v>
      </c>
      <c r="E67" s="201"/>
      <c r="F67" s="2488"/>
      <c r="G67" s="2488"/>
      <c r="H67" s="2496"/>
      <c r="I67" s="138"/>
      <c r="J67" s="3162"/>
      <c r="K67" s="2957" t="s">
        <v>2253</v>
      </c>
      <c r="L67" s="1747">
        <f ca="1">IF(M49&gt;=10000,(8.25+(M49-10000)*0.01%),IF(AND(M49&gt;=8000,M49&lt;10000),(7.85+(M49-8000)*0.02%),IF(AND(M49&gt;=5000,M49&lt;8000),(6.65+(M49-5000)*0.04%),IF(AND(M49&gt;=2000,M49&lt;5000),(4.25+(PM49-2000)*0.08%),IF(AND(M49&gt;=1000,M49&lt;2000),(2.75+(M49-1000)*0.15%),IF(AND(M49&gt;=100,M49&lt;1000),(0.5+(M49-100)*0.25%),IF(AND(M49&gt;0,M49&lt;100),M49*0.5%)))))))</f>
        <v>1.1074999999999999</v>
      </c>
      <c r="M67" s="24">
        <f ca="1">ROUND(L67*0.9,1)</f>
        <v>1</v>
      </c>
      <c r="Z67" s="2422"/>
      <c r="AI67" s="2423"/>
    </row>
    <row r="68" spans="1:35" ht="14.25" customHeight="1" thickBot="1">
      <c r="A68" s="208" t="s">
        <v>774</v>
      </c>
      <c r="B68" s="209" t="s">
        <v>2254</v>
      </c>
      <c r="C68" s="210">
        <f ca="1">IF(C67&lt;=0,0,ROUND(C67*D68,0))</f>
        <v>18</v>
      </c>
      <c r="D68" s="211">
        <f>'数据-取费表'!B41</f>
        <v>5.5000000000000007E-2</v>
      </c>
      <c r="E68" s="212"/>
      <c r="F68" s="2488"/>
      <c r="G68" s="2488"/>
      <c r="H68" s="2496"/>
      <c r="I68" s="138"/>
      <c r="J68" s="3162"/>
      <c r="K68" s="2957" t="s">
        <v>2255</v>
      </c>
      <c r="L68" s="1747">
        <f ca="1">IF(M49&gt;10000,M49*0.5%,IF(AND(M49&gt;5000,M49&lt;=10000),M49*1%,IF(AND(M49&gt;1000,M49&lt;=5000),M49*2%,IF(AND(M49&gt;200,M49&lt;=1000),M49*3%,M49*5%))))</f>
        <v>10.29</v>
      </c>
      <c r="M68" s="24">
        <f ca="1">ROUND(L68,1)</f>
        <v>10.3</v>
      </c>
      <c r="Z68" s="2422"/>
      <c r="AI68" s="2423"/>
    </row>
    <row r="69" spans="1:35" s="2445" customFormat="1" ht="16.5" customHeight="1">
      <c r="A69" s="2499"/>
      <c r="B69" s="2500"/>
      <c r="C69" s="2501"/>
      <c r="D69" s="2502"/>
      <c r="E69" s="2503"/>
      <c r="F69" s="2164"/>
      <c r="G69" s="2164"/>
      <c r="H69" s="2163"/>
      <c r="I69" s="2417"/>
      <c r="J69" s="3162"/>
      <c r="K69" s="2957" t="s">
        <v>2256</v>
      </c>
      <c r="L69" s="2504"/>
      <c r="M69" s="24">
        <f ca="1">ROUND(SUM(M63:M68),0)</f>
        <v>28</v>
      </c>
      <c r="N69" s="1748">
        <f ca="1">M69/M49</f>
        <v>8.1632653061224483E-2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1" t="s">
        <v>2257</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2238</v>
      </c>
      <c r="B71" s="3101"/>
      <c r="C71" s="2964"/>
      <c r="D71" s="296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327</v>
      </c>
      <c r="D72" s="200" t="s">
        <v>32</v>
      </c>
      <c r="E72" s="2966"/>
      <c r="F72" s="2965"/>
      <c r="G72" s="296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2966"/>
      <c r="F73" s="2965"/>
      <c r="G73" s="296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6"/>
      <c r="F74" s="2965"/>
      <c r="G74" s="296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095" t="s">
        <v>2266</v>
      </c>
      <c r="F76" s="3072"/>
      <c r="G76" s="3072"/>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2" t="s">
        <v>2269</v>
      </c>
      <c r="H77" s="296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5.000000000000001E-3</v>
      </c>
      <c r="E78" s="3081" t="s">
        <v>2271</v>
      </c>
      <c r="F78" s="3082"/>
      <c r="G78" s="3082"/>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325</v>
      </c>
      <c r="D79" s="200" t="s">
        <v>32</v>
      </c>
      <c r="E79" s="2966"/>
      <c r="F79" s="2965"/>
      <c r="G79" s="296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162.5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2275</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2238</v>
      </c>
      <c r="B84" s="3101"/>
      <c r="C84" s="2964"/>
      <c r="D84" s="296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327</v>
      </c>
      <c r="D85" s="200" t="s">
        <v>32</v>
      </c>
      <c r="E85" s="2966"/>
      <c r="F85" s="2965"/>
      <c r="G85" s="296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2966"/>
      <c r="F86" s="2965"/>
      <c r="G86" s="296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61"/>
      <c r="F87" s="2962"/>
      <c r="G87" s="2962"/>
      <c r="H87" s="296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62"/>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62"/>
      <c r="G89" s="2962"/>
      <c r="H89" s="296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62"/>
      <c r="G90" s="2962"/>
      <c r="H90" s="296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81" t="s">
        <v>2284</v>
      </c>
      <c r="F91" s="3082"/>
      <c r="G91" s="308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81" t="s">
        <v>2288</v>
      </c>
      <c r="F92" s="3082"/>
      <c r="G92" s="3082"/>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5.000000000000001E-3</v>
      </c>
      <c r="E93" s="3081" t="s">
        <v>2271</v>
      </c>
      <c r="F93" s="3082"/>
      <c r="G93" s="3082"/>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092" t="s">
        <v>2292</v>
      </c>
      <c r="F94" s="3093"/>
      <c r="G94" s="3093"/>
      <c r="H94" s="309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325</v>
      </c>
      <c r="D95" s="200" t="s">
        <v>32</v>
      </c>
      <c r="E95" s="2966"/>
      <c r="F95" s="2965"/>
      <c r="G95" s="296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162.5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66" t="s">
        <v>2294</v>
      </c>
      <c r="B100" s="3067"/>
      <c r="C100" s="3067"/>
      <c r="D100" s="3083"/>
      <c r="E100" s="3067" t="s">
        <v>2295</v>
      </c>
      <c r="F100" s="3067"/>
      <c r="G100" s="3067"/>
      <c r="H100" s="3083"/>
      <c r="I100" s="138"/>
    </row>
    <row r="101" spans="1:35" ht="18.75" customHeight="1">
      <c r="A101" s="3145" t="s">
        <v>2296</v>
      </c>
      <c r="B101" s="3146"/>
      <c r="C101" s="734" t="str">
        <f>C4</f>
        <v>收益法</v>
      </c>
      <c r="D101" s="735" t="str">
        <f>D4</f>
        <v>比较法-商业</v>
      </c>
      <c r="E101" s="3159" t="s">
        <v>2297</v>
      </c>
      <c r="F101" s="3113"/>
      <c r="G101" s="2519" t="s">
        <v>2298</v>
      </c>
      <c r="H101" s="1043">
        <f ca="1">H118</f>
        <v>343</v>
      </c>
      <c r="I101" s="138"/>
    </row>
    <row r="102" spans="1:35" ht="18.75" customHeight="1">
      <c r="A102" s="3115" t="s">
        <v>2299</v>
      </c>
      <c r="B102" s="2519" t="s">
        <v>2298</v>
      </c>
      <c r="C102" s="734">
        <f ca="1">C19</f>
        <v>200</v>
      </c>
      <c r="D102" s="735">
        <f ca="1">D19</f>
        <v>439</v>
      </c>
      <c r="E102" s="3159"/>
      <c r="F102" s="3113"/>
      <c r="G102" s="2519" t="s">
        <v>2300</v>
      </c>
      <c r="H102" s="371">
        <f ca="1">I118</f>
        <v>7600</v>
      </c>
      <c r="I102" s="138"/>
    </row>
    <row r="103" spans="1:35" ht="42.75" customHeight="1">
      <c r="A103" s="3115"/>
      <c r="B103" s="2519" t="s">
        <v>2300</v>
      </c>
      <c r="C103" s="736">
        <f ca="1">C20</f>
        <v>4430</v>
      </c>
      <c r="D103" s="737">
        <f ca="1">D20</f>
        <v>9713</v>
      </c>
      <c r="E103" s="3154" t="s">
        <v>2301</v>
      </c>
      <c r="F103" s="3155"/>
      <c r="G103" s="2520" t="s">
        <v>2302</v>
      </c>
      <c r="H103" s="1043">
        <f>IF(D36="正常操作",H104+H105+H106,H105+H106)</f>
        <v>0</v>
      </c>
      <c r="I103" s="138"/>
    </row>
    <row r="104" spans="1:35" ht="18.75" customHeight="1">
      <c r="A104" s="3115" t="s">
        <v>2303</v>
      </c>
      <c r="B104" s="2521" t="s">
        <v>2298</v>
      </c>
      <c r="C104" s="738">
        <f ca="1">H118</f>
        <v>343</v>
      </c>
      <c r="D104" s="739"/>
      <c r="E104" s="2265" t="s">
        <v>2304</v>
      </c>
      <c r="F104" s="2256"/>
      <c r="G104" s="2520" t="s">
        <v>2302</v>
      </c>
      <c r="H104" s="1044">
        <f>IF(D36="同一抵押权人同一抵押物续贷",C36&amp;"（未扣减，详见特别提示）",C36)</f>
        <v>0</v>
      </c>
      <c r="I104" s="138"/>
    </row>
    <row r="105" spans="1:35" ht="18.75" customHeight="1" thickBot="1">
      <c r="A105" s="3116"/>
      <c r="B105" s="2522" t="s">
        <v>2300</v>
      </c>
      <c r="C105" s="740">
        <f ca="1">I118</f>
        <v>7600</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2" t="str">
        <f>IF(项目基本情况!E8="已注销","——","3.房地产抵押价值")</f>
        <v>3.房地产抵押价值</v>
      </c>
      <c r="F107" s="3113"/>
      <c r="G107" s="2519" t="s">
        <v>2298</v>
      </c>
      <c r="H107" s="1043">
        <f ca="1">IF(E107="——","——",H101-H103)</f>
        <v>343</v>
      </c>
      <c r="I107" s="138"/>
    </row>
    <row r="108" spans="1:35" ht="18.75" customHeight="1">
      <c r="A108" s="138"/>
      <c r="B108" s="138"/>
      <c r="C108" s="138"/>
      <c r="D108" s="138"/>
      <c r="E108" s="3112"/>
      <c r="F108" s="3113"/>
      <c r="G108" s="2519" t="s">
        <v>2300</v>
      </c>
      <c r="H108" s="371">
        <f ca="1">ROUND(H107*10000/'数据-汇总表'!E3,0)</f>
        <v>1302</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9" t="s">
        <v>2298</v>
      </c>
      <c r="H109" s="348" t="str">
        <f>IF(E109="——","——",H101-H105-H106)</f>
        <v>——</v>
      </c>
      <c r="I109" s="138"/>
    </row>
    <row r="110" spans="1:35" ht="18.75" customHeight="1">
      <c r="A110" s="138"/>
      <c r="B110" s="138"/>
      <c r="C110" s="138"/>
      <c r="D110" s="138"/>
      <c r="E110" s="3112"/>
      <c r="F110" s="3113"/>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3" t="str">
        <f>IF(E111="——","——",N59)</f>
        <v>——</v>
      </c>
      <c r="I111" s="138"/>
    </row>
    <row r="112" spans="1:35" ht="18.75" customHeight="1" thickBot="1">
      <c r="A112" s="138"/>
      <c r="B112" s="138"/>
      <c r="C112" s="138"/>
      <c r="D112" s="138"/>
      <c r="E112" s="3149"/>
      <c r="F112" s="3150"/>
      <c r="G112" s="2524" t="s">
        <v>2300</v>
      </c>
      <c r="H112" s="788" t="str">
        <f>IF(E111="——","——",N61)</f>
        <v>——</v>
      </c>
      <c r="I112" s="138"/>
    </row>
    <row r="113" spans="1:11" ht="18.75" customHeight="1">
      <c r="A113" s="138"/>
      <c r="B113" s="138"/>
      <c r="C113" s="138"/>
      <c r="D113" s="138"/>
      <c r="E113" s="3117" t="s">
        <v>2306</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2308</v>
      </c>
      <c r="B115" s="3131"/>
      <c r="C115" s="3131"/>
      <c r="D115" s="3131"/>
      <c r="E115" s="3131"/>
      <c r="F115" s="3131"/>
      <c r="G115" s="3131"/>
      <c r="H115" s="3131"/>
      <c r="I115" s="3132"/>
    </row>
    <row r="116" spans="1:11" ht="27" customHeight="1">
      <c r="A116" s="3023" t="s">
        <v>2309</v>
      </c>
      <c r="B116" s="3118" t="s">
        <v>2310</v>
      </c>
      <c r="C116" s="3118" t="s">
        <v>2311</v>
      </c>
      <c r="D116" s="3134" t="s">
        <v>2312</v>
      </c>
      <c r="E116" s="3135"/>
      <c r="F116" s="3126" t="s">
        <v>2313</v>
      </c>
      <c r="G116" s="3126"/>
      <c r="H116" s="3023" t="s">
        <v>2314</v>
      </c>
      <c r="I116" s="3023"/>
    </row>
    <row r="117" spans="1:11" ht="18.75" customHeight="1">
      <c r="A117" s="3023"/>
      <c r="B117" s="3119"/>
      <c r="C117" s="3119"/>
      <c r="D117" s="2955" t="s">
        <v>2315</v>
      </c>
      <c r="E117" s="2955" t="s">
        <v>2316</v>
      </c>
      <c r="F117" s="2955" t="s">
        <v>2315</v>
      </c>
      <c r="G117" s="2955" t="s">
        <v>2317</v>
      </c>
      <c r="H117" s="2955" t="s">
        <v>2315</v>
      </c>
      <c r="I117" s="2955" t="s">
        <v>2317</v>
      </c>
    </row>
    <row r="118" spans="1:11" ht="24.75" customHeight="1">
      <c r="A118" s="2525" t="str">
        <f>项目基本情况!S2</f>
        <v>出让国有建设用地使用权及在建建筑物房地产</v>
      </c>
      <c r="B118" s="2955">
        <f>M18</f>
        <v>451.5</v>
      </c>
      <c r="C118" s="2955">
        <f>M19</f>
        <v>519.54999999999995</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343</v>
      </c>
      <c r="I118" s="2955">
        <f ca="1">ROUND(IF(D32="楼面单价",C32,H118*10000/B118),0)</f>
        <v>7600</v>
      </c>
    </row>
    <row r="119" spans="1:11" ht="18.75" customHeight="1">
      <c r="A119" s="3023" t="s">
        <v>2318</v>
      </c>
      <c r="B119" s="3023"/>
      <c r="C119" s="3023"/>
      <c r="D119" s="3123" t="e">
        <f ca="1">NUMBERSTRING(INT(D118*10000),2)&amp;"元整"</f>
        <v>#REF!</v>
      </c>
      <c r="E119" s="3125"/>
      <c r="F119" s="3123" t="e">
        <f ca="1">NUMBERSTRING(INT(F118*10000),2)&amp;"元整"</f>
        <v>#REF!</v>
      </c>
      <c r="G119" s="3125"/>
      <c r="H119" s="3123" t="str">
        <f ca="1">NUMBERSTRING(INT(H118*10000),2)&amp;"元整"</f>
        <v>叁佰肆拾叁万元整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27" t="s">
        <v>2318</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343</v>
      </c>
      <c r="E122" s="3152"/>
      <c r="F122" s="3152"/>
      <c r="G122" s="3152"/>
      <c r="H122" s="3152"/>
      <c r="I122" s="3153"/>
    </row>
    <row r="123" spans="1:11" ht="18.75" customHeight="1">
      <c r="A123" s="3023" t="s">
        <v>2318</v>
      </c>
      <c r="B123" s="3023"/>
      <c r="C123" s="3023"/>
      <c r="D123" s="3123" t="str">
        <f ca="1">NUMBERSTRING(INT(D122*10000),2)&amp;"元整"</f>
        <v>叁佰肆拾叁万元整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2318</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2318</v>
      </c>
      <c r="B127" s="3023"/>
      <c r="C127" s="3023"/>
      <c r="D127" s="3123" t="e">
        <f>NUMBERSTRING(INT(D126*10000),2)&amp;"元整"</f>
        <v>#VALUE!</v>
      </c>
      <c r="E127" s="3124"/>
      <c r="F127" s="3124"/>
      <c r="G127" s="3124"/>
      <c r="H127" s="3124"/>
      <c r="I127" s="3125"/>
    </row>
    <row r="128" spans="1:11" ht="21.75" customHeight="1">
      <c r="A128" s="3133" t="s">
        <v>2319</v>
      </c>
      <c r="B128" s="3133"/>
      <c r="C128" s="3133"/>
      <c r="D128" s="3133"/>
      <c r="E128" s="3133"/>
      <c r="F128" s="3133"/>
      <c r="G128" s="3133"/>
      <c r="H128" s="3133"/>
      <c r="I128" s="313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7" sqref="C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t="s">
        <v>3061</v>
      </c>
      <c r="D1" s="1818" t="s">
        <v>70</v>
      </c>
      <c r="E1" s="1819" t="s">
        <v>1382</v>
      </c>
      <c r="F1" s="1281">
        <f ca="1">J53</f>
        <v>32.799999999999997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200</v>
      </c>
      <c r="C2" s="1843" t="s">
        <v>1511</v>
      </c>
      <c r="D2" s="1843"/>
      <c r="E2" s="1844"/>
      <c r="F2" s="1845"/>
      <c r="G2" s="1846"/>
      <c r="H2" s="1838"/>
      <c r="I2" s="1838"/>
      <c r="J2" s="1838"/>
      <c r="K2" s="1839"/>
      <c r="L2" s="1838"/>
      <c r="M2" s="1838"/>
    </row>
    <row r="3" spans="1:37" ht="18" customHeight="1" thickBot="1">
      <c r="A3" s="1847" t="s">
        <v>1512</v>
      </c>
      <c r="B3" s="1848">
        <f ca="1">IF(ISERROR(B2*10000/F43),0,ROUND(B2*10000/F43,0))</f>
        <v>4430</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17</v>
      </c>
      <c r="D5" s="1820" t="s">
        <v>1397</v>
      </c>
      <c r="E5" s="1291"/>
      <c r="F5" s="1292"/>
      <c r="G5" s="1849"/>
      <c r="H5" s="344">
        <v>1</v>
      </c>
      <c r="I5" s="345" t="s">
        <v>1396</v>
      </c>
      <c r="J5" s="1290">
        <f ca="1">J6+J10+J12</f>
        <v>0</v>
      </c>
      <c r="K5" s="1820" t="s">
        <v>1397</v>
      </c>
      <c r="L5" s="1291"/>
      <c r="M5" s="1292"/>
    </row>
    <row r="6" spans="1:37" ht="18" customHeight="1">
      <c r="A6" s="1289" t="s">
        <v>1032</v>
      </c>
      <c r="B6" s="3170" t="s">
        <v>1398</v>
      </c>
      <c r="C6" s="1294">
        <f ca="1">ROUND(F6*F8*F7*(1-F9)/10000,0)</f>
        <v>17</v>
      </c>
      <c r="D6" s="164" t="s">
        <v>3031</v>
      </c>
      <c r="E6" s="347" t="s">
        <v>1400</v>
      </c>
      <c r="F6" s="348">
        <f ca="1">INDIRECT("'数据-取费表'!u"&amp;$G$1)</f>
        <v>1.2</v>
      </c>
      <c r="G6" s="1849"/>
      <c r="H6" s="1289" t="s">
        <v>1032</v>
      </c>
      <c r="I6" s="3170" t="s">
        <v>1398</v>
      </c>
      <c r="J6" s="346">
        <f ca="1">ROUND(M6*M8*M7*(1-M9)/10000,0)</f>
        <v>0</v>
      </c>
      <c r="K6" s="164" t="s">
        <v>3030</v>
      </c>
      <c r="L6" s="347" t="s">
        <v>1400</v>
      </c>
      <c r="M6" s="348">
        <f ca="1">INDIRECT("'数据-取费表'!z"&amp;$G$1)</f>
        <v>0</v>
      </c>
    </row>
    <row r="7" spans="1:37" ht="18" customHeight="1">
      <c r="A7" s="1293"/>
      <c r="B7" s="3171"/>
      <c r="C7" s="1295"/>
      <c r="D7" s="352"/>
      <c r="E7" s="1296" t="s">
        <v>1401</v>
      </c>
      <c r="F7" s="348">
        <f ca="1">IF(INDIRECT("'数据-取费表'!ah"&amp;$G$1)="",INDIRECT("'数据-取费表'!k"&amp;$G$1),INDIRECT("'数据-取费表'!ah"&amp;$G$1))</f>
        <v>451.5</v>
      </c>
      <c r="G7" s="1849"/>
      <c r="H7" s="349"/>
      <c r="I7" s="3171"/>
      <c r="J7" s="351"/>
      <c r="K7" s="352"/>
      <c r="L7" s="347" t="s">
        <v>1401</v>
      </c>
      <c r="M7" s="348">
        <f ca="1">F7</f>
        <v>451.5</v>
      </c>
    </row>
    <row r="8" spans="1:37" ht="18" customHeight="1">
      <c r="A8" s="349"/>
      <c r="B8" s="3171"/>
      <c r="C8" s="351"/>
      <c r="D8" s="352"/>
      <c r="E8" s="347" t="s">
        <v>1402</v>
      </c>
      <c r="F8" s="348">
        <f ca="1">INDIRECT("'数据-取费表'!ai"&amp;$G$1)</f>
        <v>365</v>
      </c>
      <c r="G8" s="1849"/>
      <c r="H8" s="349"/>
      <c r="I8" s="3171"/>
      <c r="J8" s="351"/>
      <c r="K8" s="352"/>
      <c r="L8" s="347" t="s">
        <v>1402</v>
      </c>
      <c r="M8" s="348">
        <f ca="1">INDIRECT("'数据-取费表'!ai"&amp;$G$1)</f>
        <v>365</v>
      </c>
    </row>
    <row r="9" spans="1:37" ht="18" customHeight="1">
      <c r="A9" s="349"/>
      <c r="B9" s="3172"/>
      <c r="C9" s="351"/>
      <c r="D9" s="352"/>
      <c r="E9" s="347" t="s">
        <v>1403</v>
      </c>
      <c r="F9" s="357">
        <f ca="1">INDIRECT("'数据-取费表'!w"&amp;$G$1)</f>
        <v>0.15</v>
      </c>
      <c r="G9" s="1849"/>
      <c r="H9" s="349"/>
      <c r="I9" s="3172"/>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3040</v>
      </c>
      <c r="E10" s="358" t="s">
        <v>1405</v>
      </c>
      <c r="F10" s="3312"/>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122</v>
      </c>
      <c r="D13" s="1329" t="s">
        <v>1410</v>
      </c>
      <c r="E13" s="1329" t="s">
        <v>1411</v>
      </c>
      <c r="F13" s="1330">
        <f ca="1">INDIRECT("'数据-取费表'!y"&amp;$G$1)</f>
        <v>0.86</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95</v>
      </c>
      <c r="D14" s="1798" t="s">
        <v>1413</v>
      </c>
      <c r="E14" s="1792"/>
      <c r="F14" s="364"/>
      <c r="G14" s="1849"/>
      <c r="H14" s="1199" t="s">
        <v>1032</v>
      </c>
      <c r="I14" s="347" t="s">
        <v>1414</v>
      </c>
      <c r="J14" s="24">
        <f ca="1">C29</f>
        <v>142</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4</v>
      </c>
      <c r="K16" s="1335" t="s">
        <v>1420</v>
      </c>
      <c r="L16" s="1336"/>
      <c r="M16" s="1292"/>
    </row>
    <row r="17" spans="1:37" s="1856" customFormat="1" ht="18" customHeight="1">
      <c r="A17" s="1199" t="s">
        <v>1385</v>
      </c>
      <c r="B17" s="347" t="s">
        <v>1421</v>
      </c>
      <c r="C17" s="24">
        <f ca="1">ROUND(F17*(F43+INDIRECT("'数据-取费表'!S"&amp;$G$1))/10000,0)</f>
        <v>9</v>
      </c>
      <c r="D17" s="347" t="s">
        <v>1422</v>
      </c>
      <c r="E17" s="347" t="s">
        <v>1423</v>
      </c>
      <c r="F17" s="26">
        <f>'数据-取费表'!B35</f>
        <v>200</v>
      </c>
      <c r="G17" s="1852"/>
      <c r="H17" s="1199" t="s">
        <v>1032</v>
      </c>
      <c r="I17" s="347" t="s">
        <v>1424</v>
      </c>
      <c r="J17" s="24">
        <f ca="1">ROUND(IF(项目基本情况!B11="自然人",J6*M17/(1+'数据-取费表'!C42),J18+J19+J20),1)</f>
        <v>1.5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108</v>
      </c>
      <c r="D19" s="140" t="s">
        <v>1431</v>
      </c>
      <c r="E19" s="1816"/>
      <c r="F19" s="26"/>
      <c r="G19" s="1849"/>
      <c r="H19" s="1199" t="s">
        <v>1033</v>
      </c>
      <c r="I19" s="347" t="s">
        <v>1432</v>
      </c>
      <c r="J19" s="24">
        <f ca="1">IF(K19="按租金收入计税",ROUND(J6*M19/(1+'数据-取费表'!C42),2),ROUND(C29*M19*0.7,2))</f>
        <v>1.19</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0.31</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519.54999999999995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2.1</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-4</v>
      </c>
      <c r="K25" s="1343" t="s">
        <v>1459</v>
      </c>
      <c r="L25" s="1344"/>
      <c r="M25" s="1345"/>
    </row>
    <row r="26" spans="1:37">
      <c r="A26" s="1199" t="s">
        <v>1031</v>
      </c>
      <c r="B26" s="347" t="s">
        <v>1460</v>
      </c>
      <c r="C26" s="24">
        <f ca="1">ROUND((C19+C20)*F26,0)</f>
        <v>17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0.06</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142</v>
      </c>
      <c r="D29" s="1340"/>
      <c r="E29" s="1338"/>
      <c r="F29" s="1341"/>
      <c r="G29" s="1852"/>
      <c r="H29" s="380" t="s">
        <v>1030</v>
      </c>
      <c r="I29" s="381" t="s">
        <v>1474</v>
      </c>
      <c r="J29" s="382">
        <f ca="1">ROUND(J26/(1+F40)^F41,0)</f>
        <v>0</v>
      </c>
      <c r="K29" s="383" t="s">
        <v>1475</v>
      </c>
      <c r="L29" s="384"/>
      <c r="M29" s="385">
        <f ca="1">INDIRECT("'数据-取费表'!k"&amp;$G$1)</f>
        <v>451.5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3.1</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IF(项目基本情况!B11="自然人","——",ROUND(C6*F32/(1+'数据-取费表'!C42),2))</f>
        <v>0.89</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1.94</v>
      </c>
      <c r="D33" s="1826" t="s">
        <v>3117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0.31</v>
      </c>
      <c r="D34" s="370" t="s">
        <v>1437</v>
      </c>
      <c r="E34" s="347" t="s">
        <v>1438</v>
      </c>
      <c r="F34" s="3314">
        <f>'数据-取费表'!B52</f>
        <v>6</v>
      </c>
      <c r="G34" s="1849"/>
      <c r="H34" s="743"/>
      <c r="I34" s="1858"/>
      <c r="J34" s="1859"/>
      <c r="K34" s="1861"/>
      <c r="L34" s="1862"/>
      <c r="M34" s="1862"/>
    </row>
    <row r="35" spans="1:18" ht="18" customHeight="1">
      <c r="A35" s="1351"/>
      <c r="B35" s="1349"/>
      <c r="C35" s="29"/>
      <c r="D35" s="373"/>
      <c r="E35" s="347" t="s">
        <v>1442</v>
      </c>
      <c r="F35" s="3313">
        <f ca="1">INDIRECT("'数据-取费表'!r"&amp;$G$1)</f>
        <v>519.54999999999995</v>
      </c>
      <c r="G35" s="1849"/>
      <c r="H35" s="743"/>
      <c r="I35" s="1858"/>
      <c r="J35" s="1859"/>
      <c r="K35" s="1860"/>
      <c r="L35" s="1857"/>
      <c r="M35" s="1857"/>
    </row>
    <row r="36" spans="1:18" ht="18" customHeight="1">
      <c r="A36" s="1350" t="s">
        <v>1036</v>
      </c>
      <c r="B36" s="347" t="s">
        <v>1444</v>
      </c>
      <c r="C36" s="24">
        <f ca="1">ROUND(C29*F36,1)</f>
        <v>2.1</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0.2</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197</v>
      </c>
      <c r="D40" s="370" t="s">
        <v>1464</v>
      </c>
      <c r="E40" s="347" t="s">
        <v>1465</v>
      </c>
      <c r="F40" s="357">
        <f ca="1">INDIRECT("'数据-取费表'!I"&amp;$G$1)</f>
        <v>0.06</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32.799999999999997</v>
      </c>
      <c r="G41" s="1849"/>
      <c r="H41" s="730"/>
      <c r="I41" s="1858"/>
      <c r="J41" s="1859"/>
      <c r="K41" s="749"/>
      <c r="L41" s="730"/>
      <c r="M41" s="730"/>
    </row>
    <row r="42" spans="1:18" ht="18" customHeight="1">
      <c r="A42" s="353"/>
      <c r="B42" s="354"/>
      <c r="C42" s="355"/>
      <c r="D42" s="373"/>
      <c r="E42" s="347" t="s">
        <v>1472</v>
      </c>
      <c r="F42" s="357">
        <f ca="1">INDIRECT("'数据-取费表'!v"&amp;$G$1)</f>
        <v>0.02</v>
      </c>
      <c r="G42" s="1849"/>
      <c r="H42" s="730"/>
      <c r="I42" s="1858"/>
      <c r="J42" s="1859"/>
      <c r="K42" s="749"/>
      <c r="L42" s="730"/>
      <c r="M42" s="730"/>
    </row>
    <row r="43" spans="1:18" ht="18" customHeight="1" thickBot="1">
      <c r="A43" s="380" t="s">
        <v>1030</v>
      </c>
      <c r="B43" s="381" t="s">
        <v>1482</v>
      </c>
      <c r="C43" s="382">
        <f ca="1">ROUND(C40*10000/F43,0)</f>
        <v>4363</v>
      </c>
      <c r="D43" s="383" t="s">
        <v>1483</v>
      </c>
      <c r="E43" s="384" t="s">
        <v>1484</v>
      </c>
      <c r="F43" s="385">
        <f ca="1">INDIRECT("'数据-取费表'!k"&amp;$G$1)</f>
        <v>451.5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-410</v>
      </c>
      <c r="D46" s="1870" t="str">
        <f>C2</f>
        <v>万元</v>
      </c>
      <c r="E46" s="1864"/>
      <c r="F46" s="1864"/>
      <c r="I46" s="1871" t="s">
        <v>1516</v>
      </c>
      <c r="J46" s="1872"/>
      <c r="K46" s="1873"/>
      <c r="L46" s="1874">
        <f ca="1">IF(M47="住宅",0,IF(L48&gt;J51,L60,J60))</f>
        <v>3</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3093</v>
      </c>
      <c r="K47" s="1880" t="s">
        <v>1522</v>
      </c>
      <c r="L47" s="1881">
        <f ca="1">INDIRECT("'数据-取费表'!d"&amp;$G$1)</f>
        <v>40</v>
      </c>
      <c r="M47" s="1836" t="str">
        <f>IF(ISNUMBER(FIND("住宅",C1)),"住宅","非住宅")</f>
        <v>非住宅</v>
      </c>
      <c r="O47" s="1882" t="s">
        <v>1037</v>
      </c>
      <c r="P47" s="1883" t="s">
        <v>1523</v>
      </c>
      <c r="Q47" s="1884">
        <f ca="1">C40+J29</f>
        <v>197</v>
      </c>
      <c r="R47" s="1884" t="s">
        <v>1524</v>
      </c>
    </row>
    <row r="48" spans="1:18" s="1840" customFormat="1" ht="28.5" thickBot="1">
      <c r="A48" s="1358" t="s">
        <v>1132</v>
      </c>
      <c r="B48" s="345" t="s">
        <v>1396</v>
      </c>
      <c r="C48" s="1815">
        <f ca="1">C49+C53+C55</f>
        <v>0</v>
      </c>
      <c r="D48" s="1360"/>
      <c r="E48" s="1361"/>
      <c r="F48" s="1179"/>
      <c r="G48" s="790"/>
      <c r="H48" s="791"/>
      <c r="I48" s="1885" t="s">
        <v>1525</v>
      </c>
      <c r="J48" s="1886" t="s">
        <v>3115</v>
      </c>
      <c r="K48" s="1887" t="s">
        <v>1526</v>
      </c>
      <c r="L48" s="1888">
        <f ca="1">INDIRECT("'数据-取费表'!f"&amp;$G$1)</f>
        <v>32.799999999999997</v>
      </c>
      <c r="O48" s="1882" t="s">
        <v>1038</v>
      </c>
      <c r="P48" s="1883" t="s">
        <v>1527</v>
      </c>
      <c r="Q48" s="1884">
        <f ca="1">J60</f>
        <v>3</v>
      </c>
      <c r="R48" s="1884" t="s">
        <v>1528</v>
      </c>
    </row>
    <row r="49" spans="1:18" s="1840" customFormat="1" ht="13.5" thickBot="1">
      <c r="A49" s="1192" t="s">
        <v>1133</v>
      </c>
      <c r="B49" s="1827" t="s">
        <v>1485</v>
      </c>
      <c r="C49" s="1362">
        <f ca="1">ROUND(F49*F51*F50*(1-F52)/10000,0)</f>
        <v>0</v>
      </c>
      <c r="D49" s="1274" t="s">
        <v>3032</v>
      </c>
      <c r="E49" s="1828" t="s">
        <v>1486</v>
      </c>
      <c r="F49" s="1279"/>
      <c r="G49" s="1889"/>
      <c r="H49" s="791"/>
      <c r="I49" s="1885" t="s">
        <v>1529</v>
      </c>
      <c r="J49" s="1890">
        <v>2012</v>
      </c>
      <c r="K49" s="1887" t="s">
        <v>1530</v>
      </c>
      <c r="L49" s="1891"/>
      <c r="O49" s="1892" t="s">
        <v>1039</v>
      </c>
      <c r="P49" s="1883" t="s">
        <v>1531</v>
      </c>
      <c r="Q49" s="1884">
        <f ca="1">C29</f>
        <v>142</v>
      </c>
      <c r="R49" s="1884" t="s">
        <v>1524</v>
      </c>
    </row>
    <row r="50" spans="1:18" s="1840" customFormat="1" ht="13.5" thickBot="1">
      <c r="A50" s="1193"/>
      <c r="B50" s="1196"/>
      <c r="C50" s="1366"/>
      <c r="D50" s="1170"/>
      <c r="E50" s="1275" t="s">
        <v>1401</v>
      </c>
      <c r="F50" s="1276">
        <f ca="1">F7</f>
        <v>451.5</v>
      </c>
      <c r="H50" s="791"/>
      <c r="I50" s="1885" t="s">
        <v>1532</v>
      </c>
      <c r="J50" s="1893">
        <f>SUMPRODUCT((I63:I65=J47)*(J62:L62=J48)*(J63:L65))</f>
        <v>60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53</v>
      </c>
      <c r="K51" s="1898" t="s">
        <v>1536</v>
      </c>
      <c r="L51" s="1899">
        <f ca="1">ROUND(-PV(INDIRECT("'数据-取费表'!h"&amp;$G$1),L48,(C39-C13*C76),0),0)</f>
        <v>9</v>
      </c>
      <c r="M51" s="1900"/>
      <c r="O51" s="1892" t="s">
        <v>1041</v>
      </c>
      <c r="P51" s="1883" t="s">
        <v>1537</v>
      </c>
      <c r="Q51" s="1895">
        <f>J52</f>
        <v>9.0000000000000011E-2</v>
      </c>
      <c r="R51" s="1884"/>
    </row>
    <row r="52" spans="1:18" s="1840" customFormat="1" ht="13.5" thickBot="1">
      <c r="A52" s="1194"/>
      <c r="B52" s="1196"/>
      <c r="C52" s="1197"/>
      <c r="D52" s="1170"/>
      <c r="E52" s="1198" t="s">
        <v>1403</v>
      </c>
      <c r="F52" s="1273"/>
      <c r="I52" s="1901" t="s">
        <v>1538</v>
      </c>
      <c r="J52" s="3311">
        <f>'数据-取费表'!J6+0.5%</f>
        <v>9.0000000000000011E-2</v>
      </c>
      <c r="K52" s="1901" t="s">
        <v>1539</v>
      </c>
      <c r="L52" s="1902"/>
      <c r="O52" s="1892" t="s">
        <v>1042</v>
      </c>
      <c r="P52" s="1883" t="s">
        <v>1540</v>
      </c>
      <c r="Q52" s="1884">
        <f ca="1">J53</f>
        <v>32.799999999999997</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1">
        <f ca="1">IF(M47="住宅",IF(D1="——",MAX(J51,L48),MAX(J51,L48-'数据-取费表'!B24)),IF(D1="——",MIN(J51,L48),MIN(J51,L48-'数据-取费表'!B24)))</f>
        <v>32.799999999999997</v>
      </c>
      <c r="K53" s="3168" t="s">
        <v>1543</v>
      </c>
      <c r="L53" s="3169"/>
      <c r="O53" s="1882" t="s">
        <v>1043</v>
      </c>
      <c r="P53" s="1883" t="s">
        <v>1544</v>
      </c>
      <c r="Q53" s="1884">
        <f ca="1">Q47+Q48</f>
        <v>200</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0.33700000000000002</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122</v>
      </c>
      <c r="D56" s="1911"/>
      <c r="E56" s="1912"/>
      <c r="F56" s="1904"/>
      <c r="I56" s="1913" t="s">
        <v>1549</v>
      </c>
      <c r="J56" s="1914" t="s">
        <v>3116</v>
      </c>
      <c r="K56" s="1885" t="s">
        <v>1550</v>
      </c>
      <c r="L56" s="1888" t="str">
        <f ca="1">IF(L48&lt;J51,"——",L48-J53)</f>
        <v>——</v>
      </c>
      <c r="O56" s="1882" t="s">
        <v>1037</v>
      </c>
      <c r="P56" s="1883" t="s">
        <v>1523</v>
      </c>
      <c r="Q56" s="1884">
        <f ca="1">C40+J29</f>
        <v>197</v>
      </c>
      <c r="R56" s="1884" t="s">
        <v>1524</v>
      </c>
    </row>
    <row r="57" spans="1:18" s="1840" customFormat="1" ht="24.75" thickBot="1">
      <c r="A57" s="1915"/>
      <c r="B57" s="1167" t="s">
        <v>1473</v>
      </c>
      <c r="C57" s="282">
        <f ca="1">C29</f>
        <v>142</v>
      </c>
      <c r="D57" s="1916"/>
      <c r="E57" s="1917"/>
      <c r="F57" s="1918"/>
      <c r="I57" s="1919" t="s">
        <v>1551</v>
      </c>
      <c r="J57" s="1920">
        <f ca="1">IF(OR(M47="住宅",J51&lt;L48,J56="是"),"——",J51-L48)</f>
        <v>20.200000000000003</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15</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12.2</v>
      </c>
      <c r="D59" s="1180" t="s">
        <v>1425</v>
      </c>
      <c r="E59" s="1181" t="s">
        <v>1426</v>
      </c>
      <c r="F59" s="368" t="str">
        <f ca="1">IF(项目基本情况!B11="企业","",IF(INDIRECT("'数据-取费表'!c"&amp;$G$1)="住宅",5%,IF(F49*F50*F51/12/(1+'数据-取费表'!C42)&gt;20000,12%,7%)))</f>
        <v/>
      </c>
      <c r="I59" s="1919" t="s">
        <v>1558</v>
      </c>
      <c r="J59" s="1920">
        <f ca="1">IF(OR(M47="住宅",J51&lt;L48,J56="是"),"——",ROUND(C29*J58,0))</f>
        <v>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3</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11.93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0.31</v>
      </c>
      <c r="D62" s="1182" t="s">
        <v>1492</v>
      </c>
      <c r="E62" s="1167" t="s">
        <v>1493</v>
      </c>
      <c r="F62" s="371">
        <f t="shared" si="0"/>
        <v>6</v>
      </c>
      <c r="I62" s="1926" t="s">
        <v>1565</v>
      </c>
      <c r="J62" s="1927" t="s">
        <v>1566</v>
      </c>
      <c r="K62" s="1927" t="s">
        <v>1567</v>
      </c>
      <c r="L62" s="1927" t="s">
        <v>1568</v>
      </c>
      <c r="M62" s="1928" t="s">
        <v>1569</v>
      </c>
      <c r="O62" s="1882" t="s">
        <v>1043</v>
      </c>
      <c r="P62" s="1883" t="s">
        <v>1570</v>
      </c>
      <c r="Q62" s="1884">
        <f ca="1">Q56+Q57</f>
        <v>197</v>
      </c>
      <c r="R62" s="1884" t="s">
        <v>1044</v>
      </c>
    </row>
    <row r="63" spans="1:18" s="1840" customFormat="1" ht="13.5" thickBot="1">
      <c r="A63" s="372"/>
      <c r="B63" s="1173"/>
      <c r="C63" s="29"/>
      <c r="D63" s="1183"/>
      <c r="E63" s="1167" t="s">
        <v>1494</v>
      </c>
      <c r="F63" s="348">
        <f t="shared" ca="1" si="0"/>
        <v>519.54999999999995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2.1</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0.2</v>
      </c>
      <c r="D65" s="1181" t="s">
        <v>1449</v>
      </c>
      <c r="E65" s="1167" t="s">
        <v>1450</v>
      </c>
      <c r="F65" s="376">
        <f t="shared" ca="1" si="0"/>
        <v>1.5E-3</v>
      </c>
      <c r="I65" s="1926" t="s">
        <v>1574</v>
      </c>
      <c r="J65" s="1927">
        <v>40</v>
      </c>
      <c r="K65" s="1927">
        <v>30</v>
      </c>
      <c r="L65" s="1927">
        <v>50</v>
      </c>
      <c r="M65" s="1929">
        <v>0.02</v>
      </c>
      <c r="O65" s="1882" t="s">
        <v>1037</v>
      </c>
      <c r="P65" s="1883" t="s">
        <v>1575</v>
      </c>
      <c r="Q65" s="1884">
        <f ca="1">C40+J29</f>
        <v>197</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-15</v>
      </c>
      <c r="D67" s="1180" t="s">
        <v>1459</v>
      </c>
      <c r="E67" s="1185"/>
      <c r="F67" s="1186"/>
      <c r="O67" s="1892" t="s">
        <v>1039</v>
      </c>
      <c r="P67" s="1883" t="s">
        <v>1557</v>
      </c>
      <c r="Q67" s="1930">
        <f ca="1">L51</f>
        <v>9</v>
      </c>
      <c r="R67" s="1884" t="s">
        <v>1577</v>
      </c>
    </row>
    <row r="68" spans="1:18" s="1840" customFormat="1" ht="16.5" thickBot="1">
      <c r="A68" s="1164" t="s">
        <v>1029</v>
      </c>
      <c r="B68" s="1165" t="s">
        <v>1480</v>
      </c>
      <c r="C68" s="346">
        <f ca="1">ROUND(C67*(1-((1+F70)/(1+F68))^F69)/(F68-F70),0)</f>
        <v>-213</v>
      </c>
      <c r="D68" s="1182" t="s">
        <v>1464</v>
      </c>
      <c r="E68" s="1167" t="s">
        <v>1465</v>
      </c>
      <c r="F68" s="357">
        <f ca="1">F40</f>
        <v>0.06</v>
      </c>
      <c r="O68" s="1892" t="s">
        <v>1040</v>
      </c>
      <c r="P68" s="1931" t="s">
        <v>1578</v>
      </c>
      <c r="Q68" s="1884">
        <f ca="1">ROUND(Q69-Q70*Q71,0)</f>
        <v>1</v>
      </c>
      <c r="R68" s="1884" t="s">
        <v>1048</v>
      </c>
    </row>
    <row r="69" spans="1:18" s="1840" customFormat="1" ht="13.5" thickBot="1">
      <c r="A69" s="1168"/>
      <c r="B69" s="1169"/>
      <c r="C69" s="351"/>
      <c r="D69" s="1187" t="s">
        <v>1468</v>
      </c>
      <c r="E69" s="1167" t="s">
        <v>1469</v>
      </c>
      <c r="F69" s="379">
        <f ca="1">F41</f>
        <v>32.799999999999997</v>
      </c>
      <c r="O69" s="1892" t="s">
        <v>1045</v>
      </c>
      <c r="P69" s="1931" t="s">
        <v>1579</v>
      </c>
      <c r="Q69" s="1884">
        <f ca="1">C39</f>
        <v>11</v>
      </c>
      <c r="R69" s="1884" t="s">
        <v>1524</v>
      </c>
    </row>
    <row r="70" spans="1:18" s="1840" customFormat="1" ht="13.5" thickBot="1">
      <c r="A70" s="1171"/>
      <c r="B70" s="1172"/>
      <c r="C70" s="355"/>
      <c r="D70" s="1183"/>
      <c r="E70" s="1167" t="s">
        <v>1472</v>
      </c>
      <c r="F70" s="1273"/>
      <c r="O70" s="1892" t="s">
        <v>1046</v>
      </c>
      <c r="P70" s="1931" t="s">
        <v>1580</v>
      </c>
      <c r="Q70" s="1884">
        <f ca="1">C13</f>
        <v>122</v>
      </c>
      <c r="R70" s="1884" t="s">
        <v>1524</v>
      </c>
    </row>
    <row r="71" spans="1:18" s="1840" customFormat="1" ht="13.5" thickBot="1">
      <c r="A71" s="1188" t="s">
        <v>1030</v>
      </c>
      <c r="B71" s="1189" t="s">
        <v>1482</v>
      </c>
      <c r="C71" s="382">
        <f ca="1">ROUND(C68*10000/F71,0)</f>
        <v>-4718</v>
      </c>
      <c r="D71" s="1190" t="s">
        <v>1483</v>
      </c>
      <c r="E71" s="1191" t="s">
        <v>1484</v>
      </c>
      <c r="F71" s="385">
        <f ca="1">F43</f>
        <v>451.5</v>
      </c>
      <c r="O71" s="1892" t="s">
        <v>1047</v>
      </c>
      <c r="P71" s="1931" t="s">
        <v>1581</v>
      </c>
      <c r="Q71" s="1895">
        <f ca="1">C76</f>
        <v>8.5000000000000006E-2</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10</v>
      </c>
      <c r="D75" s="1840"/>
      <c r="E75" s="1840"/>
      <c r="F75" s="1840"/>
      <c r="K75" s="1866"/>
      <c r="L75" s="1840"/>
      <c r="O75" s="1882" t="s">
        <v>1043</v>
      </c>
      <c r="P75" s="1883" t="s">
        <v>1544</v>
      </c>
      <c r="Q75" s="1884">
        <f ca="1">Q65+Q66</f>
        <v>197</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9.099999999999997E-2</v>
      </c>
    </row>
    <row r="80" spans="1:18">
      <c r="B80" s="386" t="s">
        <v>1506</v>
      </c>
      <c r="C80" s="318">
        <f ca="1">ROUND(C75/C39,3)</f>
        <v>0.90900000000000003</v>
      </c>
    </row>
    <row r="81" spans="2:3">
      <c r="B81" s="314" t="s">
        <v>1507</v>
      </c>
      <c r="C81" s="282"/>
    </row>
    <row r="82" spans="2:3">
      <c r="B82" s="317" t="s">
        <v>1508</v>
      </c>
      <c r="C82" s="319">
        <f ca="1">1-C83</f>
        <v>0.38100000000000001</v>
      </c>
    </row>
    <row r="83" spans="2:3">
      <c r="B83" s="317" t="s">
        <v>1509</v>
      </c>
      <c r="C83" s="318">
        <f ca="1">ROUND(C13/C40,3)</f>
        <v>0.61899999999999999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c r="D1" s="1818"/>
      <c r="E1" s="1819" t="s">
        <v>1382</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70" t="s">
        <v>1398</v>
      </c>
      <c r="C6" s="1294">
        <f ca="1">ROUND(F6*F8*F7*(1-F9),0)</f>
        <v>0</v>
      </c>
      <c r="D6" s="164" t="s">
        <v>3028</v>
      </c>
      <c r="E6" s="347" t="s">
        <v>1400</v>
      </c>
      <c r="F6" s="348">
        <f ca="1">INDIRECT("'数据-取费表'!u"&amp;$G$1)</f>
        <v>0</v>
      </c>
      <c r="G6" s="1849"/>
      <c r="H6" s="1289" t="s">
        <v>1032</v>
      </c>
      <c r="I6" s="3170" t="s">
        <v>1398</v>
      </c>
      <c r="J6" s="346">
        <f ca="1">ROUND(M6*M8*M7*(1-M9),0)</f>
        <v>0</v>
      </c>
      <c r="K6" s="1832" t="s">
        <v>3029</v>
      </c>
      <c r="L6" s="347" t="s">
        <v>1400</v>
      </c>
      <c r="M6" s="348">
        <f ca="1">INDIRECT("'数据-取费表'!z"&amp;$G$1)</f>
        <v>0</v>
      </c>
    </row>
    <row r="7" spans="1:37" ht="18" customHeight="1">
      <c r="A7" s="1293"/>
      <c r="B7" s="3171"/>
      <c r="C7" s="1295"/>
      <c r="D7" s="352"/>
      <c r="E7" s="1296" t="s">
        <v>1401</v>
      </c>
      <c r="F7" s="348">
        <f ca="1">IF(INDIRECT("'数据-取费表'!ah"&amp;$G$1)="",INDIRECT("'数据-取费表'!k"&amp;$G$1),INDIRECT("'数据-取费表'!ah"&amp;$G$1))</f>
        <v>0</v>
      </c>
      <c r="G7" s="1849"/>
      <c r="H7" s="349"/>
      <c r="I7" s="3171"/>
      <c r="J7" s="351"/>
      <c r="K7" s="352"/>
      <c r="L7" s="347" t="s">
        <v>1401</v>
      </c>
      <c r="M7" s="348">
        <f ca="1">F7</f>
        <v>0</v>
      </c>
    </row>
    <row r="8" spans="1:37" ht="18" customHeight="1">
      <c r="A8" s="349"/>
      <c r="B8" s="3171"/>
      <c r="C8" s="351"/>
      <c r="D8" s="352"/>
      <c r="E8" s="347" t="s">
        <v>1402</v>
      </c>
      <c r="F8" s="348">
        <f ca="1">INDIRECT("'数据-取费表'!ai"&amp;$G$1)</f>
        <v>0</v>
      </c>
      <c r="G8" s="1849"/>
      <c r="H8" s="349"/>
      <c r="I8" s="3171"/>
      <c r="J8" s="351"/>
      <c r="K8" s="352"/>
      <c r="L8" s="347" t="s">
        <v>1402</v>
      </c>
      <c r="M8" s="348">
        <f ca="1">INDIRECT("'数据-取费表'!ai"&amp;$G$1)</f>
        <v>0</v>
      </c>
    </row>
    <row r="9" spans="1:37" ht="18" customHeight="1">
      <c r="A9" s="349"/>
      <c r="B9" s="3172"/>
      <c r="C9" s="351"/>
      <c r="D9" s="352"/>
      <c r="E9" s="347" t="s">
        <v>1403</v>
      </c>
      <c r="F9" s="357">
        <f ca="1">INDIRECT("'数据-取费表'!w"&amp;$G$1)</f>
        <v>0</v>
      </c>
      <c r="G9" s="1849"/>
      <c r="H9" s="349"/>
      <c r="I9" s="3172"/>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6</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1">
        <f ca="1">IF(M47="住宅",IF(D1="——",MAX(J51,L48),MAX(J51,L48-'数据-取费表'!B24)),IF(D1="——",MIN(J51,L48),MIN(J51,L48-'数据-取费表'!B24)))</f>
        <v>0</v>
      </c>
      <c r="K53" s="3168" t="s">
        <v>1543</v>
      </c>
      <c r="L53" s="3169"/>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200</v>
      </c>
      <c r="C2" s="2567" t="s">
        <v>2520</v>
      </c>
      <c r="D2" s="2568" t="s">
        <v>2521</v>
      </c>
      <c r="E2" s="2569">
        <f>SUM(E6:E13)</f>
        <v>451.5</v>
      </c>
    </row>
    <row r="3" spans="1:6" ht="15.75">
      <c r="A3" s="2565" t="s">
        <v>1390</v>
      </c>
      <c r="B3" s="2566">
        <f ca="1">ROUND(B2*10000/E2,0)</f>
        <v>4430</v>
      </c>
      <c r="C3" s="2567" t="s">
        <v>2528</v>
      </c>
      <c r="D3" s="2570"/>
      <c r="E3" s="2571"/>
    </row>
    <row r="4" spans="1:6" ht="15.75">
      <c r="A4" s="2572"/>
      <c r="B4" s="2570"/>
      <c r="C4" s="2570"/>
      <c r="D4" s="2570"/>
      <c r="E4" s="2571"/>
    </row>
    <row r="5" spans="1:6" ht="15">
      <c r="A5" s="2573" t="s">
        <v>2522</v>
      </c>
      <c r="B5" s="3173" t="s">
        <v>2523</v>
      </c>
      <c r="C5" s="3173"/>
      <c r="D5" s="2574"/>
      <c r="E5" s="2575" t="s">
        <v>2524</v>
      </c>
      <c r="F5" s="2576" t="s">
        <v>2525</v>
      </c>
    </row>
    <row r="6" spans="1:6">
      <c r="A6" s="2577" t="str">
        <f>'数据-取费表'!AN6</f>
        <v>收益法</v>
      </c>
      <c r="B6" s="2576">
        <f ca="1">IF(F6="是",'数据-取费表'!AO6,0)</f>
        <v>200</v>
      </c>
      <c r="C6" s="2567" t="s">
        <v>2520</v>
      </c>
      <c r="D6" s="2570"/>
      <c r="E6" s="2578">
        <f>IF(OR(A6=0,F6="否"),0,'数据-取费表'!K6+'数据-取费表'!S6)</f>
        <v>451.5</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1073</v>
      </c>
      <c r="B1" s="3191"/>
      <c r="C1" s="3192"/>
      <c r="D1" s="3193">
        <f>SUM(I10,I15,I20,I21,I23)</f>
        <v>0</v>
      </c>
      <c r="E1" s="3193"/>
      <c r="F1" s="3193"/>
      <c r="G1" s="3193"/>
      <c r="H1" s="3193"/>
      <c r="I1" s="3194"/>
    </row>
    <row r="2" spans="1:9">
      <c r="A2" s="3180" t="s">
        <v>1074</v>
      </c>
      <c r="B2" s="3181" t="s">
        <v>1075</v>
      </c>
      <c r="C2" s="3181"/>
      <c r="D2" s="1299" t="s">
        <v>1076</v>
      </c>
      <c r="E2" s="1299" t="s">
        <v>1077</v>
      </c>
      <c r="F2" s="1299" t="s">
        <v>1078</v>
      </c>
      <c r="G2" s="1299" t="s">
        <v>1079</v>
      </c>
      <c r="H2" s="1299" t="s">
        <v>1080</v>
      </c>
      <c r="I2" s="1300" t="s">
        <v>1081</v>
      </c>
    </row>
    <row r="3" spans="1:9">
      <c r="A3" s="3180"/>
      <c r="B3" s="3181" t="s">
        <v>1082</v>
      </c>
      <c r="C3" s="3181"/>
      <c r="D3" s="1301"/>
      <c r="E3" s="1299"/>
      <c r="F3" s="1302"/>
      <c r="G3" s="1302"/>
      <c r="H3" s="1303"/>
      <c r="I3" s="1304">
        <f>ROUND(D3*E3*F3*G3*H3/10000,0)</f>
        <v>0</v>
      </c>
    </row>
    <row r="4" spans="1:9">
      <c r="A4" s="3180"/>
      <c r="B4" s="3181" t="s">
        <v>1083</v>
      </c>
      <c r="C4" s="3181"/>
      <c r="D4" s="1301"/>
      <c r="E4" s="1299"/>
      <c r="F4" s="1302"/>
      <c r="G4" s="1302"/>
      <c r="H4" s="1303"/>
      <c r="I4" s="1304">
        <f t="shared" ref="I4:I9" si="0">ROUND(D4*E4*F4*G4*H4/10000,0)</f>
        <v>0</v>
      </c>
    </row>
    <row r="5" spans="1:9">
      <c r="A5" s="3180"/>
      <c r="B5" s="3181" t="s">
        <v>1084</v>
      </c>
      <c r="C5" s="3181"/>
      <c r="D5" s="1301"/>
      <c r="E5" s="1299"/>
      <c r="F5" s="1302"/>
      <c r="G5" s="1302"/>
      <c r="H5" s="1303"/>
      <c r="I5" s="1304">
        <f t="shared" si="0"/>
        <v>0</v>
      </c>
    </row>
    <row r="6" spans="1:9">
      <c r="A6" s="3180"/>
      <c r="B6" s="3181" t="s">
        <v>1085</v>
      </c>
      <c r="C6" s="3181"/>
      <c r="D6" s="1301"/>
      <c r="E6" s="1299"/>
      <c r="F6" s="1302"/>
      <c r="G6" s="1302"/>
      <c r="H6" s="1303"/>
      <c r="I6" s="1304">
        <f t="shared" si="0"/>
        <v>0</v>
      </c>
    </row>
    <row r="7" spans="1:9">
      <c r="A7" s="3180"/>
      <c r="B7" s="3181" t="s">
        <v>1086</v>
      </c>
      <c r="C7" s="3181"/>
      <c r="D7" s="1301"/>
      <c r="E7" s="1299"/>
      <c r="F7" s="1302"/>
      <c r="G7" s="1302"/>
      <c r="H7" s="1303"/>
      <c r="I7" s="1304">
        <f t="shared" si="0"/>
        <v>0</v>
      </c>
    </row>
    <row r="8" spans="1:9">
      <c r="A8" s="3180"/>
      <c r="B8" s="3181" t="s">
        <v>1087</v>
      </c>
      <c r="C8" s="3181"/>
      <c r="D8" s="1301"/>
      <c r="E8" s="1299"/>
      <c r="F8" s="1302"/>
      <c r="G8" s="1302"/>
      <c r="H8" s="1303"/>
      <c r="I8" s="1304">
        <f t="shared" si="0"/>
        <v>0</v>
      </c>
    </row>
    <row r="9" spans="1:9">
      <c r="A9" s="3180"/>
      <c r="B9" s="3181" t="s">
        <v>1088</v>
      </c>
      <c r="C9" s="3181"/>
      <c r="D9" s="1301"/>
      <c r="E9" s="1299"/>
      <c r="F9" s="1302"/>
      <c r="G9" s="1302"/>
      <c r="H9" s="1303"/>
      <c r="I9" s="1304">
        <f t="shared" si="0"/>
        <v>0</v>
      </c>
    </row>
    <row r="10" spans="1:9">
      <c r="A10" s="3180"/>
      <c r="B10" s="3182" t="s">
        <v>1089</v>
      </c>
      <c r="C10" s="3182"/>
      <c r="D10" s="1305"/>
      <c r="E10" s="1305" t="e">
        <f>ROUND(D1*10000/D10/H9,0)</f>
        <v>#DIV/0!</v>
      </c>
      <c r="F10" s="1306"/>
      <c r="G10" s="1306"/>
      <c r="H10" s="1307"/>
      <c r="I10" s="1308">
        <f>SUM(I3:I9)</f>
        <v>0</v>
      </c>
    </row>
    <row r="11" spans="1:9" ht="14.25">
      <c r="A11" s="3180" t="s">
        <v>1090</v>
      </c>
      <c r="B11" s="3181" t="s">
        <v>1091</v>
      </c>
      <c r="C11" s="3181"/>
      <c r="D11" s="1301" t="s">
        <v>1092</v>
      </c>
      <c r="E11" s="1301" t="s">
        <v>1093</v>
      </c>
      <c r="F11" s="1302" t="s">
        <v>1094</v>
      </c>
      <c r="G11" s="1302" t="s">
        <v>1080</v>
      </c>
      <c r="H11" s="1309" t="s">
        <v>1095</v>
      </c>
      <c r="I11" s="1300" t="s">
        <v>1081</v>
      </c>
    </row>
    <row r="12" spans="1:9">
      <c r="A12" s="3180"/>
      <c r="B12" s="3181" t="s">
        <v>1096</v>
      </c>
      <c r="C12" s="3181"/>
      <c r="D12" s="1301"/>
      <c r="E12" s="1301"/>
      <c r="F12" s="1302"/>
      <c r="G12" s="1303"/>
      <c r="H12" s="1310"/>
      <c r="I12" s="1300">
        <f>ROUND(D12*E12*F12*G12/10000,0)</f>
        <v>0</v>
      </c>
    </row>
    <row r="13" spans="1:9">
      <c r="A13" s="3180"/>
      <c r="B13" s="3181" t="s">
        <v>1097</v>
      </c>
      <c r="C13" s="3181"/>
      <c r="D13" s="1301"/>
      <c r="E13" s="1301"/>
      <c r="F13" s="1302"/>
      <c r="G13" s="1303"/>
      <c r="H13" s="1310"/>
      <c r="I13" s="1300">
        <f>ROUND(D13*E13*F13*G13/10000,0)</f>
        <v>0</v>
      </c>
    </row>
    <row r="14" spans="1:9">
      <c r="A14" s="3180"/>
      <c r="B14" s="3181" t="s">
        <v>1098</v>
      </c>
      <c r="C14" s="3181"/>
      <c r="D14" s="1301"/>
      <c r="E14" s="1301"/>
      <c r="F14" s="1302"/>
      <c r="G14" s="1303"/>
      <c r="H14" s="1310"/>
      <c r="I14" s="1300">
        <f>ROUND(D14*E14*F14*G14/10000,0)</f>
        <v>0</v>
      </c>
    </row>
    <row r="15" spans="1:9">
      <c r="A15" s="3180"/>
      <c r="B15" s="3182" t="s">
        <v>1089</v>
      </c>
      <c r="C15" s="3182"/>
      <c r="D15" s="1305"/>
      <c r="E15" s="1305">
        <f>SUM(E12:E14)</f>
        <v>0</v>
      </c>
      <c r="F15" s="1306"/>
      <c r="G15" s="1303"/>
      <c r="H15" s="1310"/>
      <c r="I15" s="1311">
        <f>SUM(I12:I14)</f>
        <v>0</v>
      </c>
    </row>
    <row r="16" spans="1:9" ht="24">
      <c r="A16" s="3180" t="s">
        <v>1099</v>
      </c>
      <c r="B16" s="3181" t="s">
        <v>1100</v>
      </c>
      <c r="C16" s="3181"/>
      <c r="D16" s="1301" t="s">
        <v>1076</v>
      </c>
      <c r="E16" s="1312" t="s">
        <v>1101</v>
      </c>
      <c r="F16" s="1302" t="s">
        <v>1102</v>
      </c>
      <c r="G16" s="1303" t="s">
        <v>1080</v>
      </c>
      <c r="H16" s="1309" t="s">
        <v>1095</v>
      </c>
      <c r="I16" s="1300" t="s">
        <v>1081</v>
      </c>
    </row>
    <row r="17" spans="1:9" ht="14.25">
      <c r="A17" s="3180"/>
      <c r="B17" s="3181" t="s">
        <v>1103</v>
      </c>
      <c r="C17" s="3181"/>
      <c r="D17" s="1301"/>
      <c r="E17" s="1301"/>
      <c r="F17" s="1302"/>
      <c r="G17" s="1303"/>
      <c r="H17" s="1313"/>
      <c r="I17" s="1314">
        <f>ROUND(D17*E17*F17*G17/10000,0)</f>
        <v>0</v>
      </c>
    </row>
    <row r="18" spans="1:9" ht="14.25">
      <c r="A18" s="3180"/>
      <c r="B18" s="3181" t="s">
        <v>1104</v>
      </c>
      <c r="C18" s="3181"/>
      <c r="D18" s="1301"/>
      <c r="E18" s="1301"/>
      <c r="F18" s="1302"/>
      <c r="G18" s="1303"/>
      <c r="H18" s="1313"/>
      <c r="I18" s="1314">
        <f>ROUND(D18*E18*F18*G18/10000,0)</f>
        <v>0</v>
      </c>
    </row>
    <row r="19" spans="1:9" ht="14.25">
      <c r="A19" s="3180"/>
      <c r="B19" s="3181" t="s">
        <v>1105</v>
      </c>
      <c r="C19" s="3181"/>
      <c r="D19" s="1301"/>
      <c r="E19" s="1301"/>
      <c r="F19" s="1302"/>
      <c r="G19" s="1303"/>
      <c r="H19" s="1313"/>
      <c r="I19" s="1314">
        <f>ROUND(D19*E19*F19*G19/10000,0)</f>
        <v>0</v>
      </c>
    </row>
    <row r="20" spans="1:9">
      <c r="A20" s="3180"/>
      <c r="B20" s="3182" t="s">
        <v>1089</v>
      </c>
      <c r="C20" s="3182"/>
      <c r="D20" s="1305">
        <f>SUM(D17:D19)</f>
        <v>0</v>
      </c>
      <c r="E20" s="1305"/>
      <c r="F20" s="1306"/>
      <c r="G20" s="1303"/>
      <c r="H20" s="1310"/>
      <c r="I20" s="1311">
        <f>SUM(I17:I19)</f>
        <v>0</v>
      </c>
    </row>
    <row r="21" spans="1:9">
      <c r="A21" s="3180" t="s">
        <v>1106</v>
      </c>
      <c r="B21" s="3183"/>
      <c r="C21" s="3183"/>
      <c r="D21" s="3183"/>
      <c r="E21" s="3183"/>
      <c r="F21" s="3183"/>
      <c r="G21" s="3183"/>
      <c r="H21" s="1763">
        <v>0.1</v>
      </c>
      <c r="I21" s="1308">
        <f>ROUND(I10*H21,0)</f>
        <v>0</v>
      </c>
    </row>
    <row r="22" spans="1:9" ht="14.25">
      <c r="A22" s="3184" t="s">
        <v>1107</v>
      </c>
      <c r="B22" s="3185"/>
      <c r="C22" s="3186"/>
      <c r="D22" s="1315" t="s">
        <v>1108</v>
      </c>
      <c r="E22" s="1315" t="s">
        <v>1109</v>
      </c>
      <c r="F22" s="1316" t="s">
        <v>1110</v>
      </c>
      <c r="G22" s="1316" t="s">
        <v>1111</v>
      </c>
      <c r="H22" s="1309" t="s">
        <v>1112</v>
      </c>
      <c r="I22" s="1300" t="s">
        <v>1113</v>
      </c>
    </row>
    <row r="23" spans="1:9" ht="14.25" thickBot="1">
      <c r="A23" s="3187"/>
      <c r="B23" s="3188"/>
      <c r="C23" s="3189"/>
      <c r="D23" s="1317"/>
      <c r="E23" s="1317"/>
      <c r="F23" s="1317"/>
      <c r="G23" s="1318"/>
      <c r="H23" s="1319"/>
      <c r="I23" s="1320">
        <f>ROUND(E23*D23*F23*(1-G23)/10000,0)</f>
        <v>0</v>
      </c>
    </row>
    <row r="26" spans="1:9">
      <c r="A26" s="1321" t="s">
        <v>1114</v>
      </c>
      <c r="B26" s="1321"/>
      <c r="C26" s="1321"/>
      <c r="D26" s="1321"/>
      <c r="E26" s="3177">
        <f>C27-C30-C31-C32</f>
        <v>0</v>
      </c>
      <c r="F26" s="3177"/>
      <c r="G26" s="3177"/>
      <c r="H26" s="1735" t="s">
        <v>1336</v>
      </c>
    </row>
    <row r="27" spans="1:9">
      <c r="A27" s="1322">
        <v>1</v>
      </c>
      <c r="B27" s="1323" t="s">
        <v>1115</v>
      </c>
      <c r="C27" s="1323">
        <f>C28+C29</f>
        <v>0</v>
      </c>
      <c r="D27" s="1323"/>
      <c r="E27" s="3178"/>
      <c r="F27" s="3178"/>
      <c r="G27" s="3178"/>
    </row>
    <row r="28" spans="1:9">
      <c r="A28" s="1324" t="s">
        <v>1116</v>
      </c>
      <c r="B28" s="1323" t="s">
        <v>1117</v>
      </c>
      <c r="C28" s="1323"/>
      <c r="D28" s="1323"/>
      <c r="E28" s="3178"/>
      <c r="F28" s="3178"/>
      <c r="G28" s="3178"/>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9"/>
      <c r="F32" s="3179"/>
      <c r="G32" s="3179"/>
    </row>
    <row r="33" spans="1:7" hidden="1">
      <c r="A33" s="3174" t="s">
        <v>1126</v>
      </c>
      <c r="B33" s="3175"/>
      <c r="C33" s="3175"/>
      <c r="D33" s="3176"/>
      <c r="E33" s="3177"/>
      <c r="F33" s="3177"/>
      <c r="G33" s="3177"/>
    </row>
    <row r="34" spans="1:7" hidden="1">
      <c r="A34" s="1326">
        <v>1</v>
      </c>
      <c r="B34" s="1323" t="s">
        <v>1127</v>
      </c>
      <c r="C34" s="1323"/>
      <c r="D34" s="1323"/>
      <c r="E34" s="3178"/>
      <c r="F34" s="3178"/>
      <c r="G34" s="3178"/>
    </row>
    <row r="35" spans="1:7" hidden="1">
      <c r="A35" s="1326">
        <v>2</v>
      </c>
      <c r="B35" s="1323" t="s">
        <v>1128</v>
      </c>
      <c r="C35" s="1323"/>
      <c r="D35" s="1323"/>
      <c r="E35" s="3178"/>
      <c r="F35" s="3178"/>
      <c r="G35" s="3178"/>
    </row>
    <row r="36" spans="1:7" hidden="1">
      <c r="A36" s="1326">
        <v>3</v>
      </c>
      <c r="B36" s="1323" t="s">
        <v>1129</v>
      </c>
      <c r="C36" s="1323"/>
      <c r="D36" s="1323"/>
      <c r="E36" s="3178"/>
      <c r="F36" s="3178"/>
      <c r="G36" s="3178"/>
    </row>
    <row r="37" spans="1:7" hidden="1">
      <c r="A37" s="1326">
        <v>4</v>
      </c>
      <c r="B37" s="1323" t="s">
        <v>1130</v>
      </c>
      <c r="C37" s="1323"/>
      <c r="D37" s="1323"/>
      <c r="E37" s="3178"/>
      <c r="F37" s="3178"/>
      <c r="G37" s="3178"/>
    </row>
    <row r="38" spans="1:7" hidden="1">
      <c r="A38" s="3174" t="s">
        <v>1131</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2535</v>
      </c>
      <c r="D3" s="399">
        <f>IF(D1="",'数据-汇总表'!E3,SUMIF('数据-汇总表'!$C19:$C33,D1,'数据-汇总表'!$E19:$E33))</f>
        <v>2633.48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2536</v>
      </c>
      <c r="B4" s="402"/>
      <c r="C4" s="3213" t="s">
        <v>2537</v>
      </c>
      <c r="D4" s="3214"/>
      <c r="E4" s="3215" t="s">
        <v>2538</v>
      </c>
      <c r="F4" s="3216"/>
      <c r="G4" s="3213" t="s">
        <v>2539</v>
      </c>
      <c r="H4" s="3214"/>
      <c r="I4" s="3213" t="s">
        <v>2540</v>
      </c>
      <c r="J4" s="3214"/>
      <c r="K4" s="2597" t="s">
        <v>2541</v>
      </c>
      <c r="L4" s="1128"/>
      <c r="M4" s="1129"/>
      <c r="N4" s="1129"/>
      <c r="O4" s="1129"/>
      <c r="P4" s="3217" t="s">
        <v>2542</v>
      </c>
      <c r="Q4" s="3218"/>
      <c r="R4" s="3223" t="s">
        <v>2538</v>
      </c>
      <c r="S4" s="3224"/>
      <c r="T4" s="3223" t="s">
        <v>2539</v>
      </c>
      <c r="U4" s="3224"/>
      <c r="V4" s="3229" t="s">
        <v>2540</v>
      </c>
      <c r="W4" s="3229"/>
      <c r="X4" s="1811"/>
      <c r="Y4" s="3223" t="s">
        <v>2542</v>
      </c>
      <c r="Z4" s="3224"/>
      <c r="AA4" s="3210" t="s">
        <v>2538</v>
      </c>
      <c r="AB4" s="3210" t="s">
        <v>2539</v>
      </c>
      <c r="AC4" s="3210" t="s">
        <v>2540</v>
      </c>
    </row>
    <row r="5" spans="1:29" ht="15">
      <c r="A5" s="404"/>
      <c r="B5" s="405"/>
      <c r="C5" s="3232" t="s">
        <v>2543</v>
      </c>
      <c r="D5" s="3233"/>
      <c r="E5" s="3239" t="s">
        <v>2544</v>
      </c>
      <c r="F5" s="3240"/>
      <c r="G5" s="3232" t="s">
        <v>2545</v>
      </c>
      <c r="H5" s="3233"/>
      <c r="I5" s="3232" t="s">
        <v>2546</v>
      </c>
      <c r="J5" s="3233"/>
      <c r="K5" s="2598"/>
      <c r="L5" s="1128"/>
      <c r="M5" s="1129"/>
      <c r="N5" s="1129"/>
      <c r="O5" s="1129"/>
      <c r="P5" s="3219"/>
      <c r="Q5" s="3220"/>
      <c r="R5" s="3225"/>
      <c r="S5" s="3226"/>
      <c r="T5" s="3225"/>
      <c r="U5" s="3226"/>
      <c r="V5" s="3229"/>
      <c r="W5" s="3229"/>
      <c r="X5" s="1811"/>
      <c r="Y5" s="3225"/>
      <c r="Z5" s="3226"/>
      <c r="AA5" s="3211"/>
      <c r="AB5" s="3211"/>
      <c r="AC5" s="3211"/>
    </row>
    <row r="6" spans="1:29" ht="15.75" thickBot="1">
      <c r="A6" s="406"/>
      <c r="B6" s="407"/>
      <c r="C6" s="3230" t="s">
        <v>2547</v>
      </c>
      <c r="D6" s="3231"/>
      <c r="E6" s="3237" t="s">
        <v>2547</v>
      </c>
      <c r="F6" s="3238"/>
      <c r="G6" s="3230" t="s">
        <v>2547</v>
      </c>
      <c r="H6" s="3231"/>
      <c r="I6" s="3230" t="s">
        <v>2547</v>
      </c>
      <c r="J6" s="3231"/>
      <c r="K6" s="2598" t="s">
        <v>2548</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8" t="s">
        <v>2549</v>
      </c>
      <c r="B7" s="409"/>
      <c r="C7" s="410">
        <f>'数据-取费表'!B2</f>
        <v>43690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34" t="s">
        <v>2550</v>
      </c>
      <c r="Q7" s="3236"/>
      <c r="R7" s="768" t="s">
        <v>23</v>
      </c>
      <c r="S7" s="769">
        <f t="shared" ref="S7:S15" si="0">F7</f>
        <v>0</v>
      </c>
      <c r="T7" s="768" t="s">
        <v>23</v>
      </c>
      <c r="U7" s="769">
        <f t="shared" ref="U7:U15" si="1">H7</f>
        <v>0</v>
      </c>
      <c r="V7" s="768" t="s">
        <v>23</v>
      </c>
      <c r="W7" s="769">
        <f t="shared" ref="W7:W15" si="2">J7</f>
        <v>0</v>
      </c>
      <c r="X7" s="770"/>
      <c r="Y7" s="3234" t="s">
        <v>2550</v>
      </c>
      <c r="Z7" s="3235"/>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34" t="s">
        <v>2553</v>
      </c>
      <c r="Q8" s="3235"/>
      <c r="R8" s="768" t="s">
        <v>23</v>
      </c>
      <c r="S8" s="769">
        <f t="shared" si="0"/>
        <v>0</v>
      </c>
      <c r="T8" s="768" t="s">
        <v>23</v>
      </c>
      <c r="U8" s="769">
        <f t="shared" si="1"/>
        <v>0</v>
      </c>
      <c r="V8" s="768" t="s">
        <v>23</v>
      </c>
      <c r="W8" s="769">
        <f t="shared" si="2"/>
        <v>0</v>
      </c>
      <c r="X8" s="770"/>
      <c r="Y8" s="3234" t="s">
        <v>2553</v>
      </c>
      <c r="Z8" s="3235"/>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09"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9"/>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9"/>
      <c r="Q11" s="1793" t="str">
        <f t="shared" si="6"/>
        <v>容积率</v>
      </c>
      <c r="R11" s="768" t="s">
        <v>21</v>
      </c>
      <c r="S11" s="769" t="e">
        <f t="shared" si="0"/>
        <v>#N/A</v>
      </c>
      <c r="T11" s="768" t="s">
        <v>21</v>
      </c>
      <c r="U11" s="769" t="e">
        <f t="shared" si="1"/>
        <v>#N/A</v>
      </c>
      <c r="V11" s="768" t="s">
        <v>21</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09"/>
      <c r="Q12" s="1793">
        <f t="shared" si="6"/>
        <v>111</v>
      </c>
      <c r="R12" s="768" t="s">
        <v>21</v>
      </c>
      <c r="S12" s="769">
        <f t="shared" si="0"/>
        <v>100</v>
      </c>
      <c r="T12" s="768" t="s">
        <v>21</v>
      </c>
      <c r="U12" s="769">
        <f t="shared" si="1"/>
        <v>100</v>
      </c>
      <c r="V12" s="768" t="s">
        <v>21</v>
      </c>
      <c r="W12" s="769">
        <f t="shared" si="2"/>
        <v>100</v>
      </c>
      <c r="X12" s="770"/>
      <c r="Y12" s="3023"/>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09"/>
      <c r="Q13" s="1793">
        <f t="shared" si="6"/>
        <v>111</v>
      </c>
      <c r="R13" s="768" t="s">
        <v>21</v>
      </c>
      <c r="S13" s="769">
        <f t="shared" si="0"/>
        <v>100</v>
      </c>
      <c r="T13" s="768" t="s">
        <v>21</v>
      </c>
      <c r="U13" s="769">
        <f t="shared" si="1"/>
        <v>100</v>
      </c>
      <c r="V13" s="768" t="s">
        <v>21</v>
      </c>
      <c r="W13" s="769">
        <f t="shared" si="2"/>
        <v>100</v>
      </c>
      <c r="X13" s="770"/>
      <c r="Y13" s="3023"/>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09"/>
      <c r="Q14" s="1793">
        <f t="shared" si="6"/>
        <v>111</v>
      </c>
      <c r="R14" s="768" t="s">
        <v>21</v>
      </c>
      <c r="S14" s="769">
        <f t="shared" si="0"/>
        <v>100</v>
      </c>
      <c r="T14" s="768" t="s">
        <v>21</v>
      </c>
      <c r="U14" s="769">
        <f t="shared" si="1"/>
        <v>100</v>
      </c>
      <c r="V14" s="768" t="s">
        <v>21</v>
      </c>
      <c r="W14" s="769">
        <f t="shared" si="2"/>
        <v>100</v>
      </c>
      <c r="X14" s="770"/>
      <c r="Y14" s="3023"/>
      <c r="Z14" s="55">
        <f t="shared" si="7"/>
        <v>111</v>
      </c>
      <c r="AA14" s="771">
        <f t="shared" si="3"/>
        <v>1</v>
      </c>
      <c r="AB14" s="771">
        <f t="shared" si="4"/>
        <v>1</v>
      </c>
      <c r="AC14" s="771">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07" t="s">
        <v>2561</v>
      </c>
      <c r="Q15" s="1808" t="str">
        <f t="shared" si="6"/>
        <v>居住社区成熟度</v>
      </c>
      <c r="R15" s="772" t="s">
        <v>21</v>
      </c>
      <c r="S15" s="773">
        <f t="shared" si="0"/>
        <v>100</v>
      </c>
      <c r="T15" s="772" t="s">
        <v>21</v>
      </c>
      <c r="U15" s="773">
        <f t="shared" si="1"/>
        <v>100</v>
      </c>
      <c r="V15" s="772" t="s">
        <v>21</v>
      </c>
      <c r="W15" s="773">
        <f t="shared" si="2"/>
        <v>100</v>
      </c>
      <c r="X15" s="1811"/>
      <c r="Y15" s="3200"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08"/>
      <c r="Q16" s="1808"/>
      <c r="R16" s="772"/>
      <c r="S16" s="773"/>
      <c r="T16" s="772"/>
      <c r="U16" s="773"/>
      <c r="V16" s="772"/>
      <c r="W16" s="773"/>
      <c r="X16" s="1811"/>
      <c r="Y16" s="3201"/>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8"/>
      <c r="Q17" s="1808" t="str">
        <f>B17</f>
        <v>交通便捷度</v>
      </c>
      <c r="R17" s="772" t="s">
        <v>21</v>
      </c>
      <c r="S17" s="773">
        <f>F17</f>
        <v>100</v>
      </c>
      <c r="T17" s="772" t="s">
        <v>21</v>
      </c>
      <c r="U17" s="773">
        <f>H17</f>
        <v>100</v>
      </c>
      <c r="V17" s="772" t="s">
        <v>21</v>
      </c>
      <c r="W17" s="773">
        <f>J17</f>
        <v>100</v>
      </c>
      <c r="X17" s="1811"/>
      <c r="Y17" s="3201"/>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08"/>
      <c r="Q18" s="1808"/>
      <c r="R18" s="772"/>
      <c r="S18" s="773"/>
      <c r="T18" s="772"/>
      <c r="U18" s="773"/>
      <c r="V18" s="772"/>
      <c r="W18" s="773"/>
      <c r="X18" s="1811"/>
      <c r="Y18" s="3201"/>
      <c r="Z18" s="1812"/>
      <c r="AA18" s="1809">
        <v>1</v>
      </c>
      <c r="AB18" s="1809">
        <v>1</v>
      </c>
      <c r="AC18" s="1809">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8"/>
      <c r="Q19" s="1808" t="str">
        <f>B19</f>
        <v>公共配套设施</v>
      </c>
      <c r="R19" s="772" t="s">
        <v>21</v>
      </c>
      <c r="S19" s="773">
        <f>F19</f>
        <v>100</v>
      </c>
      <c r="T19" s="772" t="s">
        <v>21</v>
      </c>
      <c r="U19" s="773">
        <f>H19</f>
        <v>100</v>
      </c>
      <c r="V19" s="772" t="s">
        <v>21</v>
      </c>
      <c r="W19" s="773">
        <f>J19</f>
        <v>100</v>
      </c>
      <c r="X19" s="1811"/>
      <c r="Y19" s="3201"/>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08"/>
      <c r="Q20" s="1808"/>
      <c r="R20" s="772"/>
      <c r="S20" s="773"/>
      <c r="T20" s="772"/>
      <c r="U20" s="773"/>
      <c r="V20" s="772"/>
      <c r="W20" s="773"/>
      <c r="X20" s="1811"/>
      <c r="Y20" s="3201"/>
      <c r="Z20" s="1812"/>
      <c r="AA20" s="1809">
        <v>1</v>
      </c>
      <c r="AB20" s="1809">
        <v>1</v>
      </c>
      <c r="AC20" s="1809">
        <v>1</v>
      </c>
    </row>
    <row r="21" spans="1:29" ht="28.5">
      <c r="A21" s="428"/>
      <c r="B21" s="1382"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8"/>
      <c r="Q21" s="1808" t="str">
        <f>B21</f>
        <v>基础设施水平</v>
      </c>
      <c r="R21" s="772" t="s">
        <v>17</v>
      </c>
      <c r="S21" s="773">
        <f>F21</f>
        <v>100</v>
      </c>
      <c r="T21" s="772" t="s">
        <v>17</v>
      </c>
      <c r="U21" s="773">
        <f>H21</f>
        <v>100</v>
      </c>
      <c r="V21" s="772" t="s">
        <v>17</v>
      </c>
      <c r="W21" s="773">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08"/>
      <c r="Q22" s="1808"/>
      <c r="R22" s="772"/>
      <c r="S22" s="773"/>
      <c r="T22" s="772"/>
      <c r="U22" s="773"/>
      <c r="V22" s="772"/>
      <c r="W22" s="773"/>
      <c r="X22" s="1811"/>
      <c r="Y22" s="3201"/>
      <c r="Z22" s="1812"/>
      <c r="AA22" s="1809">
        <v>1</v>
      </c>
      <c r="AB22" s="1809">
        <v>1</v>
      </c>
      <c r="AC22" s="1809">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8"/>
      <c r="Q23" s="1808" t="str">
        <f>B23</f>
        <v>自然及人文环境</v>
      </c>
      <c r="R23" s="772" t="s">
        <v>21</v>
      </c>
      <c r="S23" s="773">
        <f>F23</f>
        <v>100</v>
      </c>
      <c r="T23" s="772" t="s">
        <v>21</v>
      </c>
      <c r="U23" s="773">
        <f>H23</f>
        <v>100</v>
      </c>
      <c r="V23" s="772" t="s">
        <v>21</v>
      </c>
      <c r="W23" s="773">
        <f>J23</f>
        <v>100</v>
      </c>
      <c r="X23" s="1811"/>
      <c r="Y23" s="3201"/>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08"/>
      <c r="Q24" s="1808"/>
      <c r="R24" s="772"/>
      <c r="S24" s="773"/>
      <c r="T24" s="772"/>
      <c r="U24" s="773"/>
      <c r="V24" s="772"/>
      <c r="W24" s="773"/>
      <c r="X24" s="1811"/>
      <c r="Y24" s="3201"/>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0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1"/>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08"/>
      <c r="Q26" s="1808" t="str">
        <f t="shared" si="11"/>
        <v>朝向</v>
      </c>
      <c r="R26" s="772" t="s">
        <v>21</v>
      </c>
      <c r="S26" s="773">
        <f t="shared" si="12"/>
        <v>100</v>
      </c>
      <c r="T26" s="772" t="s">
        <v>21</v>
      </c>
      <c r="U26" s="773">
        <f t="shared" si="13"/>
        <v>100</v>
      </c>
      <c r="V26" s="772" t="s">
        <v>21</v>
      </c>
      <c r="W26" s="773">
        <f t="shared" si="14"/>
        <v>100</v>
      </c>
      <c r="X26" s="1811"/>
      <c r="Y26" s="3201"/>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08"/>
      <c r="Q27" s="1793">
        <f t="shared" si="11"/>
        <v>111</v>
      </c>
      <c r="R27" s="768" t="s">
        <v>21</v>
      </c>
      <c r="S27" s="769">
        <f t="shared" si="12"/>
        <v>100</v>
      </c>
      <c r="T27" s="768" t="s">
        <v>21</v>
      </c>
      <c r="U27" s="769">
        <f t="shared" si="13"/>
        <v>100</v>
      </c>
      <c r="V27" s="768" t="s">
        <v>21</v>
      </c>
      <c r="W27" s="769">
        <f t="shared" si="14"/>
        <v>100</v>
      </c>
      <c r="X27" s="770"/>
      <c r="Y27" s="3201"/>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08"/>
      <c r="Q28" s="1808">
        <f t="shared" si="11"/>
        <v>111</v>
      </c>
      <c r="R28" s="772" t="s">
        <v>21</v>
      </c>
      <c r="S28" s="773">
        <f t="shared" si="12"/>
        <v>100</v>
      </c>
      <c r="T28" s="772" t="s">
        <v>21</v>
      </c>
      <c r="U28" s="773">
        <f t="shared" si="13"/>
        <v>100</v>
      </c>
      <c r="V28" s="772" t="s">
        <v>21</v>
      </c>
      <c r="W28" s="773">
        <f t="shared" si="14"/>
        <v>100</v>
      </c>
      <c r="X28" s="1811"/>
      <c r="Y28" s="3201"/>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08"/>
      <c r="Q29" s="1808">
        <f t="shared" si="11"/>
        <v>111</v>
      </c>
      <c r="R29" s="772" t="s">
        <v>21</v>
      </c>
      <c r="S29" s="773">
        <f t="shared" si="12"/>
        <v>100</v>
      </c>
      <c r="T29" s="772" t="s">
        <v>21</v>
      </c>
      <c r="U29" s="773">
        <f t="shared" si="13"/>
        <v>100</v>
      </c>
      <c r="V29" s="772" t="s">
        <v>21</v>
      </c>
      <c r="W29" s="773">
        <f t="shared" si="14"/>
        <v>100</v>
      </c>
      <c r="X29" s="1811"/>
      <c r="Y29" s="3201"/>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08"/>
      <c r="Q30" s="1808">
        <f t="shared" si="11"/>
        <v>111</v>
      </c>
      <c r="R30" s="772" t="s">
        <v>21</v>
      </c>
      <c r="S30" s="773">
        <f t="shared" si="12"/>
        <v>100</v>
      </c>
      <c r="T30" s="772" t="s">
        <v>21</v>
      </c>
      <c r="U30" s="773">
        <f t="shared" si="13"/>
        <v>100</v>
      </c>
      <c r="V30" s="772" t="s">
        <v>21</v>
      </c>
      <c r="W30" s="773">
        <f t="shared" si="14"/>
        <v>100</v>
      </c>
      <c r="X30" s="1811"/>
      <c r="Y30" s="3201"/>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08"/>
      <c r="Q31" s="1808">
        <f t="shared" si="11"/>
        <v>111</v>
      </c>
      <c r="R31" s="772" t="s">
        <v>21</v>
      </c>
      <c r="S31" s="773">
        <f t="shared" si="12"/>
        <v>100</v>
      </c>
      <c r="T31" s="772" t="s">
        <v>21</v>
      </c>
      <c r="U31" s="773">
        <f t="shared" si="13"/>
        <v>100</v>
      </c>
      <c r="V31" s="772" t="s">
        <v>21</v>
      </c>
      <c r="W31" s="773">
        <f t="shared" si="14"/>
        <v>100</v>
      </c>
      <c r="X31" s="1811"/>
      <c r="Y31" s="3201"/>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02" t="s">
        <v>2566</v>
      </c>
      <c r="Q32" s="1808" t="str">
        <f t="shared" si="11"/>
        <v>建筑类型</v>
      </c>
      <c r="R32" s="772" t="s">
        <v>21</v>
      </c>
      <c r="S32" s="773">
        <f t="shared" si="12"/>
        <v>100</v>
      </c>
      <c r="T32" s="772" t="s">
        <v>21</v>
      </c>
      <c r="U32" s="773">
        <f t="shared" si="13"/>
        <v>100</v>
      </c>
      <c r="V32" s="772" t="s">
        <v>21</v>
      </c>
      <c r="W32" s="773">
        <f t="shared" si="14"/>
        <v>100</v>
      </c>
      <c r="X32" s="1811"/>
      <c r="Y32" s="3205"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03"/>
      <c r="Q33" s="774" t="str">
        <f t="shared" si="11"/>
        <v>项目建筑规模</v>
      </c>
      <c r="R33" s="775" t="s">
        <v>21</v>
      </c>
      <c r="S33" s="776" t="e">
        <f t="shared" si="12"/>
        <v>#N/A</v>
      </c>
      <c r="T33" s="775" t="s">
        <v>21</v>
      </c>
      <c r="U33" s="776" t="e">
        <f t="shared" si="13"/>
        <v>#N/A</v>
      </c>
      <c r="V33" s="775" t="s">
        <v>21</v>
      </c>
      <c r="W33" s="776" t="e">
        <f t="shared" si="14"/>
        <v>#N/A</v>
      </c>
      <c r="X33" s="777"/>
      <c r="Y33" s="3205"/>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03"/>
      <c r="Q34" s="1808" t="str">
        <f t="shared" si="11"/>
        <v>建筑结构</v>
      </c>
      <c r="R34" s="772" t="s">
        <v>21</v>
      </c>
      <c r="S34" s="773">
        <f t="shared" si="12"/>
        <v>100</v>
      </c>
      <c r="T34" s="772" t="s">
        <v>21</v>
      </c>
      <c r="U34" s="773">
        <f t="shared" si="13"/>
        <v>100</v>
      </c>
      <c r="V34" s="772" t="s">
        <v>21</v>
      </c>
      <c r="W34" s="773">
        <f t="shared" si="14"/>
        <v>100</v>
      </c>
      <c r="X34" s="1811"/>
      <c r="Y34" s="3205"/>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03"/>
      <c r="Q35" s="1808" t="str">
        <f t="shared" si="11"/>
        <v>建筑品质</v>
      </c>
      <c r="R35" s="772" t="s">
        <v>21</v>
      </c>
      <c r="S35" s="773">
        <f t="shared" si="12"/>
        <v>100</v>
      </c>
      <c r="T35" s="772" t="s">
        <v>21</v>
      </c>
      <c r="U35" s="773">
        <f t="shared" si="13"/>
        <v>100</v>
      </c>
      <c r="V35" s="772" t="s">
        <v>21</v>
      </c>
      <c r="W35" s="773">
        <f t="shared" si="14"/>
        <v>100</v>
      </c>
      <c r="X35" s="1811"/>
      <c r="Y35" s="3205"/>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03"/>
      <c r="Q36" s="1808" t="str">
        <f t="shared" si="11"/>
        <v>公共部分装修</v>
      </c>
      <c r="R36" s="772" t="s">
        <v>21</v>
      </c>
      <c r="S36" s="773">
        <f t="shared" si="12"/>
        <v>100</v>
      </c>
      <c r="T36" s="772" t="s">
        <v>21</v>
      </c>
      <c r="U36" s="773">
        <f t="shared" si="13"/>
        <v>100</v>
      </c>
      <c r="V36" s="772" t="s">
        <v>21</v>
      </c>
      <c r="W36" s="773">
        <f t="shared" si="14"/>
        <v>100</v>
      </c>
      <c r="X36" s="1811"/>
      <c r="Y36" s="3205"/>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3"/>
      <c r="Q37" s="1793" t="str">
        <f t="shared" si="11"/>
        <v>成新度</v>
      </c>
      <c r="R37" s="768" t="s">
        <v>21</v>
      </c>
      <c r="S37" s="769" t="e">
        <f t="shared" si="12"/>
        <v>#N/A</v>
      </c>
      <c r="T37" s="768" t="s">
        <v>21</v>
      </c>
      <c r="U37" s="769" t="e">
        <f t="shared" si="13"/>
        <v>#N/A</v>
      </c>
      <c r="V37" s="768" t="s">
        <v>21</v>
      </c>
      <c r="W37" s="769" t="e">
        <f t="shared" si="14"/>
        <v>#N/A</v>
      </c>
      <c r="X37" s="770"/>
      <c r="Y37" s="3205"/>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03" t="s">
        <v>2566</v>
      </c>
      <c r="Q38" s="1808" t="str">
        <f t="shared" si="11"/>
        <v>物业管理</v>
      </c>
      <c r="R38" s="772" t="s">
        <v>21</v>
      </c>
      <c r="S38" s="773">
        <f t="shared" si="12"/>
        <v>100</v>
      </c>
      <c r="T38" s="772" t="s">
        <v>21</v>
      </c>
      <c r="U38" s="773">
        <f t="shared" si="13"/>
        <v>100</v>
      </c>
      <c r="V38" s="772" t="s">
        <v>21</v>
      </c>
      <c r="W38" s="773">
        <f t="shared" si="14"/>
        <v>100</v>
      </c>
      <c r="X38" s="1811"/>
      <c r="Y38" s="3205"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03"/>
      <c r="Q39" s="1808" t="str">
        <f t="shared" si="11"/>
        <v>市政基础设施</v>
      </c>
      <c r="R39" s="772" t="s">
        <v>21</v>
      </c>
      <c r="S39" s="773">
        <f t="shared" si="12"/>
        <v>100</v>
      </c>
      <c r="T39" s="772" t="s">
        <v>21</v>
      </c>
      <c r="U39" s="773">
        <f t="shared" si="13"/>
        <v>100</v>
      </c>
      <c r="V39" s="772" t="s">
        <v>21</v>
      </c>
      <c r="W39" s="773">
        <f t="shared" si="14"/>
        <v>100</v>
      </c>
      <c r="X39" s="1811"/>
      <c r="Y39" s="3205"/>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03"/>
      <c r="Q40" s="1808" t="str">
        <f t="shared" si="11"/>
        <v>房型</v>
      </c>
      <c r="R40" s="772" t="s">
        <v>21</v>
      </c>
      <c r="S40" s="773">
        <f t="shared" si="12"/>
        <v>100</v>
      </c>
      <c r="T40" s="772" t="s">
        <v>21</v>
      </c>
      <c r="U40" s="773">
        <f t="shared" si="13"/>
        <v>100</v>
      </c>
      <c r="V40" s="772" t="s">
        <v>21</v>
      </c>
      <c r="W40" s="773">
        <f t="shared" si="14"/>
        <v>100</v>
      </c>
      <c r="X40" s="1811"/>
      <c r="Y40" s="3205"/>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03"/>
      <c r="Q41" s="774" t="str">
        <f t="shared" si="11"/>
        <v>单套/主力户型建筑面积</v>
      </c>
      <c r="R41" s="775" t="s">
        <v>21</v>
      </c>
      <c r="S41" s="776">
        <f t="shared" si="12"/>
        <v>100</v>
      </c>
      <c r="T41" s="775" t="s">
        <v>21</v>
      </c>
      <c r="U41" s="776">
        <f t="shared" si="13"/>
        <v>100</v>
      </c>
      <c r="V41" s="775" t="s">
        <v>21</v>
      </c>
      <c r="W41" s="776">
        <f t="shared" si="14"/>
        <v>100</v>
      </c>
      <c r="X41" s="777"/>
      <c r="Y41" s="3205"/>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03"/>
      <c r="Q42" s="1808" t="str">
        <f t="shared" si="11"/>
        <v>内部装修</v>
      </c>
      <c r="R42" s="772" t="s">
        <v>21</v>
      </c>
      <c r="S42" s="773">
        <f t="shared" si="12"/>
        <v>100</v>
      </c>
      <c r="T42" s="772" t="s">
        <v>21</v>
      </c>
      <c r="U42" s="773">
        <f t="shared" si="13"/>
        <v>100</v>
      </c>
      <c r="V42" s="772" t="s">
        <v>21</v>
      </c>
      <c r="W42" s="773">
        <f t="shared" si="14"/>
        <v>100</v>
      </c>
      <c r="X42" s="1811"/>
      <c r="Y42" s="3205"/>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03"/>
      <c r="Q43" s="1808" t="str">
        <f t="shared" si="11"/>
        <v>内部装修维护情况</v>
      </c>
      <c r="R43" s="772" t="s">
        <v>21</v>
      </c>
      <c r="S43" s="773">
        <f t="shared" si="12"/>
        <v>100</v>
      </c>
      <c r="T43" s="772" t="s">
        <v>21</v>
      </c>
      <c r="U43" s="773">
        <f t="shared" si="13"/>
        <v>100</v>
      </c>
      <c r="V43" s="772" t="s">
        <v>21</v>
      </c>
      <c r="W43" s="773">
        <f t="shared" si="14"/>
        <v>100</v>
      </c>
      <c r="X43" s="1811"/>
      <c r="Y43" s="3205"/>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03"/>
      <c r="Q44" s="1793">
        <f t="shared" si="11"/>
        <v>111</v>
      </c>
      <c r="R44" s="768" t="s">
        <v>21</v>
      </c>
      <c r="S44" s="769">
        <f t="shared" si="12"/>
        <v>100</v>
      </c>
      <c r="T44" s="768" t="s">
        <v>21</v>
      </c>
      <c r="U44" s="769">
        <f t="shared" si="13"/>
        <v>100</v>
      </c>
      <c r="V44" s="768" t="s">
        <v>21</v>
      </c>
      <c r="W44" s="769">
        <f t="shared" si="14"/>
        <v>100</v>
      </c>
      <c r="X44" s="770"/>
      <c r="Y44" s="3205"/>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03"/>
      <c r="Q45" s="1808">
        <f t="shared" si="11"/>
        <v>111</v>
      </c>
      <c r="R45" s="772" t="s">
        <v>21</v>
      </c>
      <c r="S45" s="773">
        <f t="shared" si="12"/>
        <v>100</v>
      </c>
      <c r="T45" s="772" t="s">
        <v>21</v>
      </c>
      <c r="U45" s="773">
        <f t="shared" si="13"/>
        <v>100</v>
      </c>
      <c r="V45" s="772" t="s">
        <v>21</v>
      </c>
      <c r="W45" s="773">
        <f t="shared" si="14"/>
        <v>100</v>
      </c>
      <c r="X45" s="1811"/>
      <c r="Y45" s="3205"/>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04"/>
      <c r="Q46" s="1808">
        <f t="shared" si="11"/>
        <v>111</v>
      </c>
      <c r="R46" s="772" t="s">
        <v>20</v>
      </c>
      <c r="S46" s="773">
        <f t="shared" si="12"/>
        <v>100</v>
      </c>
      <c r="T46" s="772" t="s">
        <v>20</v>
      </c>
      <c r="U46" s="773">
        <f t="shared" si="13"/>
        <v>100</v>
      </c>
      <c r="V46" s="772" t="s">
        <v>20</v>
      </c>
      <c r="W46" s="773">
        <f t="shared" si="14"/>
        <v>100</v>
      </c>
      <c r="X46" s="1811"/>
      <c r="Y46" s="3206"/>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2"/>
      <c r="L47" s="1141"/>
      <c r="M47" s="1142"/>
      <c r="N47" s="1129"/>
      <c r="O47" s="1142"/>
      <c r="P47" s="3198" t="str">
        <f>A47</f>
        <v>成交单价（元/平方米）</v>
      </c>
      <c r="Q47" s="3198"/>
      <c r="R47" s="3199">
        <f>E47</f>
        <v>0</v>
      </c>
      <c r="S47" s="3199"/>
      <c r="T47" s="3199">
        <f>G47</f>
        <v>0</v>
      </c>
      <c r="U47" s="3199"/>
      <c r="V47" s="3199">
        <f>I47</f>
        <v>0</v>
      </c>
      <c r="W47" s="3199"/>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3"/>
      <c r="L48" s="1141"/>
      <c r="M48" s="1142"/>
      <c r="N48" s="1142"/>
      <c r="O48" s="1142"/>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4"/>
      <c r="L49" s="1141"/>
      <c r="M49" s="1142"/>
      <c r="N49" s="1142"/>
      <c r="O49" s="1142"/>
      <c r="P49" s="3195" t="str">
        <f>A49</f>
        <v>估价对象XX用房的比较价值（楼面单价，元/平方米）</v>
      </c>
      <c r="Q49" s="3196"/>
      <c r="R49" s="3197" t="e">
        <f>IF(F1="售价",ROUND(AVERAGE(R48:V48),0),ROUND(AVERAGE(R48:V48),1))</f>
        <v>#DIV/0!</v>
      </c>
      <c r="S49" s="3197"/>
      <c r="T49" s="3197"/>
      <c r="U49" s="3197"/>
      <c r="V49" s="3197"/>
      <c r="W49" s="319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7"/>
      <c r="Q57" s="504"/>
    </row>
    <row r="58" spans="1:29" s="508" customFormat="1" ht="15">
      <c r="A58" s="505" t="s">
        <v>2585</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2611</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2612</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2564</v>
      </c>
      <c r="B100" s="528" t="s">
        <v>2613</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2615</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2616</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2617</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2618</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2619</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2620</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2621</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5">
        <f>ROUNDUP((J139-1)/2,0)</f>
        <v>10</v>
      </c>
      <c r="K140" s="1093">
        <v>100</v>
      </c>
    </row>
    <row r="141" spans="1:17" ht="15">
      <c r="B141" s="1088">
        <v>4</v>
      </c>
      <c r="C141" s="1089">
        <v>102</v>
      </c>
      <c r="D141" s="1089"/>
      <c r="E141" s="1090"/>
      <c r="F141" s="1091">
        <v>101.5</v>
      </c>
      <c r="G141" s="1089"/>
      <c r="H141" s="1092"/>
      <c r="I141" s="2651" t="s">
        <v>2635</v>
      </c>
      <c r="J141" s="315">
        <v>1</v>
      </c>
      <c r="K141" s="1094">
        <f>ROUND(100+(J141-J140)*K139*100,1)</f>
        <v>96.4</v>
      </c>
    </row>
    <row r="142" spans="1:17" ht="15">
      <c r="B142" s="1088">
        <v>3</v>
      </c>
      <c r="C142" s="1089">
        <v>103</v>
      </c>
      <c r="D142" s="1089"/>
      <c r="E142" s="1090"/>
      <c r="F142" s="1091">
        <v>101</v>
      </c>
      <c r="G142" s="1089"/>
      <c r="H142" s="1092"/>
      <c r="I142" s="2651" t="s">
        <v>2636</v>
      </c>
      <c r="J142" s="315">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B36" sqref="B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2643</v>
      </c>
      <c r="C1" s="1632" t="s">
        <v>2531</v>
      </c>
      <c r="D1" s="1619" t="s">
        <v>3061</v>
      </c>
      <c r="E1" s="2658"/>
      <c r="F1" s="2585" t="s">
        <v>3112</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2328</v>
      </c>
      <c r="B2" s="1416">
        <f>IF(C2="——",ROUND(C49*D3/10000,0),ROUND(C49*D3/10000,0)-D2)</f>
        <v>439</v>
      </c>
      <c r="C2" s="2587" t="s">
        <v>70</v>
      </c>
      <c r="D2" s="1363" t="e">
        <f ca="1">SUMIF(INDIRECT("'"&amp;F2&amp;"'"&amp;"!A:A"),"承租人权益价值",INDIRECT("'"&amp;F2&amp;"'"&amp;"!c:c"))</f>
        <v>#REF!</v>
      </c>
      <c r="E2" s="2588" t="s">
        <v>2329</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2330</v>
      </c>
      <c r="B3" s="609">
        <f>IF(C2="——",C49,ROUND(B2*10000/D3,0))</f>
        <v>9713</v>
      </c>
      <c r="C3" s="400" t="s">
        <v>2645</v>
      </c>
      <c r="D3" s="399">
        <f>IF(D1="",'数据-汇总表'!E3,SUMIF('数据-汇总表'!$C19:$C33,D1,'数据-汇总表'!$E19:$E33))</f>
        <v>451.5</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29" t="s">
        <v>2649</v>
      </c>
      <c r="AC4" s="3210" t="s">
        <v>2650</v>
      </c>
    </row>
    <row r="5" spans="1:29" ht="15">
      <c r="A5" s="404"/>
      <c r="B5" s="405"/>
      <c r="C5" s="3232" t="s">
        <v>2543</v>
      </c>
      <c r="D5" s="3233"/>
      <c r="E5" s="3242" t="s">
        <v>3072</v>
      </c>
      <c r="F5" s="3240"/>
      <c r="G5" s="3241" t="s">
        <v>3073</v>
      </c>
      <c r="H5" s="3233"/>
      <c r="I5" s="3241" t="s">
        <v>3113</v>
      </c>
      <c r="J5" s="3233"/>
      <c r="K5" s="610"/>
      <c r="L5" s="1128"/>
      <c r="M5" s="1129"/>
      <c r="N5" s="1129"/>
      <c r="O5" s="1129"/>
      <c r="P5" s="3219"/>
      <c r="Q5" s="3220"/>
      <c r="R5" s="3225"/>
      <c r="S5" s="3226"/>
      <c r="T5" s="3225"/>
      <c r="U5" s="3226"/>
      <c r="V5" s="3229"/>
      <c r="W5" s="3229"/>
      <c r="X5" s="1811"/>
      <c r="Y5" s="3225"/>
      <c r="Z5" s="3226"/>
      <c r="AA5" s="3211"/>
      <c r="AB5" s="3229"/>
      <c r="AC5" s="3211"/>
    </row>
    <row r="6" spans="1:29" ht="15.75" thickBot="1">
      <c r="A6" s="406"/>
      <c r="B6" s="407"/>
      <c r="C6" s="3230" t="s">
        <v>2547</v>
      </c>
      <c r="D6" s="3231"/>
      <c r="E6" s="3237" t="s">
        <v>2547</v>
      </c>
      <c r="F6" s="3238"/>
      <c r="G6" s="3230" t="s">
        <v>2547</v>
      </c>
      <c r="H6" s="3231"/>
      <c r="I6" s="3230" t="s">
        <v>2547</v>
      </c>
      <c r="J6" s="3231"/>
      <c r="K6" s="610" t="s">
        <v>2548</v>
      </c>
      <c r="L6" s="1128"/>
      <c r="M6" s="1129"/>
      <c r="N6" s="1129"/>
      <c r="O6" s="1129"/>
      <c r="P6" s="3221"/>
      <c r="Q6" s="3222"/>
      <c r="R6" s="3225"/>
      <c r="S6" s="3226"/>
      <c r="T6" s="3227"/>
      <c r="U6" s="3228"/>
      <c r="V6" s="3229"/>
      <c r="W6" s="3229"/>
      <c r="X6" s="1811"/>
      <c r="Y6" s="3227"/>
      <c r="Z6" s="3228"/>
      <c r="AA6" s="3212"/>
      <c r="AB6" s="3229"/>
      <c r="AC6" s="3212"/>
    </row>
    <row r="7" spans="1:29" s="117" customFormat="1" ht="15.75" thickBot="1">
      <c r="A7" s="408" t="s">
        <v>2549</v>
      </c>
      <c r="B7" s="409"/>
      <c r="C7" s="410">
        <f>'数据-取费表'!B2</f>
        <v>43690</v>
      </c>
      <c r="D7" s="411">
        <v>100</v>
      </c>
      <c r="E7" s="412">
        <f>C7</f>
        <v>43690</v>
      </c>
      <c r="F7" s="413">
        <f>SUMIF(58:58,YEAR(E7)&amp;"-"&amp;MONTH(E7),59:59)</f>
        <v>100</v>
      </c>
      <c r="G7" s="412">
        <f>C7</f>
        <v>43690</v>
      </c>
      <c r="H7" s="411">
        <f>SUMIF(58:58,YEAR(G7)&amp;"-"&amp;MONTH(G7),59:59)</f>
        <v>100</v>
      </c>
      <c r="I7" s="412">
        <f>C7</f>
        <v>43690</v>
      </c>
      <c r="J7" s="411">
        <f>SUMIF(58:58,YEAR(I7)&amp;"-"&amp;MONTH(I7),59:59)</f>
        <v>100</v>
      </c>
      <c r="K7" s="611"/>
      <c r="L7" s="1130"/>
      <c r="M7" s="1131"/>
      <c r="N7" s="1131"/>
      <c r="O7" s="1131"/>
      <c r="P7" s="3234" t="s">
        <v>2550</v>
      </c>
      <c r="Q7" s="3236"/>
      <c r="R7" s="768" t="s">
        <v>17</v>
      </c>
      <c r="S7" s="769">
        <f t="shared" ref="S7:S15" si="0">F7</f>
        <v>100</v>
      </c>
      <c r="T7" s="768" t="s">
        <v>17</v>
      </c>
      <c r="U7" s="769">
        <f t="shared" ref="U7:U15" si="1">H7</f>
        <v>100</v>
      </c>
      <c r="V7" s="768" t="s">
        <v>17</v>
      </c>
      <c r="W7" s="769">
        <f t="shared" ref="W7:W15" si="2">J7</f>
        <v>100</v>
      </c>
      <c r="X7" s="770"/>
      <c r="Y7" s="3234" t="s">
        <v>2550</v>
      </c>
      <c r="Z7" s="3235"/>
      <c r="AA7" s="771">
        <f>D7/F7</f>
        <v>1</v>
      </c>
      <c r="AB7" s="771">
        <f>D7/H7</f>
        <v>1</v>
      </c>
      <c r="AC7" s="771">
        <f>D7/J7</f>
        <v>1</v>
      </c>
    </row>
    <row r="8" spans="1:29" s="117" customFormat="1" ht="15.75" thickBot="1">
      <c r="A8" s="408" t="s">
        <v>2551</v>
      </c>
      <c r="B8" s="409"/>
      <c r="C8" s="414" t="s">
        <v>2653</v>
      </c>
      <c r="D8" s="411">
        <v>100</v>
      </c>
      <c r="E8" s="414" t="s">
        <v>3074</v>
      </c>
      <c r="F8" s="413">
        <f>SUMIF(61:61,E8,62:62)-SUMIF(61:61,C8,62:62)+100</f>
        <v>100</v>
      </c>
      <c r="G8" s="414" t="s">
        <v>3074</v>
      </c>
      <c r="H8" s="411">
        <f>SUMIF(61:61,G8,62:62)-SUMIF(61:61,C8,62:62)+100</f>
        <v>100</v>
      </c>
      <c r="I8" s="414" t="s">
        <v>3074</v>
      </c>
      <c r="J8" s="411">
        <f>SUMIF(61:61,I8,62:62)-SUMIF(61:61,C8,62:62)+100</f>
        <v>100</v>
      </c>
      <c r="K8" s="611"/>
      <c r="L8" s="1130"/>
      <c r="M8" s="1131"/>
      <c r="N8" s="1131"/>
      <c r="O8" s="1131"/>
      <c r="P8" s="3234" t="s">
        <v>2553</v>
      </c>
      <c r="Q8" s="3235"/>
      <c r="R8" s="768" t="s">
        <v>17</v>
      </c>
      <c r="S8" s="769">
        <f t="shared" si="0"/>
        <v>100</v>
      </c>
      <c r="T8" s="768" t="s">
        <v>17</v>
      </c>
      <c r="U8" s="769">
        <f t="shared" si="1"/>
        <v>100</v>
      </c>
      <c r="V8" s="768" t="s">
        <v>17</v>
      </c>
      <c r="W8" s="769">
        <f t="shared" si="2"/>
        <v>100</v>
      </c>
      <c r="X8" s="770"/>
      <c r="Y8" s="3234" t="s">
        <v>2553</v>
      </c>
      <c r="Z8" s="3235"/>
      <c r="AA8" s="771">
        <f t="shared" ref="AA8:AA46" si="3">D8/F8</f>
        <v>1</v>
      </c>
      <c r="AB8" s="771">
        <f t="shared" ref="AB8:AB46" si="4">D8/H8</f>
        <v>1</v>
      </c>
      <c r="AC8" s="771">
        <f t="shared" ref="AC8:AC46" si="5">D8/J8</f>
        <v>1</v>
      </c>
    </row>
    <row r="9" spans="1:29" s="117" customFormat="1">
      <c r="A9" s="415" t="s">
        <v>2554</v>
      </c>
      <c r="B9" s="71" t="s">
        <v>2555</v>
      </c>
      <c r="C9" s="2973" t="s">
        <v>3076</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09"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771">
        <f t="shared" si="5"/>
        <v>1</v>
      </c>
    </row>
    <row r="10" spans="1:29" s="427" customFormat="1" ht="27">
      <c r="A10" s="421"/>
      <c r="B10" s="422" t="s">
        <v>2558</v>
      </c>
      <c r="C10" s="423" t="s">
        <v>3077</v>
      </c>
      <c r="D10" s="136">
        <v>100</v>
      </c>
      <c r="E10" s="424" t="s">
        <v>3077</v>
      </c>
      <c r="F10" s="425">
        <f>SUMIF(65:65,E10,66:66)-SUMIF(65:65,C10,66:66)+100</f>
        <v>100</v>
      </c>
      <c r="G10" s="423" t="s">
        <v>3077</v>
      </c>
      <c r="H10" s="136">
        <f>SUMIF(65:65,G10,66:66)-SUMIF(65:65,C10,66:66)+100</f>
        <v>100</v>
      </c>
      <c r="I10" s="423" t="s">
        <v>3077</v>
      </c>
      <c r="J10" s="136">
        <f>SUMIF(65:65,I10,66:66)-SUMIF(65:65,C10,66:66)+100</f>
        <v>100</v>
      </c>
      <c r="K10" s="612">
        <v>2</v>
      </c>
      <c r="L10" s="1133"/>
      <c r="M10" s="1134"/>
      <c r="N10" s="1134"/>
      <c r="O10" s="1134"/>
      <c r="P10" s="3209"/>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09"/>
      <c r="Q11" s="1793" t="str">
        <f t="shared" si="6"/>
        <v>容积率</v>
      </c>
      <c r="R11" s="768" t="s">
        <v>17</v>
      </c>
      <c r="S11" s="769">
        <f t="shared" si="0"/>
        <v>100</v>
      </c>
      <c r="T11" s="768" t="s">
        <v>17</v>
      </c>
      <c r="U11" s="769">
        <f t="shared" si="1"/>
        <v>100</v>
      </c>
      <c r="V11" s="768" t="s">
        <v>17</v>
      </c>
      <c r="W11" s="769">
        <f t="shared" si="2"/>
        <v>100</v>
      </c>
      <c r="X11" s="770"/>
      <c r="Y11" s="3023"/>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09"/>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9"/>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9"/>
      <c r="Q14" s="1793">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207" t="s">
        <v>2561</v>
      </c>
      <c r="Q15" s="1808" t="str">
        <f t="shared" si="6"/>
        <v>商业繁华度</v>
      </c>
      <c r="R15" s="772" t="s">
        <v>17</v>
      </c>
      <c r="S15" s="773">
        <f t="shared" si="0"/>
        <v>100</v>
      </c>
      <c r="T15" s="772" t="s">
        <v>17</v>
      </c>
      <c r="U15" s="773">
        <f t="shared" si="1"/>
        <v>100</v>
      </c>
      <c r="V15" s="772" t="s">
        <v>17</v>
      </c>
      <c r="W15" s="773">
        <f t="shared" si="2"/>
        <v>100</v>
      </c>
      <c r="X15" s="1811"/>
      <c r="Y15" s="3200" t="s">
        <v>2561</v>
      </c>
      <c r="Z15" s="1812" t="str">
        <f t="shared" si="7"/>
        <v>商业繁华度</v>
      </c>
      <c r="AA15" s="1809">
        <f t="shared" si="3"/>
        <v>1</v>
      </c>
      <c r="AB15" s="1809">
        <f t="shared" si="4"/>
        <v>1</v>
      </c>
      <c r="AC15" s="1809">
        <f t="shared" si="5"/>
        <v>1</v>
      </c>
    </row>
    <row r="16" spans="1:29" ht="15">
      <c r="A16" s="428"/>
      <c r="B16" s="446"/>
      <c r="C16" s="447" t="s">
        <v>3078</v>
      </c>
      <c r="D16" s="448"/>
      <c r="E16" s="447" t="s">
        <v>3078</v>
      </c>
      <c r="F16" s="449"/>
      <c r="G16" s="447" t="s">
        <v>3078</v>
      </c>
      <c r="H16" s="450"/>
      <c r="I16" s="447" t="s">
        <v>3078</v>
      </c>
      <c r="J16" s="448"/>
      <c r="K16" s="615"/>
      <c r="L16" s="1138"/>
      <c r="M16" s="1129"/>
      <c r="N16" s="1129"/>
      <c r="O16" s="1129"/>
      <c r="P16" s="3208"/>
      <c r="Q16" s="1808"/>
      <c r="R16" s="772"/>
      <c r="S16" s="773"/>
      <c r="T16" s="772"/>
      <c r="U16" s="773"/>
      <c r="V16" s="772"/>
      <c r="W16" s="773"/>
      <c r="X16" s="1811"/>
      <c r="Y16" s="3201"/>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8"/>
      <c r="M17" s="1129"/>
      <c r="N17" s="1129"/>
      <c r="O17" s="1129"/>
      <c r="P17" s="3208"/>
      <c r="Q17" s="1808" t="str">
        <f>B17</f>
        <v>交通便捷度</v>
      </c>
      <c r="R17" s="772" t="s">
        <v>17</v>
      </c>
      <c r="S17" s="773">
        <f>F17</f>
        <v>100</v>
      </c>
      <c r="T17" s="772" t="s">
        <v>17</v>
      </c>
      <c r="U17" s="773">
        <f>H17</f>
        <v>100</v>
      </c>
      <c r="V17" s="772" t="s">
        <v>17</v>
      </c>
      <c r="W17" s="773">
        <f>J17</f>
        <v>100</v>
      </c>
      <c r="X17" s="1811"/>
      <c r="Y17" s="3201"/>
      <c r="Z17" s="1812" t="str">
        <f>Q17</f>
        <v>交通便捷度</v>
      </c>
      <c r="AA17" s="1809">
        <f t="shared" si="3"/>
        <v>1</v>
      </c>
      <c r="AB17" s="1809">
        <f t="shared" si="4"/>
        <v>1</v>
      </c>
      <c r="AC17" s="1809">
        <f t="shared" si="5"/>
        <v>1</v>
      </c>
    </row>
    <row r="18" spans="1:29" ht="15">
      <c r="A18" s="428"/>
      <c r="B18" s="456"/>
      <c r="C18" s="2609" t="s">
        <v>3078</v>
      </c>
      <c r="D18" s="450"/>
      <c r="E18" s="2611" t="s">
        <v>3078</v>
      </c>
      <c r="F18" s="453"/>
      <c r="G18" s="2610" t="s">
        <v>3078</v>
      </c>
      <c r="H18" s="448"/>
      <c r="I18" s="2611" t="s">
        <v>3078</v>
      </c>
      <c r="J18" s="448"/>
      <c r="K18" s="615"/>
      <c r="L18" s="1138"/>
      <c r="M18" s="1129"/>
      <c r="N18" s="1129"/>
      <c r="O18" s="1129"/>
      <c r="P18" s="3208"/>
      <c r="Q18" s="1808"/>
      <c r="R18" s="772"/>
      <c r="S18" s="773"/>
      <c r="T18" s="772"/>
      <c r="U18" s="773"/>
      <c r="V18" s="772"/>
      <c r="W18" s="773"/>
      <c r="X18" s="1811"/>
      <c r="Y18" s="3201"/>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08"/>
      <c r="Q19" s="1808" t="str">
        <f>B19</f>
        <v>公共配套设施</v>
      </c>
      <c r="R19" s="772" t="s">
        <v>17</v>
      </c>
      <c r="S19" s="773">
        <f>F19</f>
        <v>100</v>
      </c>
      <c r="T19" s="772" t="s">
        <v>17</v>
      </c>
      <c r="U19" s="773">
        <f>H19</f>
        <v>100</v>
      </c>
      <c r="V19" s="772" t="s">
        <v>17</v>
      </c>
      <c r="W19" s="773">
        <f>J19</f>
        <v>100</v>
      </c>
      <c r="X19" s="1811"/>
      <c r="Y19" s="3201"/>
      <c r="Z19" s="1812" t="str">
        <f>Q19</f>
        <v>公共配套设施</v>
      </c>
      <c r="AA19" s="1809">
        <f t="shared" si="3"/>
        <v>1</v>
      </c>
      <c r="AB19" s="1809">
        <f t="shared" si="4"/>
        <v>1</v>
      </c>
      <c r="AC19" s="1809">
        <f t="shared" si="5"/>
        <v>1</v>
      </c>
    </row>
    <row r="20" spans="1:29" ht="15">
      <c r="A20" s="428"/>
      <c r="B20" s="456"/>
      <c r="C20" s="447" t="s">
        <v>3078</v>
      </c>
      <c r="D20" s="448"/>
      <c r="E20" s="2606" t="s">
        <v>3078</v>
      </c>
      <c r="F20" s="449"/>
      <c r="G20" s="2605" t="s">
        <v>3078</v>
      </c>
      <c r="H20" s="448"/>
      <c r="I20" s="2606" t="s">
        <v>3078</v>
      </c>
      <c r="J20" s="448"/>
      <c r="K20" s="615"/>
      <c r="L20" s="1138"/>
      <c r="M20" s="1129"/>
      <c r="N20" s="1129"/>
      <c r="O20" s="1129"/>
      <c r="P20" s="3208"/>
      <c r="Q20" s="1808"/>
      <c r="R20" s="772"/>
      <c r="S20" s="773"/>
      <c r="T20" s="772"/>
      <c r="U20" s="773"/>
      <c r="V20" s="772"/>
      <c r="W20" s="773"/>
      <c r="X20" s="1811"/>
      <c r="Y20" s="3201"/>
      <c r="Z20" s="1812"/>
      <c r="AA20" s="1809">
        <v>1</v>
      </c>
      <c r="AB20" s="1809">
        <v>1</v>
      </c>
      <c r="AC20" s="1809">
        <v>1</v>
      </c>
    </row>
    <row r="21" spans="1:29" ht="28.5">
      <c r="A21" s="428"/>
      <c r="B21" s="1382"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08"/>
      <c r="Q21" s="1808" t="str">
        <f>B21</f>
        <v>基础设施水平</v>
      </c>
      <c r="R21" s="772" t="s">
        <v>17</v>
      </c>
      <c r="S21" s="773">
        <f>F21</f>
        <v>100</v>
      </c>
      <c r="T21" s="772" t="s">
        <v>17</v>
      </c>
      <c r="U21" s="773">
        <f>H21</f>
        <v>100</v>
      </c>
      <c r="V21" s="772" t="s">
        <v>17</v>
      </c>
      <c r="W21" s="773">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2"/>
      <c r="C22" s="2609" t="s">
        <v>3079</v>
      </c>
      <c r="D22" s="448"/>
      <c r="E22" s="447" t="s">
        <v>3079</v>
      </c>
      <c r="F22" s="449"/>
      <c r="G22" s="447" t="s">
        <v>3079</v>
      </c>
      <c r="H22" s="448"/>
      <c r="I22" s="447" t="s">
        <v>3079</v>
      </c>
      <c r="J22" s="448"/>
      <c r="K22" s="1381"/>
      <c r="L22" s="1138"/>
      <c r="M22" s="1129"/>
      <c r="N22" s="1129"/>
      <c r="O22" s="1129"/>
      <c r="P22" s="3208"/>
      <c r="Q22" s="1808"/>
      <c r="R22" s="772"/>
      <c r="S22" s="773"/>
      <c r="T22" s="772"/>
      <c r="U22" s="773"/>
      <c r="V22" s="772"/>
      <c r="W22" s="773"/>
      <c r="X22" s="1811"/>
      <c r="Y22" s="3201"/>
      <c r="Z22" s="1812"/>
      <c r="AA22" s="1809">
        <v>1</v>
      </c>
      <c r="AB22" s="1809">
        <v>1</v>
      </c>
      <c r="AC22" s="1809">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8"/>
      <c r="M23" s="1129"/>
      <c r="N23" s="1129"/>
      <c r="O23" s="1129"/>
      <c r="P23" s="3208"/>
      <c r="Q23" s="1808" t="str">
        <f>B23</f>
        <v>自然及人文环境</v>
      </c>
      <c r="R23" s="772" t="s">
        <v>17</v>
      </c>
      <c r="S23" s="773">
        <f>F23</f>
        <v>100</v>
      </c>
      <c r="T23" s="772" t="s">
        <v>17</v>
      </c>
      <c r="U23" s="773">
        <f>H23</f>
        <v>100</v>
      </c>
      <c r="V23" s="772" t="s">
        <v>17</v>
      </c>
      <c r="W23" s="773">
        <f>J23</f>
        <v>100</v>
      </c>
      <c r="X23" s="1811"/>
      <c r="Y23" s="3201"/>
      <c r="Z23" s="1812" t="str">
        <f>Q23</f>
        <v>自然及人文环境</v>
      </c>
      <c r="AA23" s="1809">
        <f t="shared" si="3"/>
        <v>1</v>
      </c>
      <c r="AB23" s="1809">
        <f t="shared" si="4"/>
        <v>1</v>
      </c>
      <c r="AC23" s="1809">
        <f t="shared" si="5"/>
        <v>1</v>
      </c>
    </row>
    <row r="24" spans="1:29" ht="15">
      <c r="A24" s="428"/>
      <c r="B24" s="456"/>
      <c r="C24" s="447" t="s">
        <v>3080</v>
      </c>
      <c r="D24" s="448"/>
      <c r="E24" s="2606" t="s">
        <v>3080</v>
      </c>
      <c r="F24" s="449"/>
      <c r="G24" s="2605" t="s">
        <v>3080</v>
      </c>
      <c r="H24" s="448"/>
      <c r="I24" s="2606" t="s">
        <v>3080</v>
      </c>
      <c r="J24" s="448"/>
      <c r="K24" s="615"/>
      <c r="L24" s="1138"/>
      <c r="M24" s="1129"/>
      <c r="N24" s="1129"/>
      <c r="O24" s="1129"/>
      <c r="P24" s="3208"/>
      <c r="Q24" s="1808"/>
      <c r="R24" s="772"/>
      <c r="S24" s="773"/>
      <c r="T24" s="772"/>
      <c r="U24" s="773"/>
      <c r="V24" s="772"/>
      <c r="W24" s="773"/>
      <c r="X24" s="1811"/>
      <c r="Y24" s="3201"/>
      <c r="Z24" s="1812"/>
      <c r="AA24" s="1809">
        <v>1</v>
      </c>
      <c r="AB24" s="1809">
        <v>1</v>
      </c>
      <c r="AC24" s="1809">
        <v>1</v>
      </c>
    </row>
    <row r="25" spans="1:29" ht="15">
      <c r="A25" s="428"/>
      <c r="B25" s="422" t="s">
        <v>2657</v>
      </c>
      <c r="C25" s="616" t="s">
        <v>3083</v>
      </c>
      <c r="D25" s="435">
        <v>100</v>
      </c>
      <c r="E25" s="616" t="s">
        <v>3083</v>
      </c>
      <c r="F25" s="461">
        <f>SUMIF(86:86,E25,87:87)-SUMIF(86:86,C25,87:87)+100</f>
        <v>100</v>
      </c>
      <c r="G25" s="616" t="s">
        <v>3083</v>
      </c>
      <c r="H25" s="435">
        <f>SUMIF(86:86,G25,87:87)-SUMIF(86:86,C25,87:87)+100</f>
        <v>100</v>
      </c>
      <c r="I25" s="616" t="s">
        <v>3083</v>
      </c>
      <c r="J25" s="435">
        <f>SUMIF(86:86,I25,87:87)-SUMIF(86:86,C25,87:87)+100</f>
        <v>100</v>
      </c>
      <c r="K25" s="612">
        <v>1</v>
      </c>
      <c r="L25" s="1138"/>
      <c r="M25" s="1129"/>
      <c r="N25" s="1129"/>
      <c r="O25" s="1129"/>
      <c r="P25" s="3208"/>
      <c r="Q25" s="1808" t="str">
        <f t="shared" ref="Q25:Q46" si="11">B25</f>
        <v>临街状况</v>
      </c>
      <c r="R25" s="772" t="s">
        <v>17</v>
      </c>
      <c r="S25" s="773">
        <f>F25</f>
        <v>100</v>
      </c>
      <c r="T25" s="772" t="s">
        <v>17</v>
      </c>
      <c r="U25" s="773">
        <f>H25</f>
        <v>100</v>
      </c>
      <c r="V25" s="772" t="s">
        <v>17</v>
      </c>
      <c r="W25" s="773">
        <f>J25</f>
        <v>100</v>
      </c>
      <c r="X25" s="1811"/>
      <c r="Y25" s="3201"/>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8"/>
      <c r="Q26" s="1808" t="str">
        <f t="shared" si="11"/>
        <v>平面位置/可视性</v>
      </c>
      <c r="R26" s="772" t="s">
        <v>17</v>
      </c>
      <c r="S26" s="773">
        <f>F26</f>
        <v>100</v>
      </c>
      <c r="T26" s="772" t="s">
        <v>17</v>
      </c>
      <c r="U26" s="773">
        <f>H26</f>
        <v>100</v>
      </c>
      <c r="V26" s="772" t="s">
        <v>17</v>
      </c>
      <c r="W26" s="773">
        <f>J26</f>
        <v>100</v>
      </c>
      <c r="X26" s="1811"/>
      <c r="Y26" s="3201"/>
      <c r="Z26" s="1812" t="str">
        <f>Q26</f>
        <v>平面位置/可视性</v>
      </c>
      <c r="AA26" s="1809">
        <f t="shared" si="3"/>
        <v>1</v>
      </c>
      <c r="AB26" s="1809">
        <f t="shared" si="4"/>
        <v>1</v>
      </c>
      <c r="AC26" s="1809">
        <f t="shared" si="5"/>
        <v>1</v>
      </c>
    </row>
    <row r="27" spans="1:29" s="117" customFormat="1" ht="15">
      <c r="A27" s="431"/>
      <c r="B27" s="451" t="s">
        <v>2659</v>
      </c>
      <c r="C27" s="2666" t="s">
        <v>3086</v>
      </c>
      <c r="D27" s="462">
        <v>100</v>
      </c>
      <c r="E27" s="2666" t="s">
        <v>3086</v>
      </c>
      <c r="F27" s="464">
        <f>SUMIF(90:90,E27,91:91)-SUMIF(90:90,C27,91:91)+100</f>
        <v>100</v>
      </c>
      <c r="G27" s="2666" t="s">
        <v>3086</v>
      </c>
      <c r="H27" s="462">
        <f>SUMIF(90:90,G27,91:91)-SUMIF(90:90,C27,91:91)+100</f>
        <v>100</v>
      </c>
      <c r="I27" s="2666" t="s">
        <v>3086</v>
      </c>
      <c r="J27" s="462">
        <f>SUMIF(90:90,I27,91:91)-SUMIF(90:90,C27,91:91)+100</f>
        <v>100</v>
      </c>
      <c r="K27" s="612"/>
      <c r="L27" s="1130"/>
      <c r="M27" s="1131"/>
      <c r="N27" s="1131"/>
      <c r="O27" s="1131"/>
      <c r="P27" s="3208"/>
      <c r="Q27" s="1793" t="str">
        <f t="shared" si="11"/>
        <v>人流量</v>
      </c>
      <c r="R27" s="768" t="s">
        <v>17</v>
      </c>
      <c r="S27" s="769">
        <f>F27</f>
        <v>100</v>
      </c>
      <c r="T27" s="768" t="s">
        <v>17</v>
      </c>
      <c r="U27" s="769">
        <f>H27</f>
        <v>100</v>
      </c>
      <c r="V27" s="768" t="s">
        <v>17</v>
      </c>
      <c r="W27" s="769">
        <f>J27</f>
        <v>100</v>
      </c>
      <c r="X27" s="770"/>
      <c r="Y27" s="3201"/>
      <c r="Z27" s="55" t="str">
        <f>Q27</f>
        <v>人流量</v>
      </c>
      <c r="AA27" s="1809">
        <f>D27/F27</f>
        <v>1</v>
      </c>
      <c r="AB27" s="1809">
        <f>D27/H27</f>
        <v>1</v>
      </c>
      <c r="AC27" s="1809">
        <f>D27/J27</f>
        <v>1</v>
      </c>
    </row>
    <row r="28" spans="1:29" ht="15">
      <c r="A28" s="428"/>
      <c r="B28" s="422" t="s">
        <v>2660</v>
      </c>
      <c r="C28" s="616">
        <v>1</v>
      </c>
      <c r="D28" s="435">
        <v>100</v>
      </c>
      <c r="E28" s="616">
        <v>1</v>
      </c>
      <c r="F28" s="461">
        <f>SUMIF(92:92,E28,93:93)-SUMIF(92:92,C28,93:93)+100</f>
        <v>100</v>
      </c>
      <c r="G28" s="616" t="s">
        <v>3111</v>
      </c>
      <c r="H28" s="435">
        <f>SUMIF(92:92,G28,93:93)-SUMIF(92:92,C28,93:93)+100</f>
        <v>90</v>
      </c>
      <c r="I28" s="616">
        <v>1</v>
      </c>
      <c r="J28" s="435">
        <f>SUMIF(92:92,I28,93:93)-SUMIF(92:92,C28,93:93)+100</f>
        <v>100</v>
      </c>
      <c r="K28" s="613"/>
      <c r="L28" s="1138"/>
      <c r="M28" s="1129"/>
      <c r="N28" s="1129"/>
      <c r="O28" s="1129"/>
      <c r="P28" s="3208"/>
      <c r="Q28" s="1808" t="str">
        <f t="shared" si="11"/>
        <v>楼层</v>
      </c>
      <c r="R28" s="772" t="s">
        <v>17</v>
      </c>
      <c r="S28" s="773">
        <f t="shared" ref="S28:S46" si="12">F28</f>
        <v>100</v>
      </c>
      <c r="T28" s="772" t="s">
        <v>17</v>
      </c>
      <c r="U28" s="773">
        <f t="shared" ref="U28:U46" si="13">H28</f>
        <v>90</v>
      </c>
      <c r="V28" s="772" t="s">
        <v>17</v>
      </c>
      <c r="W28" s="773">
        <f t="shared" ref="W28:W46" si="14">J28</f>
        <v>100</v>
      </c>
      <c r="X28" s="1811"/>
      <c r="Y28" s="3201"/>
      <c r="Z28" s="1812" t="str">
        <f t="shared" ref="Z28:Z46" si="15">Q28</f>
        <v>楼层</v>
      </c>
      <c r="AA28" s="1809">
        <f t="shared" si="3"/>
        <v>1</v>
      </c>
      <c r="AB28" s="1809">
        <f t="shared" si="4"/>
        <v>1.1111111111111112</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8"/>
      <c r="Q29" s="1808">
        <f t="shared" si="11"/>
        <v>111</v>
      </c>
      <c r="R29" s="772" t="s">
        <v>17</v>
      </c>
      <c r="S29" s="773">
        <f t="shared" si="12"/>
        <v>100</v>
      </c>
      <c r="T29" s="772" t="s">
        <v>17</v>
      </c>
      <c r="U29" s="773">
        <f t="shared" si="13"/>
        <v>100</v>
      </c>
      <c r="V29" s="772" t="s">
        <v>17</v>
      </c>
      <c r="W29" s="773">
        <f t="shared" si="14"/>
        <v>100</v>
      </c>
      <c r="X29" s="1811"/>
      <c r="Y29" s="3201"/>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8"/>
      <c r="Q30" s="1808">
        <f t="shared" si="11"/>
        <v>111</v>
      </c>
      <c r="R30" s="772" t="s">
        <v>17</v>
      </c>
      <c r="S30" s="773">
        <f t="shared" si="12"/>
        <v>100</v>
      </c>
      <c r="T30" s="772" t="s">
        <v>17</v>
      </c>
      <c r="U30" s="773">
        <f t="shared" si="13"/>
        <v>100</v>
      </c>
      <c r="V30" s="772" t="s">
        <v>17</v>
      </c>
      <c r="W30" s="773">
        <f t="shared" si="14"/>
        <v>100</v>
      </c>
      <c r="X30" s="1811"/>
      <c r="Y30" s="3201"/>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8"/>
      <c r="Q31" s="1808">
        <f t="shared" si="11"/>
        <v>111</v>
      </c>
      <c r="R31" s="772" t="s">
        <v>17</v>
      </c>
      <c r="S31" s="773">
        <f t="shared" si="12"/>
        <v>100</v>
      </c>
      <c r="T31" s="772" t="s">
        <v>17</v>
      </c>
      <c r="U31" s="773">
        <f t="shared" si="13"/>
        <v>100</v>
      </c>
      <c r="V31" s="772" t="s">
        <v>17</v>
      </c>
      <c r="W31" s="773">
        <f t="shared" si="14"/>
        <v>100</v>
      </c>
      <c r="X31" s="1811"/>
      <c r="Y31" s="3201"/>
      <c r="Z31" s="1812">
        <f t="shared" si="15"/>
        <v>111</v>
      </c>
      <c r="AA31" s="1809">
        <f t="shared" si="3"/>
        <v>1</v>
      </c>
      <c r="AB31" s="1809">
        <f t="shared" si="4"/>
        <v>1</v>
      </c>
      <c r="AC31" s="1809">
        <f t="shared" si="5"/>
        <v>1</v>
      </c>
    </row>
    <row r="32" spans="1:29" ht="15">
      <c r="A32" s="440" t="s">
        <v>2564</v>
      </c>
      <c r="B32" s="3310" t="s">
        <v>2661</v>
      </c>
      <c r="C32" s="2618" t="s">
        <v>3075</v>
      </c>
      <c r="D32" s="467">
        <v>100</v>
      </c>
      <c r="E32" s="2618" t="s">
        <v>3091</v>
      </c>
      <c r="F32" s="461">
        <f>SUMIF(100:100,E32,101:101)-SUMIF(100:100,C32,101:101)+100</f>
        <v>103</v>
      </c>
      <c r="G32" s="2618" t="s">
        <v>3075</v>
      </c>
      <c r="H32" s="435">
        <f>SUMIF(100:100,G32,101:101)-SUMIF(100:100,C32,101:101)+100</f>
        <v>100</v>
      </c>
      <c r="I32" s="2618" t="s">
        <v>3075</v>
      </c>
      <c r="J32" s="467">
        <f>SUMIF(100:100,I32,101:101)-SUMIF(100:100,C32,101:101)+100</f>
        <v>100</v>
      </c>
      <c r="K32" s="612">
        <v>3</v>
      </c>
      <c r="L32" s="1138"/>
      <c r="M32" s="1129"/>
      <c r="N32" s="1129"/>
      <c r="O32" s="1129"/>
      <c r="P32" s="3202" t="s">
        <v>2566</v>
      </c>
      <c r="Q32" s="1808" t="str">
        <f t="shared" si="11"/>
        <v>商业类型</v>
      </c>
      <c r="R32" s="772" t="s">
        <v>17</v>
      </c>
      <c r="S32" s="773">
        <f t="shared" si="12"/>
        <v>103</v>
      </c>
      <c r="T32" s="772" t="s">
        <v>17</v>
      </c>
      <c r="U32" s="773">
        <f t="shared" si="13"/>
        <v>100</v>
      </c>
      <c r="V32" s="772" t="s">
        <v>17</v>
      </c>
      <c r="W32" s="773">
        <f t="shared" si="14"/>
        <v>100</v>
      </c>
      <c r="X32" s="1811"/>
      <c r="Y32" s="3205" t="s">
        <v>2566</v>
      </c>
      <c r="Z32" s="1812" t="str">
        <f t="shared" si="15"/>
        <v>商业类型</v>
      </c>
      <c r="AA32" s="1809">
        <f t="shared" si="3"/>
        <v>0.970873786407767</v>
      </c>
      <c r="AB32" s="1809">
        <f t="shared" si="4"/>
        <v>1</v>
      </c>
      <c r="AC32" s="1809">
        <f t="shared" si="5"/>
        <v>1</v>
      </c>
    </row>
    <row r="33" spans="1:29" s="471" customFormat="1" ht="15">
      <c r="A33" s="468"/>
      <c r="B33" s="422" t="s">
        <v>2567</v>
      </c>
      <c r="C33" s="469">
        <f>'数据-基础表'!I13</f>
        <v>451.5</v>
      </c>
      <c r="D33" s="136">
        <v>100</v>
      </c>
      <c r="E33" s="430">
        <v>250.8</v>
      </c>
      <c r="F33" s="425">
        <f>LOOKUP(E33,103:103,104:104)-LOOKUP(C33,103:103,104:104)+100</f>
        <v>100</v>
      </c>
      <c r="G33" s="429">
        <v>120</v>
      </c>
      <c r="H33" s="136">
        <f>LOOKUP(G33,103:103,104:104)-LOOKUP(C33,103:103,104:104)+100</f>
        <v>101</v>
      </c>
      <c r="I33" s="429">
        <v>128</v>
      </c>
      <c r="J33" s="136">
        <f>LOOKUP(I33,103:103,104:104)-LOOKUP(C33,103:103,104:104)+100</f>
        <v>101</v>
      </c>
      <c r="K33" s="613"/>
      <c r="L33" s="1136"/>
      <c r="M33" s="1139"/>
      <c r="N33" s="1139"/>
      <c r="O33" s="1139"/>
      <c r="P33" s="3203"/>
      <c r="Q33" s="774" t="str">
        <f t="shared" si="11"/>
        <v>项目建筑规模</v>
      </c>
      <c r="R33" s="775" t="s">
        <v>17</v>
      </c>
      <c r="S33" s="776">
        <f t="shared" si="12"/>
        <v>100</v>
      </c>
      <c r="T33" s="775" t="s">
        <v>17</v>
      </c>
      <c r="U33" s="776">
        <f t="shared" si="13"/>
        <v>101</v>
      </c>
      <c r="V33" s="775" t="s">
        <v>17</v>
      </c>
      <c r="W33" s="776">
        <f t="shared" si="14"/>
        <v>101</v>
      </c>
      <c r="X33" s="777"/>
      <c r="Y33" s="3205"/>
      <c r="Z33" s="778" t="str">
        <f t="shared" si="15"/>
        <v>项目建筑规模</v>
      </c>
      <c r="AA33" s="1809">
        <f t="shared" si="3"/>
        <v>1</v>
      </c>
      <c r="AB33" s="1809">
        <f t="shared" si="4"/>
        <v>0.99009900990099009</v>
      </c>
      <c r="AC33" s="1809">
        <f t="shared" si="5"/>
        <v>0.99009900990099009</v>
      </c>
    </row>
    <row r="34" spans="1:29" ht="15">
      <c r="A34" s="472"/>
      <c r="B34" s="422" t="s">
        <v>2568</v>
      </c>
      <c r="C34" s="2620" t="s">
        <v>3095</v>
      </c>
      <c r="D34" s="435">
        <v>100</v>
      </c>
      <c r="E34" s="2620" t="s">
        <v>3093</v>
      </c>
      <c r="F34" s="461">
        <f>SUMIF(105:105,E34,106:106)-SUMIF(105:105,C34,106:106)+100</f>
        <v>101</v>
      </c>
      <c r="G34" s="2620" t="s">
        <v>3093</v>
      </c>
      <c r="H34" s="435">
        <f>SUMIF(105:105,G34,106:106)-SUMIF(105:105,C34,106:106)+100</f>
        <v>101</v>
      </c>
      <c r="I34" s="2620" t="s">
        <v>3093</v>
      </c>
      <c r="J34" s="435">
        <f>SUMIF(105:105,I34,106:106)-SUMIF(105:105,C34,106:106)+100</f>
        <v>101</v>
      </c>
      <c r="K34" s="612">
        <v>1</v>
      </c>
      <c r="L34" s="1138"/>
      <c r="M34" s="1129"/>
      <c r="N34" s="1129"/>
      <c r="O34" s="1129"/>
      <c r="P34" s="3203"/>
      <c r="Q34" s="1808" t="str">
        <f t="shared" si="11"/>
        <v>建筑结构</v>
      </c>
      <c r="R34" s="772" t="s">
        <v>17</v>
      </c>
      <c r="S34" s="773">
        <f t="shared" si="12"/>
        <v>101</v>
      </c>
      <c r="T34" s="772" t="s">
        <v>17</v>
      </c>
      <c r="U34" s="773">
        <f t="shared" si="13"/>
        <v>101</v>
      </c>
      <c r="V34" s="772" t="s">
        <v>17</v>
      </c>
      <c r="W34" s="773">
        <f t="shared" si="14"/>
        <v>101</v>
      </c>
      <c r="X34" s="1811"/>
      <c r="Y34" s="3205"/>
      <c r="Z34" s="1812" t="str">
        <f t="shared" si="15"/>
        <v>建筑结构</v>
      </c>
      <c r="AA34" s="1809">
        <f t="shared" si="3"/>
        <v>0.99009900990099009</v>
      </c>
      <c r="AB34" s="1809">
        <f t="shared" si="4"/>
        <v>0.99009900990099009</v>
      </c>
      <c r="AC34" s="1809">
        <f t="shared" si="5"/>
        <v>0.99009900990099009</v>
      </c>
    </row>
    <row r="35" spans="1:29" ht="15">
      <c r="A35" s="472"/>
      <c r="B35" s="422" t="s">
        <v>2662</v>
      </c>
      <c r="C35" s="2614" t="s">
        <v>3099</v>
      </c>
      <c r="D35" s="435">
        <v>100</v>
      </c>
      <c r="E35" s="2614" t="s">
        <v>3099</v>
      </c>
      <c r="F35" s="461">
        <f>SUMIF(107:107,E35,108:108)-SUMIF(107:107,C35,108:108)+100</f>
        <v>100</v>
      </c>
      <c r="G35" s="2614" t="s">
        <v>3099</v>
      </c>
      <c r="H35" s="435">
        <f>SUMIF(107:107,G35,108:108)-SUMIF(107:107,C35,108:108)+100</f>
        <v>100</v>
      </c>
      <c r="I35" s="2614" t="s">
        <v>3099</v>
      </c>
      <c r="J35" s="435">
        <f>SUMIF(107:107,I35,108:108)-SUMIF(107:107,C35,108:108)+100</f>
        <v>100</v>
      </c>
      <c r="K35" s="612">
        <v>1</v>
      </c>
      <c r="L35" s="1138"/>
      <c r="M35" s="1129"/>
      <c r="N35" s="1129"/>
      <c r="O35" s="1129"/>
      <c r="P35" s="3203"/>
      <c r="Q35" s="1808" t="str">
        <f t="shared" si="11"/>
        <v>公共部分装修</v>
      </c>
      <c r="R35" s="772" t="s">
        <v>17</v>
      </c>
      <c r="S35" s="773">
        <f t="shared" si="12"/>
        <v>100</v>
      </c>
      <c r="T35" s="772" t="s">
        <v>17</v>
      </c>
      <c r="U35" s="773">
        <f t="shared" si="13"/>
        <v>100</v>
      </c>
      <c r="V35" s="772" t="s">
        <v>17</v>
      </c>
      <c r="W35" s="773">
        <f t="shared" si="14"/>
        <v>100</v>
      </c>
      <c r="X35" s="1811"/>
      <c r="Y35" s="3205"/>
      <c r="Z35" s="1812" t="str">
        <f t="shared" si="15"/>
        <v>公共部分装修</v>
      </c>
      <c r="AA35" s="1809">
        <f t="shared" si="3"/>
        <v>1</v>
      </c>
      <c r="AB35" s="1809">
        <f t="shared" si="4"/>
        <v>1</v>
      </c>
      <c r="AC35" s="1809">
        <f t="shared" si="5"/>
        <v>1</v>
      </c>
    </row>
    <row r="36" spans="1:29" ht="15">
      <c r="A36" s="472"/>
      <c r="B36" s="422" t="s">
        <v>2663</v>
      </c>
      <c r="C36" s="474">
        <f>'数据-取费表'!N6</f>
        <v>0.86</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8"/>
      <c r="M36" s="1129"/>
      <c r="N36" s="1129"/>
      <c r="O36" s="1129"/>
      <c r="P36" s="3203"/>
      <c r="Q36" s="1808" t="str">
        <f t="shared" si="11"/>
        <v>成新度</v>
      </c>
      <c r="R36" s="772" t="s">
        <v>17</v>
      </c>
      <c r="S36" s="773">
        <f t="shared" si="12"/>
        <v>100</v>
      </c>
      <c r="T36" s="772" t="s">
        <v>17</v>
      </c>
      <c r="U36" s="773">
        <f t="shared" si="13"/>
        <v>100</v>
      </c>
      <c r="V36" s="772" t="s">
        <v>17</v>
      </c>
      <c r="W36" s="773">
        <f t="shared" si="14"/>
        <v>100</v>
      </c>
      <c r="X36" s="1811"/>
      <c r="Y36" s="3205"/>
      <c r="Z36" s="1812" t="str">
        <f t="shared" si="15"/>
        <v>成新度</v>
      </c>
      <c r="AA36" s="1809">
        <f t="shared" si="3"/>
        <v>1</v>
      </c>
      <c r="AB36" s="1809">
        <f t="shared" si="4"/>
        <v>1</v>
      </c>
      <c r="AC36" s="1809">
        <f t="shared" si="5"/>
        <v>1</v>
      </c>
    </row>
    <row r="37" spans="1:29" s="117" customFormat="1" ht="15">
      <c r="A37" s="473"/>
      <c r="B37" s="422" t="s">
        <v>2664</v>
      </c>
      <c r="C37" s="2614" t="s">
        <v>3079</v>
      </c>
      <c r="D37" s="136">
        <v>100</v>
      </c>
      <c r="E37" s="2614" t="s">
        <v>3079</v>
      </c>
      <c r="F37" s="461">
        <f>SUMIF(112:112,E37,113:113)-SUMIF(112:112,C37,113:113)+100</f>
        <v>100</v>
      </c>
      <c r="G37" s="2614" t="s">
        <v>3079</v>
      </c>
      <c r="H37" s="435">
        <f>SUMIF(112:112,G37,113:113)-SUMIF(112:112,C37,113:113)+100</f>
        <v>100</v>
      </c>
      <c r="I37" s="2614" t="s">
        <v>3079</v>
      </c>
      <c r="J37" s="435">
        <f>SUMIF(112:112,I37,113:113)-SUMIF(112:112,C37,113:113)+100</f>
        <v>100</v>
      </c>
      <c r="K37" s="612">
        <v>1</v>
      </c>
      <c r="L37" s="1130"/>
      <c r="M37" s="1131"/>
      <c r="N37" s="1131"/>
      <c r="O37" s="1131"/>
      <c r="P37" s="3203"/>
      <c r="Q37" s="1793" t="str">
        <f t="shared" si="11"/>
        <v>市政基础设施</v>
      </c>
      <c r="R37" s="768" t="s">
        <v>17</v>
      </c>
      <c r="S37" s="769">
        <f t="shared" si="12"/>
        <v>100</v>
      </c>
      <c r="T37" s="768" t="s">
        <v>17</v>
      </c>
      <c r="U37" s="769">
        <f t="shared" si="13"/>
        <v>100</v>
      </c>
      <c r="V37" s="768" t="s">
        <v>17</v>
      </c>
      <c r="W37" s="769">
        <f t="shared" si="14"/>
        <v>100</v>
      </c>
      <c r="X37" s="770"/>
      <c r="Y37" s="3205"/>
      <c r="Z37" s="55" t="str">
        <f t="shared" si="15"/>
        <v>市政基础设施</v>
      </c>
      <c r="AA37" s="771">
        <f t="shared" si="3"/>
        <v>1</v>
      </c>
      <c r="AB37" s="771">
        <f t="shared" si="4"/>
        <v>1</v>
      </c>
      <c r="AC37" s="771">
        <f t="shared" si="5"/>
        <v>1</v>
      </c>
    </row>
    <row r="38" spans="1:29" ht="15">
      <c r="A38" s="472"/>
      <c r="B38" s="422" t="s">
        <v>2665</v>
      </c>
      <c r="C38" s="2614" t="s">
        <v>3105</v>
      </c>
      <c r="D38" s="435">
        <v>100</v>
      </c>
      <c r="E38" s="2614" t="s">
        <v>3105</v>
      </c>
      <c r="F38" s="461">
        <f>SUMIF(114:114,E38,115:115)-SUMIF(114:114,C38,115:115)+100</f>
        <v>100</v>
      </c>
      <c r="G38" s="2614" t="s">
        <v>3105</v>
      </c>
      <c r="H38" s="435">
        <f>SUMIF(114:114,G38,115:115)-SUMIF(114:114,C38,115:115)+100</f>
        <v>100</v>
      </c>
      <c r="I38" s="2614" t="s">
        <v>3105</v>
      </c>
      <c r="J38" s="435">
        <f>SUMIF(114:114,I38,115:115)-SUMIF(114:114,C38,115:115)+100</f>
        <v>100</v>
      </c>
      <c r="K38" s="612">
        <v>2</v>
      </c>
      <c r="L38" s="1138"/>
      <c r="M38" s="1129"/>
      <c r="N38" s="1129"/>
      <c r="O38" s="1129"/>
      <c r="P38" s="3203" t="s">
        <v>2566</v>
      </c>
      <c r="Q38" s="1808" t="str">
        <f t="shared" si="11"/>
        <v>业态</v>
      </c>
      <c r="R38" s="772" t="s">
        <v>17</v>
      </c>
      <c r="S38" s="773">
        <f t="shared" si="12"/>
        <v>100</v>
      </c>
      <c r="T38" s="772" t="s">
        <v>17</v>
      </c>
      <c r="U38" s="773">
        <f t="shared" si="13"/>
        <v>100</v>
      </c>
      <c r="V38" s="772" t="s">
        <v>17</v>
      </c>
      <c r="W38" s="773">
        <f t="shared" si="14"/>
        <v>100</v>
      </c>
      <c r="X38" s="1811"/>
      <c r="Y38" s="3205" t="s">
        <v>2566</v>
      </c>
      <c r="Z38" s="1812" t="str">
        <f t="shared" si="15"/>
        <v>业态</v>
      </c>
      <c r="AA38" s="1809">
        <f t="shared" si="3"/>
        <v>1</v>
      </c>
      <c r="AB38" s="1809">
        <f t="shared" si="4"/>
        <v>1</v>
      </c>
      <c r="AC38" s="1809">
        <f t="shared" si="5"/>
        <v>1</v>
      </c>
    </row>
    <row r="39" spans="1:29" ht="15">
      <c r="A39" s="472"/>
      <c r="B39" s="422" t="s">
        <v>2666</v>
      </c>
      <c r="C39" s="2614" t="s">
        <v>3109</v>
      </c>
      <c r="D39" s="435">
        <v>100</v>
      </c>
      <c r="E39" s="2614" t="s">
        <v>3109</v>
      </c>
      <c r="F39" s="461">
        <f>SUMIF(116:116,E39,117:117)-SUMIF(116:116,C39,117:117)+100</f>
        <v>100</v>
      </c>
      <c r="G39" s="2614" t="s">
        <v>3109</v>
      </c>
      <c r="H39" s="435">
        <f>SUMIF(116:116,G39,117:117)-SUMIF(116:116,C39,117:117)+100</f>
        <v>100</v>
      </c>
      <c r="I39" s="2614" t="s">
        <v>3109</v>
      </c>
      <c r="J39" s="435">
        <f>SUMIF(116:116,I39,117:117)-SUMIF(116:116,C39,117:117)+100</f>
        <v>100</v>
      </c>
      <c r="K39" s="612">
        <v>2</v>
      </c>
      <c r="L39" s="1138"/>
      <c r="M39" s="1129"/>
      <c r="N39" s="1129"/>
      <c r="O39" s="1129"/>
      <c r="P39" s="3203"/>
      <c r="Q39" s="1808" t="str">
        <f t="shared" si="11"/>
        <v>层高</v>
      </c>
      <c r="R39" s="772" t="s">
        <v>17</v>
      </c>
      <c r="S39" s="773">
        <f t="shared" si="12"/>
        <v>100</v>
      </c>
      <c r="T39" s="772" t="s">
        <v>17</v>
      </c>
      <c r="U39" s="773">
        <f t="shared" si="13"/>
        <v>100</v>
      </c>
      <c r="V39" s="772" t="s">
        <v>17</v>
      </c>
      <c r="W39" s="773">
        <f t="shared" si="14"/>
        <v>100</v>
      </c>
      <c r="X39" s="1811"/>
      <c r="Y39" s="3205"/>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03"/>
      <c r="Q40" s="1808" t="str">
        <f t="shared" si="11"/>
        <v>单套建筑面积</v>
      </c>
      <c r="R40" s="772" t="s">
        <v>17</v>
      </c>
      <c r="S40" s="773">
        <f t="shared" si="12"/>
        <v>100</v>
      </c>
      <c r="T40" s="772" t="s">
        <v>17</v>
      </c>
      <c r="U40" s="773">
        <f t="shared" si="13"/>
        <v>100</v>
      </c>
      <c r="V40" s="772" t="s">
        <v>17</v>
      </c>
      <c r="W40" s="773">
        <f t="shared" si="14"/>
        <v>100</v>
      </c>
      <c r="X40" s="1811"/>
      <c r="Y40" s="3205"/>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03"/>
      <c r="Q41" s="774" t="str">
        <f t="shared" si="11"/>
        <v>进深比</v>
      </c>
      <c r="R41" s="775" t="s">
        <v>17</v>
      </c>
      <c r="S41" s="776">
        <f t="shared" si="12"/>
        <v>100</v>
      </c>
      <c r="T41" s="775" t="s">
        <v>17</v>
      </c>
      <c r="U41" s="776">
        <f t="shared" si="13"/>
        <v>100</v>
      </c>
      <c r="V41" s="775" t="s">
        <v>17</v>
      </c>
      <c r="W41" s="776">
        <f t="shared" si="14"/>
        <v>100</v>
      </c>
      <c r="X41" s="777"/>
      <c r="Y41" s="3205"/>
      <c r="Z41" s="778" t="str">
        <f t="shared" si="15"/>
        <v>进深比</v>
      </c>
      <c r="AA41" s="1809">
        <f t="shared" si="3"/>
        <v>1</v>
      </c>
      <c r="AB41" s="1809">
        <f t="shared" si="4"/>
        <v>1</v>
      </c>
      <c r="AC41" s="1809">
        <f t="shared" si="5"/>
        <v>1</v>
      </c>
    </row>
    <row r="42" spans="1:29" ht="15">
      <c r="A42" s="472"/>
      <c r="B42" s="422" t="s">
        <v>2669</v>
      </c>
      <c r="C42" s="2614" t="s">
        <v>3101</v>
      </c>
      <c r="D42" s="435">
        <v>100</v>
      </c>
      <c r="E42" s="2614" t="s">
        <v>3101</v>
      </c>
      <c r="F42" s="461">
        <f>SUMIF(122:122,E42,123:123)-SUMIF(122:122,C42,123:123)+100</f>
        <v>100</v>
      </c>
      <c r="G42" s="2614" t="s">
        <v>3101</v>
      </c>
      <c r="H42" s="435">
        <f>SUMIF(122:122,G42,123:123)-SUMIF(122:122,C42,123:123)+100</f>
        <v>100</v>
      </c>
      <c r="I42" s="2614" t="s">
        <v>3097</v>
      </c>
      <c r="J42" s="435">
        <f>SUMIF(122:122,I42,123:123)-SUMIF(122:122,C42,123:123)+100</f>
        <v>104</v>
      </c>
      <c r="K42" s="612">
        <v>2</v>
      </c>
      <c r="L42" s="1138"/>
      <c r="M42" s="1129"/>
      <c r="N42" s="1129"/>
      <c r="O42" s="1129"/>
      <c r="P42" s="3203"/>
      <c r="Q42" s="1808" t="str">
        <f t="shared" si="11"/>
        <v>内部装修</v>
      </c>
      <c r="R42" s="772" t="s">
        <v>17</v>
      </c>
      <c r="S42" s="773">
        <f t="shared" si="12"/>
        <v>100</v>
      </c>
      <c r="T42" s="772" t="s">
        <v>17</v>
      </c>
      <c r="U42" s="773">
        <f t="shared" si="13"/>
        <v>100</v>
      </c>
      <c r="V42" s="772" t="s">
        <v>17</v>
      </c>
      <c r="W42" s="773">
        <f t="shared" si="14"/>
        <v>104</v>
      </c>
      <c r="X42" s="1811"/>
      <c r="Y42" s="3205"/>
      <c r="Z42" s="1812" t="str">
        <f t="shared" si="15"/>
        <v>内部装修</v>
      </c>
      <c r="AA42" s="1809">
        <f t="shared" si="3"/>
        <v>1</v>
      </c>
      <c r="AB42" s="1809">
        <f t="shared" si="4"/>
        <v>1</v>
      </c>
      <c r="AC42" s="1809">
        <f t="shared" si="5"/>
        <v>0.96153846153846156</v>
      </c>
    </row>
    <row r="43" spans="1:29" ht="15">
      <c r="A43" s="472"/>
      <c r="B43" s="422" t="s">
        <v>2577</v>
      </c>
      <c r="C43" s="2614" t="s">
        <v>3080</v>
      </c>
      <c r="D43" s="435">
        <v>100</v>
      </c>
      <c r="E43" s="2614" t="s">
        <v>3080</v>
      </c>
      <c r="F43" s="461">
        <f>SUMIF(124:124,E43,125:125)-SUMIF(124:124,C43,125:125)+100</f>
        <v>100</v>
      </c>
      <c r="G43" s="2614" t="s">
        <v>3080</v>
      </c>
      <c r="H43" s="435">
        <f>SUMIF(124:124,G43,125:125)-SUMIF(124:124,C43,125:125)+100</f>
        <v>100</v>
      </c>
      <c r="I43" s="2614" t="s">
        <v>3080</v>
      </c>
      <c r="J43" s="435">
        <f>SUMIF(124:124,I43,125:125)-SUMIF(124:124,C43,125:125)+100</f>
        <v>100</v>
      </c>
      <c r="K43" s="612">
        <v>1</v>
      </c>
      <c r="L43" s="1138"/>
      <c r="M43" s="1129"/>
      <c r="N43" s="1129"/>
      <c r="O43" s="1129"/>
      <c r="P43" s="3203"/>
      <c r="Q43" s="1808" t="str">
        <f t="shared" si="11"/>
        <v>内部装修维护情况</v>
      </c>
      <c r="R43" s="772" t="s">
        <v>17</v>
      </c>
      <c r="S43" s="773">
        <f t="shared" si="12"/>
        <v>100</v>
      </c>
      <c r="T43" s="772" t="s">
        <v>17</v>
      </c>
      <c r="U43" s="773">
        <f t="shared" si="13"/>
        <v>100</v>
      </c>
      <c r="V43" s="772" t="s">
        <v>17</v>
      </c>
      <c r="W43" s="773">
        <f t="shared" si="14"/>
        <v>100</v>
      </c>
      <c r="X43" s="1811"/>
      <c r="Y43" s="3205"/>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03"/>
      <c r="Q44" s="1793">
        <f t="shared" si="11"/>
        <v>111</v>
      </c>
      <c r="R44" s="768" t="s">
        <v>17</v>
      </c>
      <c r="S44" s="769">
        <f t="shared" si="12"/>
        <v>100</v>
      </c>
      <c r="T44" s="768" t="s">
        <v>17</v>
      </c>
      <c r="U44" s="769">
        <f t="shared" si="13"/>
        <v>100</v>
      </c>
      <c r="V44" s="768" t="s">
        <v>17</v>
      </c>
      <c r="W44" s="769">
        <f t="shared" si="14"/>
        <v>100</v>
      </c>
      <c r="X44" s="770"/>
      <c r="Y44" s="3205"/>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03"/>
      <c r="Q45" s="1808">
        <f t="shared" si="11"/>
        <v>111</v>
      </c>
      <c r="R45" s="772" t="s">
        <v>17</v>
      </c>
      <c r="S45" s="773">
        <f t="shared" si="12"/>
        <v>100</v>
      </c>
      <c r="T45" s="772" t="s">
        <v>17</v>
      </c>
      <c r="U45" s="773">
        <f t="shared" si="13"/>
        <v>100</v>
      </c>
      <c r="V45" s="772" t="s">
        <v>17</v>
      </c>
      <c r="W45" s="773">
        <f t="shared" si="14"/>
        <v>100</v>
      </c>
      <c r="X45" s="1811"/>
      <c r="Y45" s="3205"/>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04"/>
      <c r="Q46" s="1808">
        <f t="shared" si="11"/>
        <v>111</v>
      </c>
      <c r="R46" s="772" t="s">
        <v>17</v>
      </c>
      <c r="S46" s="773">
        <f t="shared" si="12"/>
        <v>100</v>
      </c>
      <c r="T46" s="772" t="s">
        <v>17</v>
      </c>
      <c r="U46" s="773">
        <f t="shared" si="13"/>
        <v>100</v>
      </c>
      <c r="V46" s="772" t="s">
        <v>17</v>
      </c>
      <c r="W46" s="773">
        <f t="shared" si="14"/>
        <v>100</v>
      </c>
      <c r="X46" s="1811"/>
      <c r="Y46" s="3206"/>
      <c r="Z46" s="1812">
        <f t="shared" si="15"/>
        <v>111</v>
      </c>
      <c r="AA46" s="1809">
        <f t="shared" si="3"/>
        <v>1</v>
      </c>
      <c r="AB46" s="1809">
        <f t="shared" si="4"/>
        <v>1</v>
      </c>
      <c r="AC46" s="1809">
        <f t="shared" si="5"/>
        <v>1</v>
      </c>
    </row>
    <row r="47" spans="1:29" ht="15">
      <c r="A47" s="479" t="s">
        <v>2578</v>
      </c>
      <c r="B47" s="480"/>
      <c r="C47" s="1405" t="s">
        <v>1</v>
      </c>
      <c r="D47" s="1406"/>
      <c r="E47" s="1407">
        <v>10765</v>
      </c>
      <c r="F47" s="1408"/>
      <c r="G47" s="1409">
        <v>8666</v>
      </c>
      <c r="H47" s="1410"/>
      <c r="I47" s="1407">
        <v>9921</v>
      </c>
      <c r="J47" s="1410"/>
      <c r="K47" s="781"/>
      <c r="L47" s="1141"/>
      <c r="M47" s="1142"/>
      <c r="N47" s="1129"/>
      <c r="O47" s="1142"/>
      <c r="P47" s="3198" t="str">
        <f>A47</f>
        <v>成交单价（元/平方米）</v>
      </c>
      <c r="Q47" s="3198"/>
      <c r="R47" s="3229">
        <f>E47</f>
        <v>10765</v>
      </c>
      <c r="S47" s="3229"/>
      <c r="T47" s="3229">
        <f>G47</f>
        <v>8666</v>
      </c>
      <c r="U47" s="3229"/>
      <c r="V47" s="3229">
        <f>I47</f>
        <v>9921</v>
      </c>
      <c r="W47" s="3229"/>
      <c r="X47" s="757"/>
      <c r="Y47" s="779"/>
      <c r="Z47" s="757"/>
      <c r="AA47" s="757"/>
      <c r="AB47" s="757"/>
      <c r="AC47" s="757"/>
    </row>
    <row r="48" spans="1:29" ht="15.75" thickBot="1">
      <c r="A48" s="486" t="s">
        <v>2670</v>
      </c>
      <c r="B48" s="487"/>
      <c r="C48" s="1411">
        <f>R49</f>
        <v>9713</v>
      </c>
      <c r="D48" s="1412"/>
      <c r="E48" s="1413">
        <f>R48</f>
        <v>10348</v>
      </c>
      <c r="F48" s="1413"/>
      <c r="G48" s="1411">
        <f>T48</f>
        <v>9439</v>
      </c>
      <c r="H48" s="1412"/>
      <c r="I48" s="1413">
        <f>V48</f>
        <v>9351</v>
      </c>
      <c r="J48" s="1412"/>
      <c r="K48" s="782"/>
      <c r="L48" s="1141"/>
      <c r="M48" s="1142"/>
      <c r="N48" s="1129"/>
      <c r="O48" s="1142"/>
      <c r="P48" s="3198" t="str">
        <f>A48</f>
        <v>比较价值（元/平方米）</v>
      </c>
      <c r="Q48" s="3198"/>
      <c r="R48" s="3199">
        <f>IF(F1="售价",ROUND(PRODUCT(R47,AA7:AA46),0),ROUND(PRODUCT(R47,AA7:AA46),1))</f>
        <v>10348</v>
      </c>
      <c r="S48" s="3199"/>
      <c r="T48" s="3199">
        <f>IF(F1="售价",ROUND(PRODUCT(T47,AB7:AB46),0),ROUND(PRODUCT(T47,AB7:AB46),1))</f>
        <v>9439</v>
      </c>
      <c r="U48" s="3199"/>
      <c r="V48" s="3199">
        <f>IF(F1="售价",ROUND(PRODUCT(V47,AC7:AC46),0),ROUND(PRODUCT(V47,AC7:AC46),1))</f>
        <v>9351</v>
      </c>
      <c r="W48" s="3199"/>
      <c r="X48" s="757"/>
      <c r="Y48" s="757"/>
      <c r="Z48" s="757"/>
      <c r="AA48" s="757"/>
      <c r="AB48" s="757"/>
      <c r="AC48" s="757"/>
    </row>
    <row r="49" spans="1:29" ht="15.75" thickBot="1">
      <c r="A49" s="492" t="s">
        <v>2671</v>
      </c>
      <c r="B49" s="493"/>
      <c r="C49" s="1415">
        <f>R49</f>
        <v>9713</v>
      </c>
      <c r="D49" s="1415"/>
      <c r="E49" s="1415"/>
      <c r="F49" s="1415"/>
      <c r="G49" s="1415"/>
      <c r="H49" s="1415"/>
      <c r="I49" s="1415"/>
      <c r="J49" s="1415"/>
      <c r="K49" s="783"/>
      <c r="L49" s="1141"/>
      <c r="M49" s="1142"/>
      <c r="N49" s="1129"/>
      <c r="O49" s="1142"/>
      <c r="P49" s="3195" t="str">
        <f>A49</f>
        <v>估价对象XX用房的比较价值（楼面单价，元/平方米）</v>
      </c>
      <c r="Q49" s="3196"/>
      <c r="R49" s="3197">
        <f>IF(F1="售价",ROUND(AVERAGE(R48:V48),0),ROUND(AVERAGE(R48:V48),1))</f>
        <v>9713</v>
      </c>
      <c r="S49" s="3197"/>
      <c r="T49" s="3197"/>
      <c r="U49" s="3197"/>
      <c r="V49" s="3197"/>
      <c r="W49" s="319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4.0297642056436045E-2</v>
      </c>
      <c r="F52" s="500" t="str">
        <f>IF(OR(E52&gt;=0.3,E52&lt;=-0.3),"超过30%","")</f>
        <v/>
      </c>
      <c r="G52" s="499">
        <f>IF(G47&lt;G48,G48/G47-1,G47/G48-1)</f>
        <v>8.9199169166858994E-2</v>
      </c>
      <c r="H52" s="500" t="str">
        <f>IF(OR(G52&gt;=0.3,G52&lt;=-0.3),"超过30%","")</f>
        <v/>
      </c>
      <c r="I52" s="499">
        <f>IF(I47&lt;I48,I48/I47-1,I47/I48-1)</f>
        <v>6.09560474815527E-2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9.6302574425256804E-2</v>
      </c>
      <c r="F53" s="500" t="str">
        <f>IF(OR(E53&gt;=0.2,E53&lt;=-0.2),"超过20%","")</f>
        <v/>
      </c>
      <c r="G53" s="499">
        <f>IF(G48&lt;I48,I48/G48-1,G48/I48-1)</f>
        <v>9.410758207678338E-3</v>
      </c>
      <c r="H53" s="500" t="str">
        <f>IF(OR(G53&gt;=0.2,G53&lt;=-0.2),"超过20%","")</f>
        <v/>
      </c>
      <c r="I53" s="499">
        <f>IF(I48&lt;E48,E48/I48-1,I48/E48-1)</f>
        <v>0.10661961287562827</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0.2422109393030234</v>
      </c>
      <c r="F54" s="500" t="str">
        <f>IF(OR(E54&gt;=0.3,E54&lt;=-0.3),"超过30%","")</f>
        <v/>
      </c>
      <c r="G54" s="499">
        <f>IF(G47&lt;I47,I47/G47-1,G47/I47-1)</f>
        <v>0.14481883221786296</v>
      </c>
      <c r="H54" s="500" t="str">
        <f>IF(OR(G54&gt;=0.3,G54&lt;=-0.3),"超过30%","")</f>
        <v/>
      </c>
      <c r="I54" s="499">
        <f>IF(I47&lt;E47,E47/I47-1,I47/E47-1)</f>
        <v>8.5072069347847945E-2</v>
      </c>
      <c r="J54" s="500"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8" customFormat="1" ht="15">
      <c r="A58" s="505" t="s">
        <v>2549</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t="str">
        <f>C9</f>
        <v>商业</v>
      </c>
      <c r="D63" s="530"/>
      <c r="E63" s="530"/>
      <c r="F63" s="530"/>
      <c r="G63" s="530"/>
      <c r="H63" s="530"/>
      <c r="I63" s="530"/>
      <c r="J63" s="530"/>
      <c r="K63" s="531"/>
      <c r="L63" s="532"/>
      <c r="M63" s="533"/>
      <c r="N63" s="1150"/>
      <c r="O63" s="1150"/>
      <c r="P63" s="2631"/>
      <c r="Q63" s="504"/>
    </row>
    <row r="64" spans="1:29" ht="15.75" thickBot="1">
      <c r="A64" s="534"/>
      <c r="B64" s="535"/>
      <c r="C64" s="2972">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2971">
        <v>0</v>
      </c>
      <c r="D68" s="549">
        <v>1</v>
      </c>
      <c r="E68" s="549">
        <v>2</v>
      </c>
      <c r="F68" s="549">
        <v>3</v>
      </c>
      <c r="G68" s="549">
        <v>4</v>
      </c>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31"/>
      <c r="Q85" s="504"/>
    </row>
    <row r="86" spans="1:17" s="117" customFormat="1" ht="15.75" thickTop="1">
      <c r="A86" s="579"/>
      <c r="B86" s="538" t="s">
        <v>2681</v>
      </c>
      <c r="C86" s="2974" t="s">
        <v>3081</v>
      </c>
      <c r="D86" s="2974" t="s">
        <v>3082</v>
      </c>
      <c r="E86" s="2974" t="s">
        <v>3084</v>
      </c>
      <c r="F86" s="2974" t="s">
        <v>3085</v>
      </c>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1"/>
      <c r="O87" s="1151"/>
      <c r="P87" s="2631"/>
      <c r="Q87" s="504"/>
    </row>
    <row r="88" spans="1:17" s="117" customFormat="1" ht="15.75" thickTop="1">
      <c r="A88" s="579"/>
      <c r="B88" s="538" t="str">
        <f>B26</f>
        <v>平面位置/可视性</v>
      </c>
      <c r="C88" s="2974" t="s">
        <v>3087</v>
      </c>
      <c r="D88" s="2974" t="s">
        <v>3088</v>
      </c>
      <c r="E88" s="554"/>
      <c r="F88" s="2636"/>
      <c r="G88" s="554"/>
      <c r="H88" s="554"/>
      <c r="I88" s="554"/>
      <c r="J88" s="554"/>
      <c r="K88" s="554"/>
      <c r="L88" s="554"/>
      <c r="M88" s="581"/>
      <c r="N88" s="1149"/>
      <c r="O88" s="1149"/>
      <c r="P88" s="2631"/>
      <c r="Q88" s="504"/>
    </row>
    <row r="89" spans="1:17" s="117" customFormat="1" ht="15.75" thickBot="1">
      <c r="A89" s="579"/>
      <c r="B89" s="543"/>
      <c r="C89" s="560">
        <v>100</v>
      </c>
      <c r="D89" s="536">
        <v>98</v>
      </c>
      <c r="E89" s="536"/>
      <c r="F89" s="536"/>
      <c r="G89" s="536"/>
      <c r="H89" s="536"/>
      <c r="I89" s="536"/>
      <c r="J89" s="536"/>
      <c r="K89" s="536"/>
      <c r="L89" s="536"/>
      <c r="M89" s="536"/>
      <c r="N89" s="1151"/>
      <c r="O89" s="1151"/>
      <c r="P89" s="2631"/>
      <c r="Q89" s="504"/>
    </row>
    <row r="90" spans="1:17" s="471" customFormat="1" ht="15.75" thickTop="1">
      <c r="A90" s="553"/>
      <c r="B90" s="538" t="str">
        <f>B27</f>
        <v>人流量</v>
      </c>
      <c r="C90" s="2974" t="s">
        <v>3087</v>
      </c>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v>1</v>
      </c>
      <c r="D92" s="2975" t="s">
        <v>3089</v>
      </c>
      <c r="E92" s="554"/>
      <c r="F92" s="554"/>
      <c r="G92" s="554"/>
      <c r="H92" s="554"/>
      <c r="I92" s="554"/>
      <c r="J92" s="554"/>
      <c r="K92" s="554"/>
      <c r="L92" s="580"/>
      <c r="M92" s="581"/>
      <c r="N92" s="1150"/>
      <c r="O92" s="1150"/>
      <c r="P92" s="2631"/>
      <c r="Q92" s="504"/>
    </row>
    <row r="93" spans="1:17" ht="15.75" thickBot="1">
      <c r="A93" s="534"/>
      <c r="B93" s="543"/>
      <c r="C93" s="536">
        <v>100</v>
      </c>
      <c r="D93" s="536">
        <v>90</v>
      </c>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2564</v>
      </c>
      <c r="B100" s="528" t="s">
        <v>2682</v>
      </c>
      <c r="C100" s="2976" t="s">
        <v>3092</v>
      </c>
      <c r="D100" s="2976" t="s">
        <v>3090</v>
      </c>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31"/>
      <c r="Q101" s="504"/>
    </row>
    <row r="102" spans="1:17" ht="15.75" thickTop="1">
      <c r="A102" s="534"/>
      <c r="B102" s="538" t="s">
        <v>2614</v>
      </c>
      <c r="C102" s="578" t="str">
        <f>C103&amp;"(含)"&amp;"-"&amp;D103</f>
        <v>0(含)-50</v>
      </c>
      <c r="D102" s="578" t="str">
        <f t="shared" ref="D102:L102" si="23">D103&amp;"(含)"&amp;"-"&amp;E103</f>
        <v>50(含)-80</v>
      </c>
      <c r="E102" s="578" t="str">
        <f t="shared" si="23"/>
        <v>80(含)-120</v>
      </c>
      <c r="F102" s="578" t="str">
        <f t="shared" si="23"/>
        <v>120(含)-200</v>
      </c>
      <c r="G102" s="578" t="str">
        <f t="shared" si="23"/>
        <v>200(含)-500</v>
      </c>
      <c r="H102" s="578" t="str">
        <f t="shared" si="23"/>
        <v>500(含)-1000</v>
      </c>
      <c r="I102" s="578" t="str">
        <f t="shared" si="23"/>
        <v>1000(含)-2000</v>
      </c>
      <c r="J102" s="578" t="str">
        <f t="shared" si="23"/>
        <v>2000(含)-</v>
      </c>
      <c r="K102" s="578" t="str">
        <f t="shared" si="23"/>
        <v>(含)-</v>
      </c>
      <c r="L102" s="578" t="str">
        <f t="shared" si="23"/>
        <v>(含)-</v>
      </c>
      <c r="M102" s="622" t="str">
        <f>M103&amp;"(含)"&amp;"-"&amp;P103</f>
        <v>(含)-</v>
      </c>
      <c r="N102" s="1149"/>
      <c r="O102" s="1149"/>
      <c r="P102" s="2631"/>
      <c r="Q102" s="504"/>
    </row>
    <row r="103" spans="1:17" s="471" customFormat="1">
      <c r="A103" s="593"/>
      <c r="B103" s="594"/>
      <c r="C103" s="595">
        <v>0</v>
      </c>
      <c r="D103" s="595">
        <v>50</v>
      </c>
      <c r="E103" s="595">
        <v>80</v>
      </c>
      <c r="F103" s="595">
        <v>120</v>
      </c>
      <c r="G103" s="595">
        <v>200</v>
      </c>
      <c r="H103" s="595">
        <v>500</v>
      </c>
      <c r="I103" s="595">
        <v>1000</v>
      </c>
      <c r="J103" s="596">
        <v>2000</v>
      </c>
      <c r="K103" s="596"/>
      <c r="L103" s="597"/>
      <c r="M103" s="598"/>
      <c r="N103" s="1152"/>
      <c r="O103" s="1152"/>
      <c r="P103" s="2632"/>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1"/>
      <c r="O104" s="1151"/>
      <c r="P104" s="2632"/>
      <c r="Q104" s="559"/>
    </row>
    <row r="105" spans="1:17" ht="15" thickTop="1">
      <c r="A105" s="599"/>
      <c r="B105" s="538" t="s">
        <v>2615</v>
      </c>
      <c r="C105" s="2974" t="s">
        <v>3094</v>
      </c>
      <c r="D105" s="2974" t="s">
        <v>3096</v>
      </c>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1"/>
      <c r="Q106" s="504"/>
    </row>
    <row r="107" spans="1:17" ht="15" thickTop="1">
      <c r="A107" s="599"/>
      <c r="B107" s="538" t="s">
        <v>2617</v>
      </c>
      <c r="C107" s="2974" t="s">
        <v>3098</v>
      </c>
      <c r="D107" s="2974" t="s">
        <v>3100</v>
      </c>
      <c r="E107" s="2974" t="s">
        <v>3102</v>
      </c>
      <c r="F107" s="2977" t="s">
        <v>3103</v>
      </c>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1"/>
      <c r="Q111" s="504"/>
    </row>
    <row r="112" spans="1:17" s="471" customFormat="1" ht="15" thickTop="1">
      <c r="A112" s="593"/>
      <c r="B112" s="538" t="s">
        <v>2619</v>
      </c>
      <c r="C112" s="2974" t="s">
        <v>3104</v>
      </c>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32"/>
      <c r="Q113" s="559"/>
    </row>
    <row r="114" spans="1:17" ht="15" thickTop="1">
      <c r="A114" s="599"/>
      <c r="B114" s="538" t="s">
        <v>2683</v>
      </c>
      <c r="C114" s="2974" t="s">
        <v>3106</v>
      </c>
      <c r="D114" s="2974" t="s">
        <v>3107</v>
      </c>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1"/>
      <c r="Q115" s="504"/>
    </row>
    <row r="116" spans="1:17" ht="15" thickTop="1">
      <c r="A116" s="599"/>
      <c r="B116" s="538" t="s">
        <v>2684</v>
      </c>
      <c r="C116" s="2974" t="s">
        <v>3108</v>
      </c>
      <c r="D116" s="2974" t="s">
        <v>3110</v>
      </c>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31"/>
      <c r="Q117" s="504"/>
    </row>
    <row r="118" spans="1:17" ht="15" thickTop="1">
      <c r="A118" s="599"/>
      <c r="B118" s="538" t="s">
        <v>2685</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2621</v>
      </c>
      <c r="C122" s="2974" t="s">
        <v>3098</v>
      </c>
      <c r="D122" s="2974" t="s">
        <v>3100</v>
      </c>
      <c r="E122" s="2974" t="s">
        <v>3102</v>
      </c>
      <c r="F122" s="2977" t="s">
        <v>3103</v>
      </c>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2633.48</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49" t="s">
        <v>2652</v>
      </c>
      <c r="Q4" s="3250"/>
      <c r="R4" s="3253" t="s">
        <v>2648</v>
      </c>
      <c r="S4" s="3254"/>
      <c r="T4" s="3253" t="s">
        <v>2649</v>
      </c>
      <c r="U4" s="3254"/>
      <c r="V4" s="3255" t="s">
        <v>2650</v>
      </c>
      <c r="W4" s="3255"/>
      <c r="X4" s="2671"/>
      <c r="Y4" s="3253" t="s">
        <v>2652</v>
      </c>
      <c r="Z4" s="3254"/>
      <c r="AA4" s="3257" t="s">
        <v>2648</v>
      </c>
      <c r="AB4" s="3257" t="s">
        <v>2649</v>
      </c>
      <c r="AC4" s="3246" t="s">
        <v>2650</v>
      </c>
    </row>
    <row r="5" spans="1:29" ht="15">
      <c r="A5" s="404"/>
      <c r="B5" s="405"/>
      <c r="C5" s="3232" t="s">
        <v>2543</v>
      </c>
      <c r="D5" s="3233"/>
      <c r="E5" s="3239" t="s">
        <v>2544</v>
      </c>
      <c r="F5" s="3240"/>
      <c r="G5" s="3232" t="s">
        <v>2545</v>
      </c>
      <c r="H5" s="3233"/>
      <c r="I5" s="3232" t="s">
        <v>2546</v>
      </c>
      <c r="J5" s="3233"/>
      <c r="K5" s="610"/>
      <c r="L5" s="1128"/>
      <c r="M5" s="1129"/>
      <c r="N5" s="1129"/>
      <c r="O5" s="1129"/>
      <c r="P5" s="3251"/>
      <c r="Q5" s="3220"/>
      <c r="R5" s="3225"/>
      <c r="S5" s="3226"/>
      <c r="T5" s="3225"/>
      <c r="U5" s="3226"/>
      <c r="V5" s="3229"/>
      <c r="W5" s="3229"/>
      <c r="X5" s="1811"/>
      <c r="Y5" s="3225"/>
      <c r="Z5" s="3226"/>
      <c r="AA5" s="3211"/>
      <c r="AB5" s="3211"/>
      <c r="AC5" s="3247"/>
    </row>
    <row r="6" spans="1:29" ht="15.75" thickBot="1">
      <c r="A6" s="406"/>
      <c r="B6" s="407"/>
      <c r="C6" s="3230" t="s">
        <v>2547</v>
      </c>
      <c r="D6" s="3231"/>
      <c r="E6" s="3237" t="s">
        <v>2547</v>
      </c>
      <c r="F6" s="3238"/>
      <c r="G6" s="3230" t="s">
        <v>2547</v>
      </c>
      <c r="H6" s="3231"/>
      <c r="I6" s="3230" t="s">
        <v>2547</v>
      </c>
      <c r="J6" s="3231"/>
      <c r="K6" s="610" t="s">
        <v>2548</v>
      </c>
      <c r="L6" s="1128"/>
      <c r="M6" s="1129"/>
      <c r="N6" s="1129"/>
      <c r="O6" s="1129"/>
      <c r="P6" s="3252"/>
      <c r="Q6" s="3222"/>
      <c r="R6" s="3225"/>
      <c r="S6" s="3226"/>
      <c r="T6" s="3227"/>
      <c r="U6" s="3228"/>
      <c r="V6" s="3229"/>
      <c r="W6" s="3229"/>
      <c r="X6" s="1811"/>
      <c r="Y6" s="3227"/>
      <c r="Z6" s="3228"/>
      <c r="AA6" s="3212"/>
      <c r="AB6" s="3212"/>
      <c r="AC6" s="3248"/>
    </row>
    <row r="7" spans="1:29" s="117" customFormat="1" ht="15.75" thickBot="1">
      <c r="A7" s="408" t="s">
        <v>2549</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6" t="s">
        <v>2550</v>
      </c>
      <c r="Q7" s="3236"/>
      <c r="R7" s="768" t="s">
        <v>17</v>
      </c>
      <c r="S7" s="769">
        <f t="shared" ref="S7:S15" si="0">F7</f>
        <v>0</v>
      </c>
      <c r="T7" s="768" t="s">
        <v>17</v>
      </c>
      <c r="U7" s="769">
        <f t="shared" ref="U7:U15" si="1">H7</f>
        <v>0</v>
      </c>
      <c r="V7" s="768" t="s">
        <v>17</v>
      </c>
      <c r="W7" s="769">
        <f t="shared" ref="W7:W15" si="2">J7</f>
        <v>0</v>
      </c>
      <c r="X7" s="770"/>
      <c r="Y7" s="3234" t="s">
        <v>2550</v>
      </c>
      <c r="Z7" s="3235"/>
      <c r="AA7" s="771" t="e">
        <f>D7/F7</f>
        <v>#DIV/0!</v>
      </c>
      <c r="AB7" s="771"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6" t="s">
        <v>2553</v>
      </c>
      <c r="Q8" s="3235"/>
      <c r="R8" s="768" t="s">
        <v>17</v>
      </c>
      <c r="S8" s="769">
        <f t="shared" si="0"/>
        <v>0</v>
      </c>
      <c r="T8" s="768" t="s">
        <v>17</v>
      </c>
      <c r="U8" s="769">
        <f t="shared" si="1"/>
        <v>0</v>
      </c>
      <c r="V8" s="768" t="s">
        <v>17</v>
      </c>
      <c r="W8" s="769">
        <f t="shared" si="2"/>
        <v>0</v>
      </c>
      <c r="X8" s="770"/>
      <c r="Y8" s="3234" t="s">
        <v>2553</v>
      </c>
      <c r="Z8" s="3235"/>
      <c r="AA8" s="771" t="e">
        <f t="shared" ref="AA8:AA47" si="3">D8/F8</f>
        <v>#DIV/0!</v>
      </c>
      <c r="AB8" s="771"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09"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09"/>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09"/>
      <c r="Q11" s="1793"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09"/>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09"/>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09"/>
      <c r="Q14" s="1793">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07" t="s">
        <v>2561</v>
      </c>
      <c r="Q15" s="1808" t="str">
        <f t="shared" si="6"/>
        <v>办公集聚程度</v>
      </c>
      <c r="R15" s="772" t="s">
        <v>17</v>
      </c>
      <c r="S15" s="773">
        <f t="shared" si="0"/>
        <v>100</v>
      </c>
      <c r="T15" s="772" t="s">
        <v>17</v>
      </c>
      <c r="U15" s="773">
        <f t="shared" si="1"/>
        <v>100</v>
      </c>
      <c r="V15" s="772" t="s">
        <v>17</v>
      </c>
      <c r="W15" s="773">
        <f t="shared" si="2"/>
        <v>100</v>
      </c>
      <c r="X15" s="1811"/>
      <c r="Y15" s="3200" t="s">
        <v>2561</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08"/>
      <c r="Q16" s="1808"/>
      <c r="R16" s="772"/>
      <c r="S16" s="773"/>
      <c r="T16" s="772"/>
      <c r="U16" s="773"/>
      <c r="V16" s="772"/>
      <c r="W16" s="773"/>
      <c r="X16" s="1811"/>
      <c r="Y16" s="3201"/>
      <c r="Z16" s="1812"/>
      <c r="AA16" s="1809">
        <v>1</v>
      </c>
      <c r="AB16" s="1809">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08"/>
      <c r="Q17" s="1808" t="str">
        <f>B17</f>
        <v>交通便捷度</v>
      </c>
      <c r="R17" s="772" t="s">
        <v>17</v>
      </c>
      <c r="S17" s="773">
        <f>F17</f>
        <v>100</v>
      </c>
      <c r="T17" s="772" t="s">
        <v>17</v>
      </c>
      <c r="U17" s="773">
        <f>H17</f>
        <v>100</v>
      </c>
      <c r="V17" s="772" t="s">
        <v>17</v>
      </c>
      <c r="W17" s="773">
        <f>J17</f>
        <v>100</v>
      </c>
      <c r="X17" s="1811"/>
      <c r="Y17" s="3201"/>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08"/>
      <c r="Q18" s="1808"/>
      <c r="R18" s="772"/>
      <c r="S18" s="773"/>
      <c r="T18" s="772"/>
      <c r="U18" s="773"/>
      <c r="V18" s="772"/>
      <c r="W18" s="773"/>
      <c r="X18" s="1811"/>
      <c r="Y18" s="3201"/>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08"/>
      <c r="Q19" s="1808" t="str">
        <f>B19</f>
        <v>公共配套设施</v>
      </c>
      <c r="R19" s="772" t="s">
        <v>17</v>
      </c>
      <c r="S19" s="773">
        <f>F19</f>
        <v>100</v>
      </c>
      <c r="T19" s="772" t="s">
        <v>17</v>
      </c>
      <c r="U19" s="773">
        <f>H19</f>
        <v>100</v>
      </c>
      <c r="V19" s="772" t="s">
        <v>17</v>
      </c>
      <c r="W19" s="773">
        <f>J19</f>
        <v>100</v>
      </c>
      <c r="X19" s="1811"/>
      <c r="Y19" s="3201"/>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08"/>
      <c r="Q20" s="1808"/>
      <c r="R20" s="772"/>
      <c r="S20" s="773"/>
      <c r="T20" s="772"/>
      <c r="U20" s="773"/>
      <c r="V20" s="772"/>
      <c r="W20" s="773"/>
      <c r="X20" s="1811"/>
      <c r="Y20" s="3201"/>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08"/>
      <c r="Q21" s="1808" t="str">
        <f>B21</f>
        <v>基础设施水平</v>
      </c>
      <c r="R21" s="772" t="s">
        <v>17</v>
      </c>
      <c r="S21" s="773">
        <f>F21</f>
        <v>100</v>
      </c>
      <c r="T21" s="772" t="s">
        <v>17</v>
      </c>
      <c r="U21" s="773">
        <f>H21</f>
        <v>100</v>
      </c>
      <c r="V21" s="772" t="s">
        <v>17</v>
      </c>
      <c r="W21" s="773">
        <f>J21</f>
        <v>100</v>
      </c>
      <c r="X21" s="1811"/>
      <c r="Y21" s="3201"/>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08"/>
      <c r="Q22" s="1808"/>
      <c r="R22" s="772"/>
      <c r="S22" s="773"/>
      <c r="T22" s="772"/>
      <c r="U22" s="773"/>
      <c r="V22" s="772"/>
      <c r="W22" s="773"/>
      <c r="X22" s="1811"/>
      <c r="Y22" s="3201"/>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08"/>
      <c r="Q23" s="1808" t="str">
        <f>B23</f>
        <v>环境质量</v>
      </c>
      <c r="R23" s="772" t="s">
        <v>17</v>
      </c>
      <c r="S23" s="773">
        <f>F23</f>
        <v>100</v>
      </c>
      <c r="T23" s="772" t="s">
        <v>17</v>
      </c>
      <c r="U23" s="773">
        <f>H23</f>
        <v>100</v>
      </c>
      <c r="V23" s="772" t="s">
        <v>17</v>
      </c>
      <c r="W23" s="773">
        <f>J23</f>
        <v>100</v>
      </c>
      <c r="X23" s="1811"/>
      <c r="Y23" s="3201"/>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08"/>
      <c r="Q24" s="1808"/>
      <c r="R24" s="772"/>
      <c r="S24" s="773"/>
      <c r="T24" s="772"/>
      <c r="U24" s="773"/>
      <c r="V24" s="772"/>
      <c r="W24" s="773"/>
      <c r="X24" s="1811"/>
      <c r="Y24" s="3201"/>
      <c r="Z24" s="1812"/>
      <c r="AA24" s="1809">
        <v>1</v>
      </c>
      <c r="AB24" s="1809">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08"/>
      <c r="Q25" s="1808" t="str">
        <f>B25</f>
        <v>毗邻道路的类型与等级</v>
      </c>
      <c r="R25" s="772" t="s">
        <v>17</v>
      </c>
      <c r="S25" s="773">
        <f>F25</f>
        <v>100</v>
      </c>
      <c r="T25" s="772" t="s">
        <v>17</v>
      </c>
      <c r="U25" s="773">
        <f>H25</f>
        <v>100</v>
      </c>
      <c r="V25" s="772" t="s">
        <v>17</v>
      </c>
      <c r="W25" s="773">
        <f>J25</f>
        <v>100</v>
      </c>
      <c r="X25" s="1811"/>
      <c r="Y25" s="3201"/>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08"/>
      <c r="Q26" s="1808"/>
      <c r="R26" s="772"/>
      <c r="S26" s="773"/>
      <c r="T26" s="772"/>
      <c r="U26" s="773"/>
      <c r="V26" s="772"/>
      <c r="W26" s="773"/>
      <c r="X26" s="1811"/>
      <c r="Y26" s="3201"/>
      <c r="Z26" s="1812"/>
      <c r="AA26" s="1809">
        <v>1</v>
      </c>
      <c r="AB26" s="1809">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08"/>
      <c r="Q27" s="1808" t="str">
        <f t="shared" ref="Q27:Q47" si="11">B27</f>
        <v>楼层</v>
      </c>
      <c r="R27" s="772" t="s">
        <v>17</v>
      </c>
      <c r="S27" s="773">
        <f>F27</f>
        <v>100</v>
      </c>
      <c r="T27" s="772" t="s">
        <v>17</v>
      </c>
      <c r="U27" s="773">
        <f>H27</f>
        <v>100</v>
      </c>
      <c r="V27" s="772" t="s">
        <v>17</v>
      </c>
      <c r="W27" s="773">
        <f>J27</f>
        <v>100</v>
      </c>
      <c r="X27" s="1811"/>
      <c r="Y27" s="3201"/>
      <c r="Z27" s="1812" t="str">
        <f>Q27</f>
        <v>楼层</v>
      </c>
      <c r="AA27" s="1809">
        <f t="shared" si="3"/>
        <v>1</v>
      </c>
      <c r="AB27" s="1809">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08"/>
      <c r="Q28" s="1793" t="str">
        <f t="shared" si="11"/>
        <v>朝向</v>
      </c>
      <c r="R28" s="768" t="s">
        <v>17</v>
      </c>
      <c r="S28" s="769">
        <f>F28</f>
        <v>100</v>
      </c>
      <c r="T28" s="768" t="s">
        <v>17</v>
      </c>
      <c r="U28" s="769">
        <f>H28</f>
        <v>100</v>
      </c>
      <c r="V28" s="768" t="s">
        <v>17</v>
      </c>
      <c r="W28" s="769">
        <f>J28</f>
        <v>100</v>
      </c>
      <c r="X28" s="770"/>
      <c r="Y28" s="3201"/>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08"/>
      <c r="Q29" s="1808">
        <f t="shared" si="11"/>
        <v>111</v>
      </c>
      <c r="R29" s="772" t="s">
        <v>17</v>
      </c>
      <c r="S29" s="773">
        <f t="shared" ref="S29:S47" si="12">F29</f>
        <v>100</v>
      </c>
      <c r="T29" s="772" t="s">
        <v>17</v>
      </c>
      <c r="U29" s="773">
        <f t="shared" ref="U29:U47" si="13">H29</f>
        <v>100</v>
      </c>
      <c r="V29" s="772" t="s">
        <v>17</v>
      </c>
      <c r="W29" s="773">
        <f t="shared" ref="W29:W47" si="14">J29</f>
        <v>100</v>
      </c>
      <c r="X29" s="1811"/>
      <c r="Y29" s="3201"/>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08"/>
      <c r="Q30" s="1808">
        <f t="shared" si="11"/>
        <v>111</v>
      </c>
      <c r="R30" s="772" t="s">
        <v>17</v>
      </c>
      <c r="S30" s="773">
        <f t="shared" si="12"/>
        <v>100</v>
      </c>
      <c r="T30" s="772" t="s">
        <v>17</v>
      </c>
      <c r="U30" s="773">
        <f t="shared" si="13"/>
        <v>100</v>
      </c>
      <c r="V30" s="772" t="s">
        <v>17</v>
      </c>
      <c r="W30" s="773">
        <f t="shared" si="14"/>
        <v>100</v>
      </c>
      <c r="X30" s="1811"/>
      <c r="Y30" s="3201"/>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08"/>
      <c r="Q31" s="1808">
        <f t="shared" si="11"/>
        <v>111</v>
      </c>
      <c r="R31" s="772" t="s">
        <v>17</v>
      </c>
      <c r="S31" s="773">
        <f t="shared" si="12"/>
        <v>100</v>
      </c>
      <c r="T31" s="772" t="s">
        <v>17</v>
      </c>
      <c r="U31" s="773">
        <f t="shared" si="13"/>
        <v>100</v>
      </c>
      <c r="V31" s="772" t="s">
        <v>17</v>
      </c>
      <c r="W31" s="773">
        <f t="shared" si="14"/>
        <v>100</v>
      </c>
      <c r="X31" s="1811"/>
      <c r="Y31" s="3201"/>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08"/>
      <c r="Q32" s="1808">
        <f t="shared" si="11"/>
        <v>111</v>
      </c>
      <c r="R32" s="772" t="s">
        <v>17</v>
      </c>
      <c r="S32" s="773">
        <f t="shared" si="12"/>
        <v>100</v>
      </c>
      <c r="T32" s="772" t="s">
        <v>17</v>
      </c>
      <c r="U32" s="773">
        <f t="shared" si="13"/>
        <v>100</v>
      </c>
      <c r="V32" s="772" t="s">
        <v>17</v>
      </c>
      <c r="W32" s="773">
        <f t="shared" si="14"/>
        <v>100</v>
      </c>
      <c r="X32" s="1811"/>
      <c r="Y32" s="3201"/>
      <c r="Z32" s="1812">
        <f t="shared" si="15"/>
        <v>111</v>
      </c>
      <c r="AA32" s="1809">
        <f t="shared" si="3"/>
        <v>1</v>
      </c>
      <c r="AB32" s="1809">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02" t="s">
        <v>2566</v>
      </c>
      <c r="Q33" s="1808" t="str">
        <f t="shared" si="11"/>
        <v>建筑类型</v>
      </c>
      <c r="R33" s="772" t="s">
        <v>17</v>
      </c>
      <c r="S33" s="773">
        <f t="shared" si="12"/>
        <v>100</v>
      </c>
      <c r="T33" s="772" t="s">
        <v>17</v>
      </c>
      <c r="U33" s="773">
        <f t="shared" si="13"/>
        <v>100</v>
      </c>
      <c r="V33" s="772" t="s">
        <v>17</v>
      </c>
      <c r="W33" s="773">
        <f t="shared" si="14"/>
        <v>100</v>
      </c>
      <c r="X33" s="1811"/>
      <c r="Y33" s="3205" t="s">
        <v>2566</v>
      </c>
      <c r="Z33" s="1812" t="str">
        <f t="shared" si="15"/>
        <v>建筑类型</v>
      </c>
      <c r="AA33" s="1809">
        <f t="shared" si="3"/>
        <v>1</v>
      </c>
      <c r="AB33" s="1809">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03"/>
      <c r="Q34" s="774" t="str">
        <f t="shared" si="11"/>
        <v>项目建筑规模</v>
      </c>
      <c r="R34" s="775" t="s">
        <v>17</v>
      </c>
      <c r="S34" s="776" t="e">
        <f t="shared" si="12"/>
        <v>#N/A</v>
      </c>
      <c r="T34" s="775" t="s">
        <v>17</v>
      </c>
      <c r="U34" s="776" t="e">
        <f t="shared" si="13"/>
        <v>#N/A</v>
      </c>
      <c r="V34" s="775" t="s">
        <v>17</v>
      </c>
      <c r="W34" s="776" t="e">
        <f t="shared" si="14"/>
        <v>#N/A</v>
      </c>
      <c r="X34" s="777"/>
      <c r="Y34" s="3205"/>
      <c r="Z34" s="778" t="str">
        <f t="shared" si="15"/>
        <v>项目建筑规模</v>
      </c>
      <c r="AA34" s="1809" t="e">
        <f t="shared" si="3"/>
        <v>#N/A</v>
      </c>
      <c r="AB34" s="1809"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03"/>
      <c r="Q35" s="1808" t="str">
        <f t="shared" si="11"/>
        <v>建筑结构</v>
      </c>
      <c r="R35" s="772" t="s">
        <v>17</v>
      </c>
      <c r="S35" s="773">
        <f t="shared" si="12"/>
        <v>100</v>
      </c>
      <c r="T35" s="772" t="s">
        <v>17</v>
      </c>
      <c r="U35" s="773">
        <f t="shared" si="13"/>
        <v>100</v>
      </c>
      <c r="V35" s="772" t="s">
        <v>17</v>
      </c>
      <c r="W35" s="773">
        <f t="shared" si="14"/>
        <v>100</v>
      </c>
      <c r="X35" s="1811"/>
      <c r="Y35" s="3205"/>
      <c r="Z35" s="1812" t="str">
        <f t="shared" si="15"/>
        <v>建筑结构</v>
      </c>
      <c r="AA35" s="1809">
        <f t="shared" si="3"/>
        <v>1</v>
      </c>
      <c r="AB35" s="1809">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03"/>
      <c r="Q36" s="1808" t="str">
        <f t="shared" si="11"/>
        <v>公共部分装修</v>
      </c>
      <c r="R36" s="772" t="s">
        <v>17</v>
      </c>
      <c r="S36" s="773">
        <f t="shared" si="12"/>
        <v>100</v>
      </c>
      <c r="T36" s="772" t="s">
        <v>17</v>
      </c>
      <c r="U36" s="773">
        <f t="shared" si="13"/>
        <v>100</v>
      </c>
      <c r="V36" s="772" t="s">
        <v>17</v>
      </c>
      <c r="W36" s="773">
        <f t="shared" si="14"/>
        <v>100</v>
      </c>
      <c r="X36" s="1811"/>
      <c r="Y36" s="3205"/>
      <c r="Z36" s="1812" t="str">
        <f t="shared" si="15"/>
        <v>公共部分装修</v>
      </c>
      <c r="AA36" s="1809">
        <f t="shared" si="3"/>
        <v>1</v>
      </c>
      <c r="AB36" s="1809">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03"/>
      <c r="Q37" s="1808" t="str">
        <f t="shared" si="11"/>
        <v>成新度</v>
      </c>
      <c r="R37" s="772" t="s">
        <v>17</v>
      </c>
      <c r="S37" s="773" t="e">
        <f t="shared" si="12"/>
        <v>#N/A</v>
      </c>
      <c r="T37" s="772" t="s">
        <v>17</v>
      </c>
      <c r="U37" s="773" t="e">
        <f t="shared" si="13"/>
        <v>#N/A</v>
      </c>
      <c r="V37" s="772" t="s">
        <v>17</v>
      </c>
      <c r="W37" s="773" t="e">
        <f t="shared" si="14"/>
        <v>#N/A</v>
      </c>
      <c r="X37" s="1811"/>
      <c r="Y37" s="3205"/>
      <c r="Z37" s="1812" t="str">
        <f t="shared" si="15"/>
        <v>成新度</v>
      </c>
      <c r="AA37" s="1809" t="e">
        <f t="shared" si="3"/>
        <v>#N/A</v>
      </c>
      <c r="AB37" s="1809"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03"/>
      <c r="Q38" s="1793" t="str">
        <f t="shared" si="11"/>
        <v>写字楼等级</v>
      </c>
      <c r="R38" s="768" t="s">
        <v>17</v>
      </c>
      <c r="S38" s="769">
        <f t="shared" si="12"/>
        <v>100</v>
      </c>
      <c r="T38" s="768" t="s">
        <v>17</v>
      </c>
      <c r="U38" s="769">
        <f t="shared" si="13"/>
        <v>100</v>
      </c>
      <c r="V38" s="768" t="s">
        <v>17</v>
      </c>
      <c r="W38" s="769">
        <f t="shared" si="14"/>
        <v>100</v>
      </c>
      <c r="X38" s="770"/>
      <c r="Y38" s="3205"/>
      <c r="Z38" s="55" t="str">
        <f t="shared" si="15"/>
        <v>写字楼等级</v>
      </c>
      <c r="AA38" s="771">
        <f t="shared" si="3"/>
        <v>1</v>
      </c>
      <c r="AB38" s="771">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03" t="s">
        <v>2566</v>
      </c>
      <c r="Q39" s="1808" t="str">
        <f t="shared" si="11"/>
        <v>物业管理</v>
      </c>
      <c r="R39" s="772" t="s">
        <v>17</v>
      </c>
      <c r="S39" s="773">
        <f t="shared" si="12"/>
        <v>100</v>
      </c>
      <c r="T39" s="772" t="s">
        <v>17</v>
      </c>
      <c r="U39" s="773">
        <f t="shared" si="13"/>
        <v>100</v>
      </c>
      <c r="V39" s="772" t="s">
        <v>17</v>
      </c>
      <c r="W39" s="773">
        <f t="shared" si="14"/>
        <v>100</v>
      </c>
      <c r="X39" s="1811"/>
      <c r="Y39" s="3205" t="s">
        <v>2566</v>
      </c>
      <c r="Z39" s="1812" t="str">
        <f t="shared" si="15"/>
        <v>物业管理</v>
      </c>
      <c r="AA39" s="1809">
        <f t="shared" si="3"/>
        <v>1</v>
      </c>
      <c r="AB39" s="1809">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03"/>
      <c r="Q40" s="1808" t="str">
        <f t="shared" si="11"/>
        <v>市政基础设施</v>
      </c>
      <c r="R40" s="772" t="s">
        <v>17</v>
      </c>
      <c r="S40" s="773">
        <f t="shared" si="12"/>
        <v>100</v>
      </c>
      <c r="T40" s="772" t="s">
        <v>17</v>
      </c>
      <c r="U40" s="773">
        <f t="shared" si="13"/>
        <v>100</v>
      </c>
      <c r="V40" s="772" t="s">
        <v>17</v>
      </c>
      <c r="W40" s="773">
        <f t="shared" si="14"/>
        <v>100</v>
      </c>
      <c r="X40" s="1811"/>
      <c r="Y40" s="3205"/>
      <c r="Z40" s="1812" t="str">
        <f t="shared" si="15"/>
        <v>市政基础设施</v>
      </c>
      <c r="AA40" s="1809">
        <f t="shared" si="3"/>
        <v>1</v>
      </c>
      <c r="AB40" s="1809">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03"/>
      <c r="Q41" s="1808" t="str">
        <f t="shared" si="11"/>
        <v>层高</v>
      </c>
      <c r="R41" s="772" t="s">
        <v>17</v>
      </c>
      <c r="S41" s="773">
        <f t="shared" si="12"/>
        <v>100</v>
      </c>
      <c r="T41" s="772" t="s">
        <v>17</v>
      </c>
      <c r="U41" s="773">
        <f t="shared" si="13"/>
        <v>100</v>
      </c>
      <c r="V41" s="772" t="s">
        <v>17</v>
      </c>
      <c r="W41" s="773">
        <f t="shared" si="14"/>
        <v>100</v>
      </c>
      <c r="X41" s="1811"/>
      <c r="Y41" s="3205"/>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03"/>
      <c r="Q42" s="774" t="str">
        <f t="shared" si="11"/>
        <v>单套建筑面积</v>
      </c>
      <c r="R42" s="775" t="s">
        <v>17</v>
      </c>
      <c r="S42" s="776">
        <f t="shared" si="12"/>
        <v>100</v>
      </c>
      <c r="T42" s="775" t="s">
        <v>17</v>
      </c>
      <c r="U42" s="776">
        <f t="shared" si="13"/>
        <v>100</v>
      </c>
      <c r="V42" s="775" t="s">
        <v>17</v>
      </c>
      <c r="W42" s="776">
        <f t="shared" si="14"/>
        <v>100</v>
      </c>
      <c r="X42" s="777"/>
      <c r="Y42" s="3205"/>
      <c r="Z42" s="778" t="str">
        <f t="shared" si="15"/>
        <v>单套建筑面积</v>
      </c>
      <c r="AA42" s="1809">
        <f t="shared" si="3"/>
        <v>1</v>
      </c>
      <c r="AB42" s="1809">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03"/>
      <c r="Q43" s="1808" t="str">
        <f t="shared" si="11"/>
        <v>内部装修</v>
      </c>
      <c r="R43" s="772" t="s">
        <v>17</v>
      </c>
      <c r="S43" s="773">
        <f t="shared" si="12"/>
        <v>100</v>
      </c>
      <c r="T43" s="772" t="s">
        <v>17</v>
      </c>
      <c r="U43" s="773">
        <f t="shared" si="13"/>
        <v>100</v>
      </c>
      <c r="V43" s="772" t="s">
        <v>17</v>
      </c>
      <c r="W43" s="773">
        <f t="shared" si="14"/>
        <v>100</v>
      </c>
      <c r="X43" s="1811"/>
      <c r="Y43" s="3205"/>
      <c r="Z43" s="1812" t="str">
        <f t="shared" si="15"/>
        <v>内部装修</v>
      </c>
      <c r="AA43" s="1809">
        <f t="shared" si="3"/>
        <v>1</v>
      </c>
      <c r="AB43" s="1809">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03"/>
      <c r="Q44" s="1808" t="str">
        <f t="shared" si="11"/>
        <v>内部装修维护情况</v>
      </c>
      <c r="R44" s="772" t="s">
        <v>17</v>
      </c>
      <c r="S44" s="773">
        <f t="shared" si="12"/>
        <v>100</v>
      </c>
      <c r="T44" s="772" t="s">
        <v>17</v>
      </c>
      <c r="U44" s="773">
        <f t="shared" si="13"/>
        <v>100</v>
      </c>
      <c r="V44" s="772" t="s">
        <v>17</v>
      </c>
      <c r="W44" s="773">
        <f t="shared" si="14"/>
        <v>100</v>
      </c>
      <c r="X44" s="1811"/>
      <c r="Y44" s="3205"/>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03"/>
      <c r="Q45" s="1793">
        <f t="shared" si="11"/>
        <v>111</v>
      </c>
      <c r="R45" s="768" t="s">
        <v>17</v>
      </c>
      <c r="S45" s="769">
        <f t="shared" si="12"/>
        <v>100</v>
      </c>
      <c r="T45" s="768" t="s">
        <v>17</v>
      </c>
      <c r="U45" s="769">
        <f t="shared" si="13"/>
        <v>100</v>
      </c>
      <c r="V45" s="768" t="s">
        <v>17</v>
      </c>
      <c r="W45" s="769">
        <f t="shared" si="14"/>
        <v>100</v>
      </c>
      <c r="X45" s="770"/>
      <c r="Y45" s="3205"/>
      <c r="Z45" s="55">
        <f t="shared" si="15"/>
        <v>111</v>
      </c>
      <c r="AA45" s="771">
        <f t="shared" si="3"/>
        <v>1</v>
      </c>
      <c r="AB45" s="771">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03"/>
      <c r="Q46" s="1808">
        <f t="shared" si="11"/>
        <v>111</v>
      </c>
      <c r="R46" s="772" t="s">
        <v>17</v>
      </c>
      <c r="S46" s="773">
        <f t="shared" si="12"/>
        <v>100</v>
      </c>
      <c r="T46" s="772" t="s">
        <v>17</v>
      </c>
      <c r="U46" s="773">
        <f t="shared" si="13"/>
        <v>100</v>
      </c>
      <c r="V46" s="772" t="s">
        <v>17</v>
      </c>
      <c r="W46" s="773">
        <f t="shared" si="14"/>
        <v>100</v>
      </c>
      <c r="X46" s="1811"/>
      <c r="Y46" s="3205"/>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04"/>
      <c r="Q47" s="1808">
        <f t="shared" si="11"/>
        <v>111</v>
      </c>
      <c r="R47" s="772" t="s">
        <v>17</v>
      </c>
      <c r="S47" s="773">
        <f t="shared" si="12"/>
        <v>100</v>
      </c>
      <c r="T47" s="772" t="s">
        <v>17</v>
      </c>
      <c r="U47" s="773">
        <f t="shared" si="13"/>
        <v>100</v>
      </c>
      <c r="V47" s="772" t="s">
        <v>17</v>
      </c>
      <c r="W47" s="773">
        <f t="shared" si="14"/>
        <v>100</v>
      </c>
      <c r="X47" s="1811"/>
      <c r="Y47" s="3206"/>
      <c r="Z47" s="1812">
        <f t="shared" si="15"/>
        <v>111</v>
      </c>
      <c r="AA47" s="1809">
        <f t="shared" si="3"/>
        <v>1</v>
      </c>
      <c r="AB47" s="1809">
        <f t="shared" si="4"/>
        <v>1</v>
      </c>
      <c r="AC47" s="2675">
        <f t="shared" si="5"/>
        <v>1</v>
      </c>
    </row>
    <row r="48" spans="1:29" ht="15">
      <c r="A48" s="479" t="s">
        <v>2578</v>
      </c>
      <c r="B48" s="480"/>
      <c r="C48" s="1405" t="s">
        <v>1</v>
      </c>
      <c r="D48" s="1406"/>
      <c r="E48" s="1407"/>
      <c r="F48" s="1408"/>
      <c r="G48" s="1409"/>
      <c r="H48" s="1410"/>
      <c r="I48" s="1407"/>
      <c r="J48" s="485"/>
      <c r="K48" s="781"/>
      <c r="L48" s="1141"/>
      <c r="M48" s="1129"/>
      <c r="N48" s="1129"/>
      <c r="O48" s="1129"/>
      <c r="P48" s="3209" t="str">
        <f>A48</f>
        <v>成交单价（元/平方米）</v>
      </c>
      <c r="Q48" s="3198"/>
      <c r="R48" s="3199">
        <f>E48</f>
        <v>0</v>
      </c>
      <c r="S48" s="3199"/>
      <c r="T48" s="3199">
        <f>G48</f>
        <v>0</v>
      </c>
      <c r="U48" s="3199"/>
      <c r="V48" s="3199">
        <f>I48</f>
        <v>0</v>
      </c>
      <c r="W48" s="3199"/>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2"/>
      <c r="Q58" s="504"/>
    </row>
    <row r="59" spans="1:29" s="508" customFormat="1" ht="15">
      <c r="A59" s="505" t="s">
        <v>2549</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2589</v>
      </c>
      <c r="B64" s="528" t="s">
        <v>2555</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2700</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2564</v>
      </c>
      <c r="B101" s="528" t="s">
        <v>2613</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2615</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2617</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2618</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2619</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2702</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2621</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估价对象为出让国有建设用地使用权及在建建筑物房地产，为所有。根据《国有土地使用证》[]，估价对象（分摊）出让国有建设用地使用权面积为3030.4平方米，建筑面积为2633.48平方米。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3030.4平方米，规划建筑面积为2633.48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2019年8月13日（评估专业人员实地查勘之日）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2633.48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11" t="s">
        <v>2649</v>
      </c>
      <c r="AC4" s="3210" t="s">
        <v>2650</v>
      </c>
    </row>
    <row r="5" spans="1:29" ht="15">
      <c r="A5" s="404"/>
      <c r="B5" s="405"/>
      <c r="C5" s="3232" t="s">
        <v>2543</v>
      </c>
      <c r="D5" s="3233"/>
      <c r="E5" s="3239" t="s">
        <v>2544</v>
      </c>
      <c r="F5" s="3240"/>
      <c r="G5" s="3232" t="s">
        <v>2545</v>
      </c>
      <c r="H5" s="3233"/>
      <c r="I5" s="3232" t="s">
        <v>2546</v>
      </c>
      <c r="J5" s="3233"/>
      <c r="K5" s="610"/>
      <c r="L5" s="1128"/>
      <c r="M5" s="1129"/>
      <c r="N5" s="1129"/>
      <c r="O5" s="1129"/>
      <c r="P5" s="3219"/>
      <c r="Q5" s="3220"/>
      <c r="R5" s="3225"/>
      <c r="S5" s="3226"/>
      <c r="T5" s="3225"/>
      <c r="U5" s="3226"/>
      <c r="V5" s="3229"/>
      <c r="W5" s="3229"/>
      <c r="X5" s="1811"/>
      <c r="Y5" s="3225"/>
      <c r="Z5" s="3226"/>
      <c r="AA5" s="3211"/>
      <c r="AB5" s="3211"/>
      <c r="AC5" s="3211"/>
    </row>
    <row r="6" spans="1:29" ht="15.75" thickBot="1">
      <c r="A6" s="406"/>
      <c r="B6" s="407"/>
      <c r="C6" s="3230" t="s">
        <v>2547</v>
      </c>
      <c r="D6" s="3231"/>
      <c r="E6" s="3237" t="s">
        <v>2547</v>
      </c>
      <c r="F6" s="3238"/>
      <c r="G6" s="3230" t="s">
        <v>2547</v>
      </c>
      <c r="H6" s="3231"/>
      <c r="I6" s="3230" t="s">
        <v>2547</v>
      </c>
      <c r="J6" s="3231"/>
      <c r="K6" s="610" t="s">
        <v>2548</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8" t="s">
        <v>2549</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34" t="s">
        <v>2550</v>
      </c>
      <c r="Q7" s="3236"/>
      <c r="R7" s="768" t="s">
        <v>17</v>
      </c>
      <c r="S7" s="769">
        <f t="shared" ref="S7:S15" si="0">F7</f>
        <v>0</v>
      </c>
      <c r="T7" s="768" t="s">
        <v>17</v>
      </c>
      <c r="U7" s="769">
        <f t="shared" ref="U7:U15" si="1">H7</f>
        <v>0</v>
      </c>
      <c r="V7" s="768" t="s">
        <v>17</v>
      </c>
      <c r="W7" s="769">
        <f t="shared" ref="W7:W15" si="2">J7</f>
        <v>0</v>
      </c>
      <c r="X7" s="770"/>
      <c r="Y7" s="3234" t="s">
        <v>2550</v>
      </c>
      <c r="Z7" s="3235"/>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34" t="s">
        <v>2553</v>
      </c>
      <c r="Q8" s="3235"/>
      <c r="R8" s="768" t="s">
        <v>17</v>
      </c>
      <c r="S8" s="769">
        <f t="shared" si="0"/>
        <v>0</v>
      </c>
      <c r="T8" s="768" t="s">
        <v>17</v>
      </c>
      <c r="U8" s="769">
        <f t="shared" si="1"/>
        <v>0</v>
      </c>
      <c r="V8" s="768" t="s">
        <v>17</v>
      </c>
      <c r="W8" s="769">
        <f t="shared" si="2"/>
        <v>0</v>
      </c>
      <c r="X8" s="770"/>
      <c r="Y8" s="3234" t="s">
        <v>2553</v>
      </c>
      <c r="Z8" s="3235"/>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8"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8"/>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8"/>
      <c r="Q11" s="1793"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198"/>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198"/>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198"/>
      <c r="Q14" s="1793">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00" t="s">
        <v>2561</v>
      </c>
      <c r="Q15" s="1808" t="str">
        <f t="shared" si="6"/>
        <v>产业集聚程度</v>
      </c>
      <c r="R15" s="772" t="s">
        <v>17</v>
      </c>
      <c r="S15" s="773">
        <f t="shared" si="0"/>
        <v>100</v>
      </c>
      <c r="T15" s="772" t="s">
        <v>17</v>
      </c>
      <c r="U15" s="773">
        <f t="shared" si="1"/>
        <v>100</v>
      </c>
      <c r="V15" s="772" t="s">
        <v>17</v>
      </c>
      <c r="W15" s="773">
        <f t="shared" si="2"/>
        <v>100</v>
      </c>
      <c r="X15" s="1811"/>
      <c r="Y15" s="3200"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01"/>
      <c r="Q16" s="1808"/>
      <c r="R16" s="772"/>
      <c r="S16" s="773"/>
      <c r="T16" s="772"/>
      <c r="U16" s="773"/>
      <c r="V16" s="772"/>
      <c r="W16" s="773"/>
      <c r="X16" s="1811"/>
      <c r="Y16" s="3201"/>
      <c r="Z16" s="1812"/>
      <c r="AA16" s="1809">
        <v>1</v>
      </c>
      <c r="AB16" s="1809">
        <v>1</v>
      </c>
      <c r="AC16" s="1809">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01"/>
      <c r="Q17" s="1808" t="str">
        <f>B17</f>
        <v>交通便捷度</v>
      </c>
      <c r="R17" s="772" t="s">
        <v>17</v>
      </c>
      <c r="S17" s="773">
        <f>F17</f>
        <v>100</v>
      </c>
      <c r="T17" s="772" t="s">
        <v>17</v>
      </c>
      <c r="U17" s="773">
        <f>H17</f>
        <v>100</v>
      </c>
      <c r="V17" s="772" t="s">
        <v>17</v>
      </c>
      <c r="W17" s="773">
        <f>J17</f>
        <v>100</v>
      </c>
      <c r="X17" s="1811"/>
      <c r="Y17" s="3201"/>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01"/>
      <c r="Q18" s="1808"/>
      <c r="R18" s="772"/>
      <c r="S18" s="773"/>
      <c r="T18" s="772"/>
      <c r="U18" s="773"/>
      <c r="V18" s="772"/>
      <c r="W18" s="773"/>
      <c r="X18" s="1811"/>
      <c r="Y18" s="3201"/>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01"/>
      <c r="Q19" s="1808" t="str">
        <f>B19</f>
        <v>公共配套设施</v>
      </c>
      <c r="R19" s="772" t="s">
        <v>17</v>
      </c>
      <c r="S19" s="773">
        <f>F19</f>
        <v>100</v>
      </c>
      <c r="T19" s="772" t="s">
        <v>17</v>
      </c>
      <c r="U19" s="773">
        <f>H19</f>
        <v>100</v>
      </c>
      <c r="V19" s="772" t="s">
        <v>17</v>
      </c>
      <c r="W19" s="773">
        <f>J19</f>
        <v>100</v>
      </c>
      <c r="X19" s="1811"/>
      <c r="Y19" s="3201"/>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01"/>
      <c r="Q20" s="1808"/>
      <c r="R20" s="772"/>
      <c r="S20" s="773"/>
      <c r="T20" s="772"/>
      <c r="U20" s="773"/>
      <c r="V20" s="772"/>
      <c r="W20" s="773"/>
      <c r="X20" s="1811"/>
      <c r="Y20" s="3201"/>
      <c r="Z20" s="1812"/>
      <c r="AA20" s="1809">
        <v>1</v>
      </c>
      <c r="AB20" s="1809">
        <v>1</v>
      </c>
      <c r="AC20" s="1809">
        <v>1</v>
      </c>
    </row>
    <row r="21" spans="1:29" ht="28.5">
      <c r="A21" s="428"/>
      <c r="B21" s="1382"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01"/>
      <c r="Q21" s="1808" t="str">
        <f>B21</f>
        <v>基础设施水平</v>
      </c>
      <c r="R21" s="772" t="s">
        <v>17</v>
      </c>
      <c r="S21" s="773">
        <f>F21</f>
        <v>100</v>
      </c>
      <c r="T21" s="772" t="s">
        <v>17</v>
      </c>
      <c r="U21" s="773">
        <f>H21</f>
        <v>100</v>
      </c>
      <c r="V21" s="772" t="s">
        <v>17</v>
      </c>
      <c r="W21" s="773">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01"/>
      <c r="Q22" s="1808"/>
      <c r="R22" s="772"/>
      <c r="S22" s="773"/>
      <c r="T22" s="772"/>
      <c r="U22" s="773"/>
      <c r="V22" s="772"/>
      <c r="W22" s="773"/>
      <c r="X22" s="1811"/>
      <c r="Y22" s="3201"/>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01"/>
      <c r="Q23" s="1808" t="str">
        <f>B23</f>
        <v>环境质量</v>
      </c>
      <c r="R23" s="772" t="s">
        <v>17</v>
      </c>
      <c r="S23" s="773">
        <f>F23</f>
        <v>100</v>
      </c>
      <c r="T23" s="772" t="s">
        <v>17</v>
      </c>
      <c r="U23" s="773">
        <f>H23</f>
        <v>100</v>
      </c>
      <c r="V23" s="772" t="s">
        <v>17</v>
      </c>
      <c r="W23" s="773">
        <f>J23</f>
        <v>100</v>
      </c>
      <c r="X23" s="1811"/>
      <c r="Y23" s="3201"/>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01"/>
      <c r="Q24" s="1808"/>
      <c r="R24" s="772"/>
      <c r="S24" s="773"/>
      <c r="T24" s="772"/>
      <c r="U24" s="773"/>
      <c r="V24" s="772"/>
      <c r="W24" s="773"/>
      <c r="X24" s="1811"/>
      <c r="Y24" s="3201"/>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01"/>
      <c r="Q25" s="1808">
        <f>B25</f>
        <v>111</v>
      </c>
      <c r="R25" s="772" t="s">
        <v>17</v>
      </c>
      <c r="S25" s="773">
        <f>F25</f>
        <v>100</v>
      </c>
      <c r="T25" s="772" t="s">
        <v>17</v>
      </c>
      <c r="U25" s="773">
        <f>H25</f>
        <v>100</v>
      </c>
      <c r="V25" s="772" t="s">
        <v>17</v>
      </c>
      <c r="W25" s="773">
        <f>J25</f>
        <v>100</v>
      </c>
      <c r="X25" s="1811"/>
      <c r="Y25" s="3201"/>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01"/>
      <c r="Q26" s="1808">
        <f t="shared" ref="Q26:Q40" si="11">B26</f>
        <v>111</v>
      </c>
      <c r="R26" s="772" t="s">
        <v>17</v>
      </c>
      <c r="S26" s="773">
        <f>F26</f>
        <v>100</v>
      </c>
      <c r="T26" s="772" t="s">
        <v>17</v>
      </c>
      <c r="U26" s="773">
        <f>H26</f>
        <v>100</v>
      </c>
      <c r="V26" s="772" t="s">
        <v>17</v>
      </c>
      <c r="W26" s="773">
        <f>J26</f>
        <v>100</v>
      </c>
      <c r="X26" s="1811"/>
      <c r="Y26" s="3201"/>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01"/>
      <c r="Q27" s="1793">
        <f t="shared" si="11"/>
        <v>111</v>
      </c>
      <c r="R27" s="768" t="s">
        <v>17</v>
      </c>
      <c r="S27" s="769">
        <f>F27</f>
        <v>100</v>
      </c>
      <c r="T27" s="768" t="s">
        <v>17</v>
      </c>
      <c r="U27" s="769">
        <f>H27</f>
        <v>100</v>
      </c>
      <c r="V27" s="768" t="s">
        <v>17</v>
      </c>
      <c r="W27" s="769">
        <f>J27</f>
        <v>100</v>
      </c>
      <c r="X27" s="770"/>
      <c r="Y27" s="3201"/>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01"/>
      <c r="Q28" s="1808">
        <f t="shared" si="11"/>
        <v>111</v>
      </c>
      <c r="R28" s="772" t="s">
        <v>17</v>
      </c>
      <c r="S28" s="773">
        <f t="shared" ref="S28:S40" si="12">F28</f>
        <v>100</v>
      </c>
      <c r="T28" s="772" t="s">
        <v>17</v>
      </c>
      <c r="U28" s="773">
        <f t="shared" ref="U28:U40" si="13">H28</f>
        <v>100</v>
      </c>
      <c r="V28" s="772" t="s">
        <v>17</v>
      </c>
      <c r="W28" s="773">
        <f t="shared" ref="W28:W40" si="14">J28</f>
        <v>100</v>
      </c>
      <c r="X28" s="1811"/>
      <c r="Y28" s="3201"/>
      <c r="Z28" s="1812">
        <f t="shared" ref="Z28:Z40" si="15">Q28</f>
        <v>111</v>
      </c>
      <c r="AA28" s="1809">
        <f t="shared" si="3"/>
        <v>1</v>
      </c>
      <c r="AB28" s="1809">
        <f t="shared" si="4"/>
        <v>1</v>
      </c>
      <c r="AC28" s="1809">
        <f t="shared" si="5"/>
        <v>1</v>
      </c>
    </row>
    <row r="29" spans="1:29" ht="28.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58" t="s">
        <v>2566</v>
      </c>
      <c r="Q29" s="1808" t="str">
        <f t="shared" si="11"/>
        <v>建筑类型</v>
      </c>
      <c r="R29" s="772" t="s">
        <v>17</v>
      </c>
      <c r="S29" s="773">
        <f t="shared" si="12"/>
        <v>100</v>
      </c>
      <c r="T29" s="772" t="s">
        <v>17</v>
      </c>
      <c r="U29" s="773">
        <f t="shared" si="13"/>
        <v>100</v>
      </c>
      <c r="V29" s="772" t="s">
        <v>17</v>
      </c>
      <c r="W29" s="773">
        <f t="shared" si="14"/>
        <v>100</v>
      </c>
      <c r="X29" s="1811"/>
      <c r="Y29" s="3205"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05"/>
      <c r="Q30" s="774" t="str">
        <f t="shared" si="11"/>
        <v>项目建筑规模</v>
      </c>
      <c r="R30" s="775" t="s">
        <v>17</v>
      </c>
      <c r="S30" s="776" t="e">
        <f t="shared" si="12"/>
        <v>#N/A</v>
      </c>
      <c r="T30" s="775" t="s">
        <v>17</v>
      </c>
      <c r="U30" s="776" t="e">
        <f t="shared" si="13"/>
        <v>#N/A</v>
      </c>
      <c r="V30" s="775" t="s">
        <v>17</v>
      </c>
      <c r="W30" s="776" t="e">
        <f t="shared" si="14"/>
        <v>#N/A</v>
      </c>
      <c r="X30" s="777"/>
      <c r="Y30" s="3205"/>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05"/>
      <c r="Q31" s="1808" t="str">
        <f t="shared" si="11"/>
        <v>建筑结构</v>
      </c>
      <c r="R31" s="772" t="s">
        <v>17</v>
      </c>
      <c r="S31" s="773">
        <f t="shared" si="12"/>
        <v>100</v>
      </c>
      <c r="T31" s="772" t="s">
        <v>17</v>
      </c>
      <c r="U31" s="773">
        <f t="shared" si="13"/>
        <v>100</v>
      </c>
      <c r="V31" s="772" t="s">
        <v>17</v>
      </c>
      <c r="W31" s="773">
        <f t="shared" si="14"/>
        <v>100</v>
      </c>
      <c r="X31" s="1811"/>
      <c r="Y31" s="3205"/>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05"/>
      <c r="Q32" s="1808" t="str">
        <f t="shared" si="11"/>
        <v>公共部分装修</v>
      </c>
      <c r="R32" s="772" t="s">
        <v>17</v>
      </c>
      <c r="S32" s="773">
        <f t="shared" si="12"/>
        <v>100</v>
      </c>
      <c r="T32" s="772" t="s">
        <v>17</v>
      </c>
      <c r="U32" s="773">
        <f t="shared" si="13"/>
        <v>100</v>
      </c>
      <c r="V32" s="772" t="s">
        <v>17</v>
      </c>
      <c r="W32" s="773">
        <f t="shared" si="14"/>
        <v>100</v>
      </c>
      <c r="X32" s="1811"/>
      <c r="Y32" s="3205"/>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05"/>
      <c r="Q33" s="1808" t="str">
        <f t="shared" si="11"/>
        <v>成新度</v>
      </c>
      <c r="R33" s="772" t="s">
        <v>17</v>
      </c>
      <c r="S33" s="773" t="e">
        <f t="shared" si="12"/>
        <v>#N/A</v>
      </c>
      <c r="T33" s="772" t="s">
        <v>17</v>
      </c>
      <c r="U33" s="773" t="e">
        <f t="shared" si="13"/>
        <v>#N/A</v>
      </c>
      <c r="V33" s="772" t="s">
        <v>17</v>
      </c>
      <c r="W33" s="773" t="e">
        <f t="shared" si="14"/>
        <v>#N/A</v>
      </c>
      <c r="X33" s="1811"/>
      <c r="Y33" s="3205"/>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05"/>
      <c r="Q34" s="1793" t="str">
        <f t="shared" si="11"/>
        <v>物业管理</v>
      </c>
      <c r="R34" s="768" t="s">
        <v>17</v>
      </c>
      <c r="S34" s="769">
        <f t="shared" si="12"/>
        <v>100</v>
      </c>
      <c r="T34" s="768" t="s">
        <v>17</v>
      </c>
      <c r="U34" s="769">
        <f t="shared" si="13"/>
        <v>100</v>
      </c>
      <c r="V34" s="768" t="s">
        <v>17</v>
      </c>
      <c r="W34" s="769">
        <f t="shared" si="14"/>
        <v>100</v>
      </c>
      <c r="X34" s="770"/>
      <c r="Y34" s="3205"/>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05" t="s">
        <v>2566</v>
      </c>
      <c r="Q35" s="1808" t="str">
        <f t="shared" si="11"/>
        <v>市政基础设施</v>
      </c>
      <c r="R35" s="772" t="s">
        <v>17</v>
      </c>
      <c r="S35" s="773">
        <f t="shared" si="12"/>
        <v>100</v>
      </c>
      <c r="T35" s="772" t="s">
        <v>17</v>
      </c>
      <c r="U35" s="773">
        <f t="shared" si="13"/>
        <v>100</v>
      </c>
      <c r="V35" s="772" t="s">
        <v>17</v>
      </c>
      <c r="W35" s="773">
        <f t="shared" si="14"/>
        <v>100</v>
      </c>
      <c r="X35" s="1811"/>
      <c r="Y35" s="3205"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05"/>
      <c r="Q36" s="1808" t="str">
        <f t="shared" si="11"/>
        <v>内部装修</v>
      </c>
      <c r="R36" s="772" t="s">
        <v>17</v>
      </c>
      <c r="S36" s="773">
        <f t="shared" si="12"/>
        <v>100</v>
      </c>
      <c r="T36" s="772" t="s">
        <v>17</v>
      </c>
      <c r="U36" s="773">
        <f t="shared" si="13"/>
        <v>100</v>
      </c>
      <c r="V36" s="772" t="s">
        <v>17</v>
      </c>
      <c r="W36" s="773">
        <f t="shared" si="14"/>
        <v>100</v>
      </c>
      <c r="X36" s="1811"/>
      <c r="Y36" s="3205"/>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05"/>
      <c r="Q37" s="1808" t="str">
        <f t="shared" si="11"/>
        <v>内部装修状况</v>
      </c>
      <c r="R37" s="772" t="s">
        <v>17</v>
      </c>
      <c r="S37" s="773">
        <f t="shared" si="12"/>
        <v>100</v>
      </c>
      <c r="T37" s="772" t="s">
        <v>17</v>
      </c>
      <c r="U37" s="773">
        <f t="shared" si="13"/>
        <v>100</v>
      </c>
      <c r="V37" s="772" t="s">
        <v>17</v>
      </c>
      <c r="W37" s="773">
        <f t="shared" si="14"/>
        <v>100</v>
      </c>
      <c r="X37" s="1811"/>
      <c r="Y37" s="3205"/>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05"/>
      <c r="Q38" s="774">
        <f t="shared" si="11"/>
        <v>111</v>
      </c>
      <c r="R38" s="775" t="s">
        <v>17</v>
      </c>
      <c r="S38" s="776">
        <f t="shared" si="12"/>
        <v>100</v>
      </c>
      <c r="T38" s="775" t="s">
        <v>17</v>
      </c>
      <c r="U38" s="776">
        <f t="shared" si="13"/>
        <v>100</v>
      </c>
      <c r="V38" s="775" t="s">
        <v>17</v>
      </c>
      <c r="W38" s="776">
        <f t="shared" si="14"/>
        <v>100</v>
      </c>
      <c r="X38" s="777"/>
      <c r="Y38" s="3205"/>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05"/>
      <c r="Q39" s="1808">
        <f t="shared" si="11"/>
        <v>111</v>
      </c>
      <c r="R39" s="772" t="s">
        <v>17</v>
      </c>
      <c r="S39" s="773">
        <f t="shared" si="12"/>
        <v>100</v>
      </c>
      <c r="T39" s="772" t="s">
        <v>17</v>
      </c>
      <c r="U39" s="773">
        <f t="shared" si="13"/>
        <v>100</v>
      </c>
      <c r="V39" s="772" t="s">
        <v>17</v>
      </c>
      <c r="W39" s="773">
        <f t="shared" si="14"/>
        <v>100</v>
      </c>
      <c r="X39" s="1811"/>
      <c r="Y39" s="3205"/>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06"/>
      <c r="Q40" s="1808">
        <f t="shared" si="11"/>
        <v>111</v>
      </c>
      <c r="R40" s="772" t="s">
        <v>17</v>
      </c>
      <c r="S40" s="773">
        <f t="shared" si="12"/>
        <v>100</v>
      </c>
      <c r="T40" s="772" t="s">
        <v>17</v>
      </c>
      <c r="U40" s="773">
        <f t="shared" si="13"/>
        <v>100</v>
      </c>
      <c r="V40" s="772" t="s">
        <v>17</v>
      </c>
      <c r="W40" s="773">
        <f t="shared" si="14"/>
        <v>100</v>
      </c>
      <c r="X40" s="1811"/>
      <c r="Y40" s="3206"/>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198" t="str">
        <f>A41</f>
        <v>成交单价（元/平方米）</v>
      </c>
      <c r="Q41" s="3198"/>
      <c r="R41" s="3199">
        <f>E41</f>
        <v>0</v>
      </c>
      <c r="S41" s="3199"/>
      <c r="T41" s="3199">
        <f>G41</f>
        <v>0</v>
      </c>
      <c r="U41" s="3199"/>
      <c r="V41" s="3199">
        <f>I41</f>
        <v>0</v>
      </c>
      <c r="W41" s="3199"/>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195" t="str">
        <f>A43</f>
        <v>估价对象XX用房的比较价值（楼面单价，元/平方米）</v>
      </c>
      <c r="Q43" s="3196"/>
      <c r="R43" s="3197" t="e">
        <f>IF(F1="售价",ROUND(AVERAGE(R42:V42),0),ROUND(AVERAGE(R42:V42),1))</f>
        <v>#DIV/0!</v>
      </c>
      <c r="S43" s="3197"/>
      <c r="T43" s="3197"/>
      <c r="U43" s="3197"/>
      <c r="V43" s="3197"/>
      <c r="W43" s="319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11" t="s">
        <v>2649</v>
      </c>
      <c r="AC4" s="3210" t="s">
        <v>2650</v>
      </c>
    </row>
    <row r="5" spans="1:29" ht="15">
      <c r="A5" s="404"/>
      <c r="B5" s="405"/>
      <c r="C5" s="3232" t="s">
        <v>2543</v>
      </c>
      <c r="D5" s="3233"/>
      <c r="E5" s="3239" t="s">
        <v>2544</v>
      </c>
      <c r="F5" s="3240"/>
      <c r="G5" s="3232" t="s">
        <v>2545</v>
      </c>
      <c r="H5" s="3233"/>
      <c r="I5" s="3232" t="s">
        <v>2546</v>
      </c>
      <c r="J5" s="3233"/>
      <c r="K5" s="610"/>
      <c r="L5" s="1128"/>
      <c r="M5" s="1129"/>
      <c r="N5" s="1129"/>
      <c r="O5" s="1129"/>
      <c r="P5" s="3219"/>
      <c r="Q5" s="3220"/>
      <c r="R5" s="3225"/>
      <c r="S5" s="3226"/>
      <c r="T5" s="3225"/>
      <c r="U5" s="3226"/>
      <c r="V5" s="3229"/>
      <c r="W5" s="3229"/>
      <c r="X5" s="1811"/>
      <c r="Y5" s="3225"/>
      <c r="Z5" s="3226"/>
      <c r="AA5" s="3211"/>
      <c r="AB5" s="3211"/>
      <c r="AC5" s="3211"/>
    </row>
    <row r="6" spans="1:29" ht="15.75" thickBot="1">
      <c r="A6" s="406"/>
      <c r="B6" s="407"/>
      <c r="C6" s="3230" t="s">
        <v>2547</v>
      </c>
      <c r="D6" s="3231"/>
      <c r="E6" s="3237" t="s">
        <v>2547</v>
      </c>
      <c r="F6" s="3238"/>
      <c r="G6" s="3230" t="s">
        <v>2547</v>
      </c>
      <c r="H6" s="3231"/>
      <c r="I6" s="3230" t="s">
        <v>2547</v>
      </c>
      <c r="J6" s="3231"/>
      <c r="K6" s="610" t="s">
        <v>2548</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8" t="s">
        <v>2549</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34" t="s">
        <v>2550</v>
      </c>
      <c r="Q7" s="3236"/>
      <c r="R7" s="768" t="s">
        <v>17</v>
      </c>
      <c r="S7" s="769">
        <f t="shared" ref="S7:S14" si="0">F7</f>
        <v>0</v>
      </c>
      <c r="T7" s="768" t="s">
        <v>17</v>
      </c>
      <c r="U7" s="769">
        <f t="shared" ref="U7:U14" si="1">H7</f>
        <v>0</v>
      </c>
      <c r="V7" s="768" t="s">
        <v>17</v>
      </c>
      <c r="W7" s="769">
        <f t="shared" ref="W7:W14" si="2">J7</f>
        <v>0</v>
      </c>
      <c r="X7" s="770"/>
      <c r="Y7" s="3234" t="s">
        <v>2550</v>
      </c>
      <c r="Z7" s="3235"/>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34" t="s">
        <v>2553</v>
      </c>
      <c r="Q8" s="3235"/>
      <c r="R8" s="768" t="s">
        <v>17</v>
      </c>
      <c r="S8" s="769">
        <f t="shared" si="0"/>
        <v>0</v>
      </c>
      <c r="T8" s="768" t="s">
        <v>17</v>
      </c>
      <c r="U8" s="769">
        <f t="shared" si="1"/>
        <v>0</v>
      </c>
      <c r="V8" s="768" t="s">
        <v>17</v>
      </c>
      <c r="W8" s="769">
        <f t="shared" si="2"/>
        <v>0</v>
      </c>
      <c r="X8" s="770"/>
      <c r="Y8" s="3234" t="s">
        <v>2553</v>
      </c>
      <c r="Z8" s="3235"/>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8" t="s">
        <v>2556</v>
      </c>
      <c r="Q9" s="1793" t="str">
        <f t="shared" ref="Q9:Q14" si="6">B9</f>
        <v>用途</v>
      </c>
      <c r="R9" s="768" t="s">
        <v>17</v>
      </c>
      <c r="S9" s="769">
        <f t="shared" si="0"/>
        <v>100</v>
      </c>
      <c r="T9" s="768" t="s">
        <v>17</v>
      </c>
      <c r="U9" s="769">
        <f t="shared" si="1"/>
        <v>100</v>
      </c>
      <c r="V9" s="768" t="s">
        <v>17</v>
      </c>
      <c r="W9" s="769">
        <f t="shared" si="2"/>
        <v>100</v>
      </c>
      <c r="X9" s="770"/>
      <c r="Y9" s="3023"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8"/>
      <c r="Q11" s="1793">
        <f t="shared" si="6"/>
        <v>111</v>
      </c>
      <c r="R11" s="768" t="s">
        <v>17</v>
      </c>
      <c r="S11" s="769">
        <f t="shared" si="0"/>
        <v>100</v>
      </c>
      <c r="T11" s="768" t="s">
        <v>17</v>
      </c>
      <c r="U11" s="769">
        <f t="shared" si="1"/>
        <v>100</v>
      </c>
      <c r="V11" s="768" t="s">
        <v>17</v>
      </c>
      <c r="W11" s="769">
        <f t="shared" si="2"/>
        <v>100</v>
      </c>
      <c r="X11" s="770"/>
      <c r="Y11" s="302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85.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00" t="s">
        <v>2561</v>
      </c>
      <c r="Q14" s="1808" t="str">
        <f t="shared" si="6"/>
        <v>交通便捷度</v>
      </c>
      <c r="R14" s="772" t="s">
        <v>17</v>
      </c>
      <c r="S14" s="773">
        <f t="shared" si="0"/>
        <v>100</v>
      </c>
      <c r="T14" s="772" t="s">
        <v>17</v>
      </c>
      <c r="U14" s="773">
        <f t="shared" si="1"/>
        <v>100</v>
      </c>
      <c r="V14" s="772" t="s">
        <v>17</v>
      </c>
      <c r="W14" s="773">
        <f t="shared" si="2"/>
        <v>100</v>
      </c>
      <c r="X14" s="1811"/>
      <c r="Y14" s="3200"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01"/>
      <c r="Q15" s="1808"/>
      <c r="R15" s="772"/>
      <c r="S15" s="773"/>
      <c r="T15" s="772"/>
      <c r="U15" s="773"/>
      <c r="V15" s="772"/>
      <c r="W15" s="773"/>
      <c r="X15" s="1811"/>
      <c r="Y15" s="3201"/>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01"/>
      <c r="Q16" s="1808" t="str">
        <f>B16</f>
        <v>公共配套设施</v>
      </c>
      <c r="R16" s="772" t="s">
        <v>17</v>
      </c>
      <c r="S16" s="773">
        <f>F16</f>
        <v>100</v>
      </c>
      <c r="T16" s="772" t="s">
        <v>17</v>
      </c>
      <c r="U16" s="773">
        <f>H16</f>
        <v>100</v>
      </c>
      <c r="V16" s="772" t="s">
        <v>17</v>
      </c>
      <c r="W16" s="773">
        <f>J16</f>
        <v>100</v>
      </c>
      <c r="X16" s="1811"/>
      <c r="Y16" s="3201"/>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01"/>
      <c r="Q17" s="1808"/>
      <c r="R17" s="772"/>
      <c r="S17" s="773"/>
      <c r="T17" s="772"/>
      <c r="U17" s="773"/>
      <c r="V17" s="772"/>
      <c r="W17" s="773"/>
      <c r="X17" s="1811"/>
      <c r="Y17" s="3201"/>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01"/>
      <c r="Q18" s="1808" t="str">
        <f>B18</f>
        <v>基础设施水平</v>
      </c>
      <c r="R18" s="772" t="s">
        <v>17</v>
      </c>
      <c r="S18" s="773">
        <f>F18</f>
        <v>100</v>
      </c>
      <c r="T18" s="772" t="s">
        <v>17</v>
      </c>
      <c r="U18" s="773">
        <f>H18</f>
        <v>100</v>
      </c>
      <c r="V18" s="772" t="s">
        <v>17</v>
      </c>
      <c r="W18" s="773">
        <f>J18</f>
        <v>100</v>
      </c>
      <c r="X18" s="1811"/>
      <c r="Y18" s="3201"/>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01"/>
      <c r="Q19" s="1808"/>
      <c r="R19" s="772"/>
      <c r="S19" s="773"/>
      <c r="T19" s="772"/>
      <c r="U19" s="773"/>
      <c r="V19" s="772"/>
      <c r="W19" s="773"/>
      <c r="X19" s="1811"/>
      <c r="Y19" s="3201"/>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01"/>
      <c r="Q20" s="1808" t="str">
        <f>B20</f>
        <v>自然及人文环境</v>
      </c>
      <c r="R20" s="772" t="s">
        <v>17</v>
      </c>
      <c r="S20" s="773">
        <f>F20</f>
        <v>100</v>
      </c>
      <c r="T20" s="772" t="s">
        <v>17</v>
      </c>
      <c r="U20" s="773">
        <f>H20</f>
        <v>100</v>
      </c>
      <c r="V20" s="772" t="s">
        <v>17</v>
      </c>
      <c r="W20" s="773">
        <f>J20</f>
        <v>100</v>
      </c>
      <c r="X20" s="1811"/>
      <c r="Y20" s="320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01"/>
      <c r="Q21" s="1808"/>
      <c r="R21" s="772"/>
      <c r="S21" s="773"/>
      <c r="T21" s="772"/>
      <c r="U21" s="773"/>
      <c r="V21" s="772"/>
      <c r="W21" s="773"/>
      <c r="X21" s="1811"/>
      <c r="Y21" s="3201"/>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01"/>
      <c r="Q22" s="1808" t="str">
        <f>B22</f>
        <v>楼层</v>
      </c>
      <c r="R22" s="772" t="s">
        <v>17</v>
      </c>
      <c r="S22" s="773">
        <f>F22</f>
        <v>100</v>
      </c>
      <c r="T22" s="772" t="s">
        <v>17</v>
      </c>
      <c r="U22" s="773">
        <f>H22</f>
        <v>100</v>
      </c>
      <c r="V22" s="772" t="s">
        <v>17</v>
      </c>
      <c r="W22" s="773">
        <f>J22</f>
        <v>100</v>
      </c>
      <c r="X22" s="1811"/>
      <c r="Y22" s="320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01"/>
      <c r="Q23" s="1808">
        <f>B23</f>
        <v>111</v>
      </c>
      <c r="R23" s="772" t="s">
        <v>17</v>
      </c>
      <c r="S23" s="773">
        <f>F23</f>
        <v>100</v>
      </c>
      <c r="T23" s="772" t="s">
        <v>17</v>
      </c>
      <c r="U23" s="773">
        <f>H23</f>
        <v>100</v>
      </c>
      <c r="V23" s="772" t="s">
        <v>17</v>
      </c>
      <c r="W23" s="773">
        <f>J23</f>
        <v>100</v>
      </c>
      <c r="X23" s="1811"/>
      <c r="Y23" s="320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01"/>
      <c r="Q24" s="1808">
        <f t="shared" ref="Q24:Q36" si="11">B24</f>
        <v>111</v>
      </c>
      <c r="R24" s="772" t="s">
        <v>17</v>
      </c>
      <c r="S24" s="773">
        <f>F24</f>
        <v>100</v>
      </c>
      <c r="T24" s="772" t="s">
        <v>17</v>
      </c>
      <c r="U24" s="773">
        <f>H24</f>
        <v>100</v>
      </c>
      <c r="V24" s="772" t="s">
        <v>17</v>
      </c>
      <c r="W24" s="773">
        <f>J24</f>
        <v>100</v>
      </c>
      <c r="X24" s="1811"/>
      <c r="Y24" s="320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01"/>
      <c r="Q25" s="1793">
        <f t="shared" si="11"/>
        <v>111</v>
      </c>
      <c r="R25" s="768" t="s">
        <v>17</v>
      </c>
      <c r="S25" s="769">
        <f>F25</f>
        <v>100</v>
      </c>
      <c r="T25" s="768" t="s">
        <v>17</v>
      </c>
      <c r="U25" s="769">
        <f>H25</f>
        <v>100</v>
      </c>
      <c r="V25" s="768" t="s">
        <v>17</v>
      </c>
      <c r="W25" s="769">
        <f>J25</f>
        <v>100</v>
      </c>
      <c r="X25" s="770"/>
      <c r="Y25" s="3201"/>
      <c r="Z25" s="55">
        <f>Q25</f>
        <v>111</v>
      </c>
      <c r="AA25" s="1809">
        <f>D25/F25</f>
        <v>1</v>
      </c>
      <c r="AB25" s="1809">
        <f>D25/H25</f>
        <v>1</v>
      </c>
      <c r="AC25" s="1809">
        <f>D25/J25</f>
        <v>1</v>
      </c>
    </row>
    <row r="26" spans="1:29" ht="28.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8"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5"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05"/>
      <c r="Q27" s="774" t="str">
        <f t="shared" si="11"/>
        <v>项目停车位配比</v>
      </c>
      <c r="R27" s="775" t="s">
        <v>17</v>
      </c>
      <c r="S27" s="776">
        <f t="shared" si="12"/>
        <v>100</v>
      </c>
      <c r="T27" s="775" t="s">
        <v>17</v>
      </c>
      <c r="U27" s="776">
        <f t="shared" si="13"/>
        <v>100</v>
      </c>
      <c r="V27" s="775" t="s">
        <v>17</v>
      </c>
      <c r="W27" s="776">
        <f t="shared" si="14"/>
        <v>100</v>
      </c>
      <c r="X27" s="777"/>
      <c r="Y27" s="3205"/>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05"/>
      <c r="Q28" s="1808" t="str">
        <f t="shared" si="11"/>
        <v>公共部分装修</v>
      </c>
      <c r="R28" s="772" t="s">
        <v>17</v>
      </c>
      <c r="S28" s="773">
        <f t="shared" si="12"/>
        <v>100</v>
      </c>
      <c r="T28" s="772" t="s">
        <v>17</v>
      </c>
      <c r="U28" s="773">
        <f t="shared" si="13"/>
        <v>100</v>
      </c>
      <c r="V28" s="772" t="s">
        <v>17</v>
      </c>
      <c r="W28" s="773">
        <f t="shared" si="14"/>
        <v>100</v>
      </c>
      <c r="X28" s="1811"/>
      <c r="Y28" s="3205"/>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05"/>
      <c r="Q29" s="1808" t="str">
        <f t="shared" si="11"/>
        <v>成新率</v>
      </c>
      <c r="R29" s="772" t="s">
        <v>17</v>
      </c>
      <c r="S29" s="773" t="e">
        <f t="shared" si="12"/>
        <v>#N/A</v>
      </c>
      <c r="T29" s="772" t="s">
        <v>17</v>
      </c>
      <c r="U29" s="773" t="e">
        <f t="shared" si="13"/>
        <v>#N/A</v>
      </c>
      <c r="V29" s="772" t="s">
        <v>17</v>
      </c>
      <c r="W29" s="773" t="e">
        <f t="shared" si="14"/>
        <v>#N/A</v>
      </c>
      <c r="X29" s="1811"/>
      <c r="Y29" s="3205"/>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05"/>
      <c r="Q30" s="1808" t="str">
        <f t="shared" si="11"/>
        <v>物业等级</v>
      </c>
      <c r="R30" s="772" t="s">
        <v>17</v>
      </c>
      <c r="S30" s="773">
        <f t="shared" si="12"/>
        <v>100</v>
      </c>
      <c r="T30" s="772" t="s">
        <v>17</v>
      </c>
      <c r="U30" s="773">
        <f t="shared" si="13"/>
        <v>100</v>
      </c>
      <c r="V30" s="772" t="s">
        <v>17</v>
      </c>
      <c r="W30" s="773">
        <f t="shared" si="14"/>
        <v>100</v>
      </c>
      <c r="X30" s="1811"/>
      <c r="Y30" s="3205"/>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05"/>
      <c r="Q31" s="1793" t="str">
        <f t="shared" si="11"/>
        <v>停车位面积</v>
      </c>
      <c r="R31" s="768" t="s">
        <v>17</v>
      </c>
      <c r="S31" s="769" t="e">
        <f t="shared" si="12"/>
        <v>#N/A</v>
      </c>
      <c r="T31" s="768" t="s">
        <v>17</v>
      </c>
      <c r="U31" s="769" t="e">
        <f t="shared" si="13"/>
        <v>#N/A</v>
      </c>
      <c r="V31" s="768" t="s">
        <v>17</v>
      </c>
      <c r="W31" s="769" t="e">
        <f t="shared" si="14"/>
        <v>#N/A</v>
      </c>
      <c r="X31" s="770"/>
      <c r="Y31" s="3205"/>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05" t="s">
        <v>2566</v>
      </c>
      <c r="Q32" s="1808" t="str">
        <f t="shared" si="11"/>
        <v>车位类型</v>
      </c>
      <c r="R32" s="772" t="s">
        <v>17</v>
      </c>
      <c r="S32" s="773">
        <f t="shared" si="12"/>
        <v>100</v>
      </c>
      <c r="T32" s="772" t="s">
        <v>17</v>
      </c>
      <c r="U32" s="773">
        <f t="shared" si="13"/>
        <v>100</v>
      </c>
      <c r="V32" s="772" t="s">
        <v>17</v>
      </c>
      <c r="W32" s="773">
        <f t="shared" si="14"/>
        <v>100</v>
      </c>
      <c r="X32" s="1811"/>
      <c r="Y32" s="3205"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05"/>
      <c r="Q33" s="1808" t="str">
        <f t="shared" si="11"/>
        <v>是否直接入户</v>
      </c>
      <c r="R33" s="772" t="s">
        <v>17</v>
      </c>
      <c r="S33" s="773">
        <f t="shared" si="12"/>
        <v>100</v>
      </c>
      <c r="T33" s="772" t="s">
        <v>17</v>
      </c>
      <c r="U33" s="773">
        <f t="shared" si="13"/>
        <v>100</v>
      </c>
      <c r="V33" s="772" t="s">
        <v>17</v>
      </c>
      <c r="W33" s="773">
        <f t="shared" si="14"/>
        <v>100</v>
      </c>
      <c r="X33" s="1811"/>
      <c r="Y33" s="320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05"/>
      <c r="Q34" s="1808">
        <f t="shared" si="11"/>
        <v>111</v>
      </c>
      <c r="R34" s="772" t="s">
        <v>17</v>
      </c>
      <c r="S34" s="773">
        <f t="shared" si="12"/>
        <v>100</v>
      </c>
      <c r="T34" s="772" t="s">
        <v>17</v>
      </c>
      <c r="U34" s="773">
        <f t="shared" si="13"/>
        <v>100</v>
      </c>
      <c r="V34" s="772" t="s">
        <v>17</v>
      </c>
      <c r="W34" s="773">
        <f t="shared" si="14"/>
        <v>100</v>
      </c>
      <c r="X34" s="1811"/>
      <c r="Y34" s="320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05"/>
      <c r="Q35" s="774">
        <f t="shared" si="11"/>
        <v>111</v>
      </c>
      <c r="R35" s="775" t="s">
        <v>17</v>
      </c>
      <c r="S35" s="776">
        <f t="shared" si="12"/>
        <v>100</v>
      </c>
      <c r="T35" s="775" t="s">
        <v>17</v>
      </c>
      <c r="U35" s="776">
        <f t="shared" si="13"/>
        <v>100</v>
      </c>
      <c r="V35" s="775" t="s">
        <v>17</v>
      </c>
      <c r="W35" s="776">
        <f t="shared" si="14"/>
        <v>100</v>
      </c>
      <c r="X35" s="777"/>
      <c r="Y35" s="3205"/>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05"/>
      <c r="Q36" s="1808">
        <f t="shared" si="11"/>
        <v>111</v>
      </c>
      <c r="R36" s="772" t="s">
        <v>17</v>
      </c>
      <c r="S36" s="773">
        <f t="shared" si="12"/>
        <v>100</v>
      </c>
      <c r="T36" s="772" t="s">
        <v>17</v>
      </c>
      <c r="U36" s="773">
        <f t="shared" si="13"/>
        <v>100</v>
      </c>
      <c r="V36" s="772" t="s">
        <v>17</v>
      </c>
      <c r="W36" s="773">
        <f t="shared" si="14"/>
        <v>100</v>
      </c>
      <c r="X36" s="1811"/>
      <c r="Y36" s="3205"/>
      <c r="Z36" s="1812">
        <f t="shared" si="15"/>
        <v>111</v>
      </c>
      <c r="AA36" s="1809">
        <f t="shared" si="3"/>
        <v>1</v>
      </c>
      <c r="AB36" s="1809">
        <f t="shared" si="4"/>
        <v>1</v>
      </c>
      <c r="AC36" s="1809">
        <f t="shared" si="5"/>
        <v>1</v>
      </c>
    </row>
    <row r="37" spans="1:29" ht="15">
      <c r="A37" s="479" t="s">
        <v>2721</v>
      </c>
      <c r="B37" s="2696" t="s">
        <v>2722</v>
      </c>
      <c r="C37" s="1405" t="s">
        <v>1</v>
      </c>
      <c r="D37" s="1406"/>
      <c r="E37" s="1407"/>
      <c r="F37" s="1408"/>
      <c r="G37" s="1409"/>
      <c r="H37" s="1410"/>
      <c r="I37" s="1407"/>
      <c r="J37" s="1410"/>
      <c r="K37" s="619"/>
      <c r="L37" s="1141"/>
      <c r="M37" s="1142"/>
      <c r="N37" s="1129"/>
      <c r="O37" s="1142"/>
      <c r="P37" s="3198" t="str">
        <f>A37</f>
        <v>成交单价</v>
      </c>
      <c r="Q37" s="3198"/>
      <c r="R37" s="3199">
        <f>E37</f>
        <v>0</v>
      </c>
      <c r="S37" s="3199"/>
      <c r="T37" s="3199">
        <f>G37</f>
        <v>0</v>
      </c>
      <c r="U37" s="3199"/>
      <c r="V37" s="3199">
        <f>I37</f>
        <v>0</v>
      </c>
      <c r="W37" s="3199"/>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195" t="str">
        <f>A39</f>
        <v>估价对象XX用房的比较价值（楼面单价，元/平方米）</v>
      </c>
      <c r="Q39" s="3196"/>
      <c r="R39" s="3197" t="e">
        <f>IF(F1="售价",ROUND(AVERAGE(R38:V38),0),ROUND(AVERAGE(R38:V38),1))</f>
        <v>#DIV/0!</v>
      </c>
      <c r="S39" s="3197"/>
      <c r="T39" s="3197"/>
      <c r="U39" s="3197"/>
      <c r="V39" s="3197"/>
      <c r="W39" s="319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11" t="s">
        <v>2649</v>
      </c>
      <c r="AC4" s="3210" t="s">
        <v>2650</v>
      </c>
    </row>
    <row r="5" spans="1:29" ht="15">
      <c r="A5" s="404"/>
      <c r="B5" s="405"/>
      <c r="C5" s="3232" t="s">
        <v>2543</v>
      </c>
      <c r="D5" s="3233"/>
      <c r="E5" s="3239" t="s">
        <v>2544</v>
      </c>
      <c r="F5" s="3240"/>
      <c r="G5" s="3232" t="s">
        <v>2545</v>
      </c>
      <c r="H5" s="3233"/>
      <c r="I5" s="3232" t="s">
        <v>2546</v>
      </c>
      <c r="J5" s="3233"/>
      <c r="K5" s="610"/>
      <c r="L5" s="1128"/>
      <c r="M5" s="1129"/>
      <c r="N5" s="1129"/>
      <c r="O5" s="1129"/>
      <c r="P5" s="3219"/>
      <c r="Q5" s="3220"/>
      <c r="R5" s="3225"/>
      <c r="S5" s="3226"/>
      <c r="T5" s="3225"/>
      <c r="U5" s="3226"/>
      <c r="V5" s="3229"/>
      <c r="W5" s="3229"/>
      <c r="X5" s="1811"/>
      <c r="Y5" s="3225"/>
      <c r="Z5" s="3226"/>
      <c r="AA5" s="3211"/>
      <c r="AB5" s="3211"/>
      <c r="AC5" s="3211"/>
    </row>
    <row r="6" spans="1:29" ht="15.75" thickBot="1">
      <c r="A6" s="406"/>
      <c r="B6" s="407"/>
      <c r="C6" s="3230" t="s">
        <v>2547</v>
      </c>
      <c r="D6" s="3231"/>
      <c r="E6" s="3237" t="s">
        <v>2547</v>
      </c>
      <c r="F6" s="3238"/>
      <c r="G6" s="3230" t="s">
        <v>2547</v>
      </c>
      <c r="H6" s="3231"/>
      <c r="I6" s="3230" t="s">
        <v>2547</v>
      </c>
      <c r="J6" s="3231"/>
      <c r="K6" s="610" t="s">
        <v>2548</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8" t="s">
        <v>2549</v>
      </c>
      <c r="B7" s="409"/>
      <c r="C7" s="410">
        <f>'数据-取费表'!B2</f>
        <v>43690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34" t="s">
        <v>2550</v>
      </c>
      <c r="Q7" s="3236"/>
      <c r="R7" s="768" t="s">
        <v>17</v>
      </c>
      <c r="S7" s="769">
        <f t="shared" ref="S7:S14" si="0">F7</f>
        <v>0</v>
      </c>
      <c r="T7" s="768" t="s">
        <v>17</v>
      </c>
      <c r="U7" s="769">
        <f t="shared" ref="U7:U14" si="1">H7</f>
        <v>0</v>
      </c>
      <c r="V7" s="768" t="s">
        <v>17</v>
      </c>
      <c r="W7" s="769">
        <f t="shared" ref="W7:W14" si="2">J7</f>
        <v>0</v>
      </c>
      <c r="X7" s="770"/>
      <c r="Y7" s="3234" t="s">
        <v>2550</v>
      </c>
      <c r="Z7" s="3235"/>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34" t="s">
        <v>2553</v>
      </c>
      <c r="Q8" s="3235"/>
      <c r="R8" s="768" t="s">
        <v>17</v>
      </c>
      <c r="S8" s="769">
        <f t="shared" si="0"/>
        <v>0</v>
      </c>
      <c r="T8" s="768" t="s">
        <v>17</v>
      </c>
      <c r="U8" s="769">
        <f t="shared" si="1"/>
        <v>0</v>
      </c>
      <c r="V8" s="768" t="s">
        <v>17</v>
      </c>
      <c r="W8" s="769">
        <f t="shared" si="2"/>
        <v>0</v>
      </c>
      <c r="X8" s="770"/>
      <c r="Y8" s="3234" t="s">
        <v>2553</v>
      </c>
      <c r="Z8" s="3235"/>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8" t="s">
        <v>2556</v>
      </c>
      <c r="Q9" s="1793" t="str">
        <f t="shared" ref="Q9:Q14" si="6">B9</f>
        <v>用途</v>
      </c>
      <c r="R9" s="768" t="s">
        <v>17</v>
      </c>
      <c r="S9" s="769">
        <f t="shared" si="0"/>
        <v>100</v>
      </c>
      <c r="T9" s="768" t="s">
        <v>17</v>
      </c>
      <c r="U9" s="769">
        <f t="shared" si="1"/>
        <v>100</v>
      </c>
      <c r="V9" s="768" t="s">
        <v>17</v>
      </c>
      <c r="W9" s="769">
        <f t="shared" si="2"/>
        <v>100</v>
      </c>
      <c r="X9" s="770"/>
      <c r="Y9" s="3023"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8"/>
      <c r="Q10" s="1793"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8"/>
      <c r="Q11" s="1793">
        <f t="shared" si="6"/>
        <v>111</v>
      </c>
      <c r="R11" s="768" t="s">
        <v>17</v>
      </c>
      <c r="S11" s="769">
        <f t="shared" si="0"/>
        <v>100</v>
      </c>
      <c r="T11" s="768" t="s">
        <v>17</v>
      </c>
      <c r="U11" s="769">
        <f t="shared" si="1"/>
        <v>100</v>
      </c>
      <c r="V11" s="768" t="s">
        <v>17</v>
      </c>
      <c r="W11" s="769">
        <f t="shared" si="2"/>
        <v>100</v>
      </c>
      <c r="X11" s="770"/>
      <c r="Y11" s="3023"/>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8"/>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198"/>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85.5">
      <c r="A14" s="440" t="s">
        <v>2560</v>
      </c>
      <c r="B14" s="69"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00" t="s">
        <v>2561</v>
      </c>
      <c r="Q14" s="1808" t="str">
        <f t="shared" si="6"/>
        <v>交通便捷度</v>
      </c>
      <c r="R14" s="772" t="s">
        <v>17</v>
      </c>
      <c r="S14" s="773">
        <f t="shared" si="0"/>
        <v>100</v>
      </c>
      <c r="T14" s="772" t="s">
        <v>17</v>
      </c>
      <c r="U14" s="773">
        <f t="shared" si="1"/>
        <v>100</v>
      </c>
      <c r="V14" s="772" t="s">
        <v>17</v>
      </c>
      <c r="W14" s="773">
        <f t="shared" si="2"/>
        <v>100</v>
      </c>
      <c r="X14" s="1811"/>
      <c r="Y14" s="3200"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01"/>
      <c r="Q15" s="1808"/>
      <c r="R15" s="772"/>
      <c r="S15" s="773"/>
      <c r="T15" s="772"/>
      <c r="U15" s="773"/>
      <c r="V15" s="772"/>
      <c r="W15" s="773"/>
      <c r="X15" s="1811"/>
      <c r="Y15" s="3201"/>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01"/>
      <c r="Q16" s="1808" t="str">
        <f>B16</f>
        <v>公共配套设施</v>
      </c>
      <c r="R16" s="772" t="s">
        <v>17</v>
      </c>
      <c r="S16" s="773">
        <f>F16</f>
        <v>100</v>
      </c>
      <c r="T16" s="772" t="s">
        <v>17</v>
      </c>
      <c r="U16" s="773">
        <f>H16</f>
        <v>100</v>
      </c>
      <c r="V16" s="772" t="s">
        <v>17</v>
      </c>
      <c r="W16" s="773">
        <f>J16</f>
        <v>100</v>
      </c>
      <c r="X16" s="1811"/>
      <c r="Y16" s="3201"/>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01"/>
      <c r="Q17" s="1808"/>
      <c r="R17" s="772"/>
      <c r="S17" s="773"/>
      <c r="T17" s="772"/>
      <c r="U17" s="773"/>
      <c r="V17" s="772"/>
      <c r="W17" s="773"/>
      <c r="X17" s="1811"/>
      <c r="Y17" s="3201"/>
      <c r="Z17" s="1812"/>
      <c r="AA17" s="1809">
        <v>1</v>
      </c>
      <c r="AB17" s="1809">
        <v>1</v>
      </c>
      <c r="AC17" s="1809">
        <v>1</v>
      </c>
    </row>
    <row r="18" spans="1:29" ht="28.5">
      <c r="A18" s="428"/>
      <c r="B18" s="1382"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01"/>
      <c r="Q18" s="1808" t="str">
        <f>B18</f>
        <v>基础设施水平</v>
      </c>
      <c r="R18" s="772" t="s">
        <v>17</v>
      </c>
      <c r="S18" s="773">
        <f>F18</f>
        <v>100</v>
      </c>
      <c r="T18" s="772" t="s">
        <v>17</v>
      </c>
      <c r="U18" s="773">
        <f>H18</f>
        <v>100</v>
      </c>
      <c r="V18" s="772" t="s">
        <v>17</v>
      </c>
      <c r="W18" s="773">
        <f>J18</f>
        <v>100</v>
      </c>
      <c r="X18" s="1811"/>
      <c r="Y18" s="3201"/>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01"/>
      <c r="Q19" s="1808"/>
      <c r="R19" s="772"/>
      <c r="S19" s="773"/>
      <c r="T19" s="772"/>
      <c r="U19" s="773"/>
      <c r="V19" s="772"/>
      <c r="W19" s="773"/>
      <c r="X19" s="1811"/>
      <c r="Y19" s="3201"/>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01"/>
      <c r="Q20" s="1808" t="str">
        <f>B20</f>
        <v>自然及人文环境</v>
      </c>
      <c r="R20" s="772" t="s">
        <v>17</v>
      </c>
      <c r="S20" s="773">
        <f>F20</f>
        <v>100</v>
      </c>
      <c r="T20" s="772" t="s">
        <v>17</v>
      </c>
      <c r="U20" s="773">
        <f>H20</f>
        <v>100</v>
      </c>
      <c r="V20" s="772" t="s">
        <v>17</v>
      </c>
      <c r="W20" s="773">
        <f>J20</f>
        <v>100</v>
      </c>
      <c r="X20" s="1811"/>
      <c r="Y20" s="320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01"/>
      <c r="Q21" s="1808"/>
      <c r="R21" s="772"/>
      <c r="S21" s="773"/>
      <c r="T21" s="772"/>
      <c r="U21" s="773"/>
      <c r="V21" s="772"/>
      <c r="W21" s="773"/>
      <c r="X21" s="1811"/>
      <c r="Y21" s="3201"/>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01"/>
      <c r="Q22" s="1808" t="str">
        <f>B22</f>
        <v>楼层</v>
      </c>
      <c r="R22" s="772" t="s">
        <v>17</v>
      </c>
      <c r="S22" s="773">
        <f>F22</f>
        <v>100</v>
      </c>
      <c r="T22" s="772" t="s">
        <v>17</v>
      </c>
      <c r="U22" s="773">
        <f>H22</f>
        <v>100</v>
      </c>
      <c r="V22" s="772" t="s">
        <v>17</v>
      </c>
      <c r="W22" s="773">
        <f>J22</f>
        <v>100</v>
      </c>
      <c r="X22" s="1811"/>
      <c r="Y22" s="3201"/>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01"/>
      <c r="Q23" s="1808">
        <f>B23</f>
        <v>111</v>
      </c>
      <c r="R23" s="772" t="s">
        <v>17</v>
      </c>
      <c r="S23" s="773">
        <f>F23</f>
        <v>100</v>
      </c>
      <c r="T23" s="772" t="s">
        <v>17</v>
      </c>
      <c r="U23" s="773">
        <f>H23</f>
        <v>100</v>
      </c>
      <c r="V23" s="772" t="s">
        <v>17</v>
      </c>
      <c r="W23" s="773">
        <f>J23</f>
        <v>100</v>
      </c>
      <c r="X23" s="1811"/>
      <c r="Y23" s="3201"/>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01"/>
      <c r="Q24" s="1808">
        <f t="shared" ref="Q24:Q34" si="11">B24</f>
        <v>111</v>
      </c>
      <c r="R24" s="772" t="s">
        <v>17</v>
      </c>
      <c r="S24" s="773">
        <f>F24</f>
        <v>100</v>
      </c>
      <c r="T24" s="772" t="s">
        <v>17</v>
      </c>
      <c r="U24" s="773">
        <f>H24</f>
        <v>100</v>
      </c>
      <c r="V24" s="772" t="s">
        <v>17</v>
      </c>
      <c r="W24" s="773">
        <f>J24</f>
        <v>100</v>
      </c>
      <c r="X24" s="1811"/>
      <c r="Y24" s="3201"/>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01"/>
      <c r="Q25" s="1793">
        <f t="shared" si="11"/>
        <v>111</v>
      </c>
      <c r="R25" s="768" t="s">
        <v>17</v>
      </c>
      <c r="S25" s="769">
        <f>F25</f>
        <v>100</v>
      </c>
      <c r="T25" s="768" t="s">
        <v>17</v>
      </c>
      <c r="U25" s="769">
        <f>H25</f>
        <v>100</v>
      </c>
      <c r="V25" s="768" t="s">
        <v>17</v>
      </c>
      <c r="W25" s="769">
        <f>J25</f>
        <v>100</v>
      </c>
      <c r="X25" s="770"/>
      <c r="Y25" s="3201"/>
      <c r="Z25" s="55">
        <f>Q25</f>
        <v>111</v>
      </c>
      <c r="AA25" s="1809">
        <f>D25/F25</f>
        <v>1</v>
      </c>
      <c r="AB25" s="1809">
        <f>D25/H25</f>
        <v>1</v>
      </c>
      <c r="AC25" s="1809">
        <f>D25/J25</f>
        <v>1</v>
      </c>
    </row>
    <row r="26" spans="1:29" ht="28.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58"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5"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05"/>
      <c r="Q27" s="774" t="str">
        <f t="shared" si="11"/>
        <v>成新率</v>
      </c>
      <c r="R27" s="775" t="s">
        <v>17</v>
      </c>
      <c r="S27" s="776" t="e">
        <f t="shared" si="12"/>
        <v>#N/A</v>
      </c>
      <c r="T27" s="775" t="s">
        <v>17</v>
      </c>
      <c r="U27" s="776" t="e">
        <f t="shared" si="13"/>
        <v>#N/A</v>
      </c>
      <c r="V27" s="775" t="s">
        <v>17</v>
      </c>
      <c r="W27" s="776" t="e">
        <f t="shared" si="14"/>
        <v>#N/A</v>
      </c>
      <c r="X27" s="777"/>
      <c r="Y27" s="3205"/>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05"/>
      <c r="Q28" s="1808" t="str">
        <f t="shared" si="11"/>
        <v>物业等级</v>
      </c>
      <c r="R28" s="772" t="s">
        <v>17</v>
      </c>
      <c r="S28" s="773">
        <f t="shared" si="12"/>
        <v>100</v>
      </c>
      <c r="T28" s="772" t="s">
        <v>17</v>
      </c>
      <c r="U28" s="773">
        <f t="shared" si="13"/>
        <v>100</v>
      </c>
      <c r="V28" s="772" t="s">
        <v>17</v>
      </c>
      <c r="W28" s="773">
        <f t="shared" si="14"/>
        <v>100</v>
      </c>
      <c r="X28" s="1811"/>
      <c r="Y28" s="3205"/>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05"/>
      <c r="Q29" s="1808" t="str">
        <f t="shared" si="11"/>
        <v>有无电梯</v>
      </c>
      <c r="R29" s="772" t="s">
        <v>17</v>
      </c>
      <c r="S29" s="773">
        <f t="shared" si="12"/>
        <v>100</v>
      </c>
      <c r="T29" s="772" t="s">
        <v>17</v>
      </c>
      <c r="U29" s="773">
        <f t="shared" si="13"/>
        <v>100</v>
      </c>
      <c r="V29" s="772" t="s">
        <v>17</v>
      </c>
      <c r="W29" s="773">
        <f t="shared" si="14"/>
        <v>100</v>
      </c>
      <c r="X29" s="1811"/>
      <c r="Y29" s="3205"/>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05"/>
      <c r="Q30" s="1808" t="str">
        <f t="shared" si="11"/>
        <v>建筑面积</v>
      </c>
      <c r="R30" s="772" t="s">
        <v>17</v>
      </c>
      <c r="S30" s="773" t="e">
        <f t="shared" si="12"/>
        <v>#N/A</v>
      </c>
      <c r="T30" s="772" t="s">
        <v>17</v>
      </c>
      <c r="U30" s="773" t="e">
        <f t="shared" si="13"/>
        <v>#N/A</v>
      </c>
      <c r="V30" s="772" t="s">
        <v>17</v>
      </c>
      <c r="W30" s="773" t="e">
        <f t="shared" si="14"/>
        <v>#N/A</v>
      </c>
      <c r="X30" s="1811"/>
      <c r="Y30" s="3205"/>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05"/>
      <c r="Q31" s="1793" t="str">
        <f t="shared" si="11"/>
        <v>是否封闭</v>
      </c>
      <c r="R31" s="768" t="s">
        <v>17</v>
      </c>
      <c r="S31" s="769">
        <f t="shared" si="12"/>
        <v>100</v>
      </c>
      <c r="T31" s="768" t="s">
        <v>17</v>
      </c>
      <c r="U31" s="769">
        <f t="shared" si="13"/>
        <v>100</v>
      </c>
      <c r="V31" s="768" t="s">
        <v>17</v>
      </c>
      <c r="W31" s="769">
        <f t="shared" si="14"/>
        <v>100</v>
      </c>
      <c r="X31" s="770"/>
      <c r="Y31" s="3205"/>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05" t="s">
        <v>2566</v>
      </c>
      <c r="Q32" s="1808">
        <f t="shared" si="11"/>
        <v>111</v>
      </c>
      <c r="R32" s="772" t="s">
        <v>17</v>
      </c>
      <c r="S32" s="773">
        <f t="shared" si="12"/>
        <v>100</v>
      </c>
      <c r="T32" s="772" t="s">
        <v>17</v>
      </c>
      <c r="U32" s="773">
        <f t="shared" si="13"/>
        <v>100</v>
      </c>
      <c r="V32" s="772" t="s">
        <v>17</v>
      </c>
      <c r="W32" s="773">
        <f t="shared" si="14"/>
        <v>100</v>
      </c>
      <c r="X32" s="1811"/>
      <c r="Y32" s="3205"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05"/>
      <c r="Q33" s="1808">
        <f t="shared" si="11"/>
        <v>111</v>
      </c>
      <c r="R33" s="772" t="s">
        <v>17</v>
      </c>
      <c r="S33" s="773">
        <f t="shared" si="12"/>
        <v>100</v>
      </c>
      <c r="T33" s="772" t="s">
        <v>17</v>
      </c>
      <c r="U33" s="773">
        <f t="shared" si="13"/>
        <v>100</v>
      </c>
      <c r="V33" s="772" t="s">
        <v>17</v>
      </c>
      <c r="W33" s="773">
        <f t="shared" si="14"/>
        <v>100</v>
      </c>
      <c r="X33" s="1811"/>
      <c r="Y33" s="3205"/>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05"/>
      <c r="Q34" s="1808">
        <f t="shared" si="11"/>
        <v>111</v>
      </c>
      <c r="R34" s="772" t="s">
        <v>17</v>
      </c>
      <c r="S34" s="773">
        <f t="shared" si="12"/>
        <v>100</v>
      </c>
      <c r="T34" s="772" t="s">
        <v>17</v>
      </c>
      <c r="U34" s="773">
        <f t="shared" si="13"/>
        <v>100</v>
      </c>
      <c r="V34" s="772" t="s">
        <v>17</v>
      </c>
      <c r="W34" s="773">
        <f t="shared" si="14"/>
        <v>100</v>
      </c>
      <c r="X34" s="1811"/>
      <c r="Y34" s="3205"/>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198" t="str">
        <f>A35</f>
        <v>成交单价（元/平方米）</v>
      </c>
      <c r="Q35" s="3198"/>
      <c r="R35" s="3199">
        <f>E35</f>
        <v>0</v>
      </c>
      <c r="S35" s="3199"/>
      <c r="T35" s="3199">
        <f>G35</f>
        <v>0</v>
      </c>
      <c r="U35" s="3199"/>
      <c r="V35" s="3199">
        <f>I35</f>
        <v>0</v>
      </c>
      <c r="W35" s="3199"/>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195" t="str">
        <f>A37</f>
        <v>估价对象XX用房的比较价值（楼面单价，元/平方米）</v>
      </c>
      <c r="Q37" s="3196"/>
      <c r="R37" s="3197" t="e">
        <f>IF(F1="售价",ROUND(AVERAGE(R36:V36),0),ROUND(AVERAGE(R36:V36),1))</f>
        <v>#DIV/0!</v>
      </c>
      <c r="S37" s="3197"/>
      <c r="T37" s="3197"/>
      <c r="U37" s="3197"/>
      <c r="V37" s="3197"/>
      <c r="W37" s="319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11" t="s">
        <v>2649</v>
      </c>
      <c r="AC4" s="3210" t="s">
        <v>2650</v>
      </c>
    </row>
    <row r="5" spans="1:30" ht="15">
      <c r="A5" s="404"/>
      <c r="B5" s="405"/>
      <c r="C5" s="3232" t="s">
        <v>2543</v>
      </c>
      <c r="D5" s="3233"/>
      <c r="E5" s="3239" t="s">
        <v>2544</v>
      </c>
      <c r="F5" s="3240"/>
      <c r="G5" s="3232" t="s">
        <v>2545</v>
      </c>
      <c r="H5" s="3233"/>
      <c r="I5" s="3232" t="s">
        <v>2546</v>
      </c>
      <c r="J5" s="3233"/>
      <c r="K5" s="610"/>
      <c r="L5" s="1128"/>
      <c r="M5" s="1129"/>
      <c r="N5" s="1129"/>
      <c r="O5" s="1129"/>
      <c r="P5" s="3219"/>
      <c r="Q5" s="3220"/>
      <c r="R5" s="3225"/>
      <c r="S5" s="3226"/>
      <c r="T5" s="3225"/>
      <c r="U5" s="3226"/>
      <c r="V5" s="3229"/>
      <c r="W5" s="3229"/>
      <c r="X5" s="1811"/>
      <c r="Y5" s="3225"/>
      <c r="Z5" s="3226"/>
      <c r="AA5" s="3211"/>
      <c r="AB5" s="3211"/>
      <c r="AC5" s="3211"/>
    </row>
    <row r="6" spans="1:30" ht="15.75" thickBot="1">
      <c r="A6" s="406"/>
      <c r="B6" s="407"/>
      <c r="C6" s="3230" t="s">
        <v>2547</v>
      </c>
      <c r="D6" s="3231"/>
      <c r="E6" s="3237" t="s">
        <v>2547</v>
      </c>
      <c r="F6" s="3238"/>
      <c r="G6" s="3230" t="s">
        <v>2547</v>
      </c>
      <c r="H6" s="3231"/>
      <c r="I6" s="3230" t="s">
        <v>2547</v>
      </c>
      <c r="J6" s="3231"/>
      <c r="K6" s="610" t="s">
        <v>2548</v>
      </c>
      <c r="L6" s="1128"/>
      <c r="M6" s="1129"/>
      <c r="N6" s="1129"/>
      <c r="O6" s="1129"/>
      <c r="P6" s="3221"/>
      <c r="Q6" s="3222"/>
      <c r="R6" s="3225"/>
      <c r="S6" s="3226"/>
      <c r="T6" s="3227"/>
      <c r="U6" s="3228"/>
      <c r="V6" s="3229"/>
      <c r="W6" s="3229"/>
      <c r="X6" s="1811"/>
      <c r="Y6" s="3227"/>
      <c r="Z6" s="3228"/>
      <c r="AA6" s="3212"/>
      <c r="AB6" s="3212"/>
      <c r="AC6" s="3212"/>
    </row>
    <row r="7" spans="1:30" s="117" customFormat="1" ht="15.75" thickBot="1">
      <c r="A7" s="408" t="s">
        <v>2549</v>
      </c>
      <c r="B7" s="409"/>
      <c r="C7" s="410">
        <f>'数据-取费表'!B2</f>
        <v>43690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34" t="s">
        <v>2550</v>
      </c>
      <c r="Q7" s="3236"/>
      <c r="R7" s="768" t="s">
        <v>17</v>
      </c>
      <c r="S7" s="769">
        <f t="shared" ref="S7:S15" si="0">F7</f>
        <v>0</v>
      </c>
      <c r="T7" s="768" t="s">
        <v>17</v>
      </c>
      <c r="U7" s="769">
        <f t="shared" ref="U7:U15" si="1">H7</f>
        <v>0</v>
      </c>
      <c r="V7" s="768" t="s">
        <v>17</v>
      </c>
      <c r="W7" s="769">
        <f t="shared" ref="W7:W15" si="2">J7</f>
        <v>0</v>
      </c>
      <c r="X7" s="770"/>
      <c r="Y7" s="3234" t="s">
        <v>2550</v>
      </c>
      <c r="Z7" s="3235"/>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34" t="s">
        <v>2553</v>
      </c>
      <c r="Q8" s="3235"/>
      <c r="R8" s="768" t="s">
        <v>17</v>
      </c>
      <c r="S8" s="769">
        <f t="shared" si="0"/>
        <v>0</v>
      </c>
      <c r="T8" s="768" t="s">
        <v>17</v>
      </c>
      <c r="U8" s="769">
        <f t="shared" si="1"/>
        <v>0</v>
      </c>
      <c r="V8" s="768" t="s">
        <v>17</v>
      </c>
      <c r="W8" s="769">
        <f t="shared" si="2"/>
        <v>0</v>
      </c>
      <c r="X8" s="770"/>
      <c r="Y8" s="3234" t="s">
        <v>2553</v>
      </c>
      <c r="Z8" s="3235"/>
      <c r="AA8" s="771" t="e">
        <f t="shared" ref="AA8:AA45" si="3">D8/F8</f>
        <v>#DIV/0!</v>
      </c>
      <c r="AB8" s="771" t="e">
        <f t="shared" ref="AB8:AB45" si="4">D8/H8</f>
        <v>#DIV/0!</v>
      </c>
      <c r="AC8" s="771"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198"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3"/>
      <c r="M10" s="1134"/>
      <c r="N10" s="1134"/>
      <c r="O10" s="1135"/>
      <c r="P10" s="3198"/>
      <c r="Q10" s="1793" t="str">
        <f t="shared" si="6"/>
        <v>土地使用年限（年）</v>
      </c>
      <c r="R10" s="768" t="s">
        <v>17</v>
      </c>
      <c r="S10" s="769">
        <f t="shared" si="0"/>
        <v>107</v>
      </c>
      <c r="T10" s="768" t="s">
        <v>17</v>
      </c>
      <c r="U10" s="769">
        <f t="shared" si="1"/>
        <v>107</v>
      </c>
      <c r="V10" s="768" t="s">
        <v>17</v>
      </c>
      <c r="W10" s="769">
        <f t="shared" si="2"/>
        <v>107</v>
      </c>
      <c r="X10" s="770"/>
      <c r="Y10" s="3023"/>
      <c r="Z10" s="55" t="str">
        <f t="shared" si="7"/>
        <v>土地使用年限（年）</v>
      </c>
      <c r="AA10" s="771">
        <f t="shared" si="3"/>
        <v>0.93457943925233644</v>
      </c>
      <c r="AB10" s="771">
        <f t="shared" si="4"/>
        <v>0.93457943925233644</v>
      </c>
      <c r="AC10" s="771">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8"/>
      <c r="Q11" s="1793"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8"/>
      <c r="Q12" s="1793" t="str">
        <f t="shared" si="6"/>
        <v>配建</v>
      </c>
      <c r="R12" s="768" t="s">
        <v>17</v>
      </c>
      <c r="S12" s="769">
        <f t="shared" si="0"/>
        <v>100</v>
      </c>
      <c r="T12" s="768" t="s">
        <v>17</v>
      </c>
      <c r="U12" s="769">
        <f t="shared" si="1"/>
        <v>100</v>
      </c>
      <c r="V12" s="768" t="s">
        <v>17</v>
      </c>
      <c r="W12" s="769">
        <f t="shared" si="2"/>
        <v>100</v>
      </c>
      <c r="X12" s="770"/>
      <c r="Y12" s="3023"/>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8"/>
      <c r="Q13" s="1793">
        <f t="shared" si="6"/>
        <v>111</v>
      </c>
      <c r="R13" s="768" t="s">
        <v>17</v>
      </c>
      <c r="S13" s="769">
        <f t="shared" si="0"/>
        <v>100</v>
      </c>
      <c r="T13" s="768" t="s">
        <v>17</v>
      </c>
      <c r="U13" s="769">
        <f t="shared" si="1"/>
        <v>100</v>
      </c>
      <c r="V13" s="768" t="s">
        <v>17</v>
      </c>
      <c r="W13" s="769">
        <f t="shared" si="2"/>
        <v>100</v>
      </c>
      <c r="X13" s="770"/>
      <c r="Y13" s="3023"/>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8"/>
      <c r="Q14" s="1793">
        <f t="shared" si="6"/>
        <v>111</v>
      </c>
      <c r="R14" s="768" t="s">
        <v>17</v>
      </c>
      <c r="S14" s="769">
        <f t="shared" si="0"/>
        <v>100</v>
      </c>
      <c r="T14" s="768" t="s">
        <v>17</v>
      </c>
      <c r="U14" s="769">
        <f t="shared" si="1"/>
        <v>100</v>
      </c>
      <c r="V14" s="768" t="s">
        <v>17</v>
      </c>
      <c r="W14" s="769">
        <f t="shared" si="2"/>
        <v>100</v>
      </c>
      <c r="X14" s="770"/>
      <c r="Y14" s="3023"/>
      <c r="Z14" s="55">
        <f t="shared" si="7"/>
        <v>111</v>
      </c>
      <c r="AA14" s="771">
        <f>D14/F14</f>
        <v>1</v>
      </c>
      <c r="AB14" s="771">
        <f>D14/H14</f>
        <v>1</v>
      </c>
      <c r="AC14" s="771">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00" t="s">
        <v>2561</v>
      </c>
      <c r="Q15" s="1808" t="str">
        <f t="shared" si="6"/>
        <v>居住社区成熟度</v>
      </c>
      <c r="R15" s="772" t="s">
        <v>17</v>
      </c>
      <c r="S15" s="773">
        <f t="shared" si="0"/>
        <v>100</v>
      </c>
      <c r="T15" s="772" t="s">
        <v>17</v>
      </c>
      <c r="U15" s="773">
        <f t="shared" si="1"/>
        <v>100</v>
      </c>
      <c r="V15" s="772" t="s">
        <v>17</v>
      </c>
      <c r="W15" s="773">
        <f t="shared" si="2"/>
        <v>100</v>
      </c>
      <c r="X15" s="1811"/>
      <c r="Y15" s="3200"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01"/>
      <c r="Q16" s="1808"/>
      <c r="R16" s="772"/>
      <c r="S16" s="773"/>
      <c r="T16" s="772"/>
      <c r="U16" s="773"/>
      <c r="V16" s="772"/>
      <c r="W16" s="773"/>
      <c r="X16" s="1811"/>
      <c r="Y16" s="3201"/>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01"/>
      <c r="Q17" s="1808" t="str">
        <f>B17</f>
        <v>商业繁华度</v>
      </c>
      <c r="R17" s="772" t="s">
        <v>17</v>
      </c>
      <c r="S17" s="773">
        <f>F17</f>
        <v>100</v>
      </c>
      <c r="T17" s="772" t="s">
        <v>17</v>
      </c>
      <c r="U17" s="773">
        <f>H17</f>
        <v>100</v>
      </c>
      <c r="V17" s="772" t="s">
        <v>17</v>
      </c>
      <c r="W17" s="773">
        <f>J17</f>
        <v>100</v>
      </c>
      <c r="X17" s="1811"/>
      <c r="Y17" s="3201"/>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01"/>
      <c r="Q18" s="1808"/>
      <c r="R18" s="772"/>
      <c r="S18" s="773"/>
      <c r="T18" s="772"/>
      <c r="U18" s="773"/>
      <c r="V18" s="772"/>
      <c r="W18" s="773"/>
      <c r="X18" s="1811"/>
      <c r="Y18" s="3201"/>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01"/>
      <c r="Q19" s="1808" t="str">
        <f>B19</f>
        <v>办公集聚程度</v>
      </c>
      <c r="R19" s="772" t="s">
        <v>17</v>
      </c>
      <c r="S19" s="773">
        <f>F19</f>
        <v>100</v>
      </c>
      <c r="T19" s="772" t="s">
        <v>17</v>
      </c>
      <c r="U19" s="773">
        <f>H19</f>
        <v>100</v>
      </c>
      <c r="V19" s="772" t="s">
        <v>17</v>
      </c>
      <c r="W19" s="773">
        <f>J19</f>
        <v>100</v>
      </c>
      <c r="X19" s="1811"/>
      <c r="Y19" s="3201"/>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01"/>
      <c r="Q20" s="1808"/>
      <c r="R20" s="772"/>
      <c r="S20" s="773"/>
      <c r="T20" s="772"/>
      <c r="U20" s="773"/>
      <c r="V20" s="772"/>
      <c r="W20" s="773"/>
      <c r="X20" s="1811"/>
      <c r="Y20" s="3201"/>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01"/>
      <c r="Q21" s="1808" t="str">
        <f>B21</f>
        <v>交通便捷度</v>
      </c>
      <c r="R21" s="772" t="s">
        <v>17</v>
      </c>
      <c r="S21" s="773">
        <f>F21</f>
        <v>100</v>
      </c>
      <c r="T21" s="772" t="s">
        <v>17</v>
      </c>
      <c r="U21" s="773">
        <f>H21</f>
        <v>100</v>
      </c>
      <c r="V21" s="772" t="s">
        <v>17</v>
      </c>
      <c r="W21" s="773">
        <f>J21</f>
        <v>100</v>
      </c>
      <c r="X21" s="1811"/>
      <c r="Y21" s="3201"/>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01"/>
      <c r="Q22" s="1808"/>
      <c r="R22" s="772"/>
      <c r="S22" s="773"/>
      <c r="T22" s="772"/>
      <c r="U22" s="773"/>
      <c r="V22" s="772"/>
      <c r="W22" s="773"/>
      <c r="X22" s="1811"/>
      <c r="Y22" s="3201"/>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01"/>
      <c r="Q23" s="1808" t="str">
        <f t="shared" ref="Q23:Q37" si="8">B23</f>
        <v>区域土地利用方向</v>
      </c>
      <c r="R23" s="772" t="s">
        <v>17</v>
      </c>
      <c r="S23" s="773">
        <f>F23</f>
        <v>100</v>
      </c>
      <c r="T23" s="772" t="s">
        <v>17</v>
      </c>
      <c r="U23" s="773">
        <f>H23</f>
        <v>100</v>
      </c>
      <c r="V23" s="772" t="s">
        <v>17</v>
      </c>
      <c r="W23" s="773">
        <f>J23</f>
        <v>100</v>
      </c>
      <c r="X23" s="1811"/>
      <c r="Y23" s="3201"/>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38"/>
      <c r="M24" s="1129"/>
      <c r="N24" s="1129"/>
      <c r="O24" s="1137"/>
      <c r="P24" s="3201"/>
      <c r="Q24" s="1808"/>
      <c r="R24" s="772"/>
      <c r="S24" s="773"/>
      <c r="T24" s="772"/>
      <c r="U24" s="773"/>
      <c r="V24" s="772"/>
      <c r="W24" s="773"/>
      <c r="X24" s="1811"/>
      <c r="Y24" s="3201"/>
      <c r="Z24" s="1812"/>
      <c r="AA24" s="1809"/>
      <c r="AB24" s="1809"/>
      <c r="AC24" s="1809"/>
    </row>
    <row r="25" spans="1:29" ht="57">
      <c r="A25" s="404"/>
      <c r="B25" s="1382"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01"/>
      <c r="Q25" s="1808" t="str">
        <f t="shared" si="8"/>
        <v>自然及人文环境状况</v>
      </c>
      <c r="R25" s="772" t="s">
        <v>17</v>
      </c>
      <c r="S25" s="773">
        <f>F25</f>
        <v>100</v>
      </c>
      <c r="T25" s="772" t="s">
        <v>17</v>
      </c>
      <c r="U25" s="773">
        <f>H25</f>
        <v>100</v>
      </c>
      <c r="V25" s="772" t="s">
        <v>17</v>
      </c>
      <c r="W25" s="773">
        <f>J25</f>
        <v>100</v>
      </c>
      <c r="X25" s="1811"/>
      <c r="Y25" s="3201"/>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01"/>
      <c r="Q26" s="1808"/>
      <c r="R26" s="772"/>
      <c r="S26" s="773"/>
      <c r="T26" s="772"/>
      <c r="U26" s="773"/>
      <c r="V26" s="772"/>
      <c r="W26" s="773"/>
      <c r="X26" s="1811"/>
      <c r="Y26" s="3201"/>
      <c r="Z26" s="1812"/>
      <c r="AA26" s="1809">
        <v>1</v>
      </c>
      <c r="AB26" s="1809">
        <v>1</v>
      </c>
      <c r="AC26" s="1809">
        <v>1</v>
      </c>
    </row>
    <row r="27" spans="1:29" s="117" customFormat="1" ht="42.75">
      <c r="A27" s="649"/>
      <c r="B27" s="1382"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01"/>
      <c r="Q27" s="1793" t="str">
        <f t="shared" si="8"/>
        <v>公共配套设施</v>
      </c>
      <c r="R27" s="768" t="s">
        <v>17</v>
      </c>
      <c r="S27" s="769">
        <f>F27</f>
        <v>100</v>
      </c>
      <c r="T27" s="768" t="s">
        <v>17</v>
      </c>
      <c r="U27" s="769">
        <f>H27</f>
        <v>100</v>
      </c>
      <c r="V27" s="768" t="s">
        <v>17</v>
      </c>
      <c r="W27" s="769">
        <f>J27</f>
        <v>100</v>
      </c>
      <c r="X27" s="770"/>
      <c r="Y27" s="3201"/>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01"/>
      <c r="Q28" s="1793"/>
      <c r="R28" s="768"/>
      <c r="S28" s="769"/>
      <c r="T28" s="768"/>
      <c r="U28" s="769"/>
      <c r="V28" s="768"/>
      <c r="W28" s="769"/>
      <c r="X28" s="770"/>
      <c r="Y28" s="3201"/>
      <c r="Z28" s="55"/>
      <c r="AA28" s="1809">
        <v>1</v>
      </c>
      <c r="AB28" s="1809">
        <v>1</v>
      </c>
      <c r="AC28" s="1809">
        <v>1</v>
      </c>
    </row>
    <row r="29" spans="1:29" s="117" customFormat="1" ht="28.5">
      <c r="A29" s="649"/>
      <c r="B29" s="1382"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01"/>
      <c r="Q29" s="1793" t="str">
        <f t="shared" ref="Q29" si="9">B29</f>
        <v>基础设施水平</v>
      </c>
      <c r="R29" s="768" t="s">
        <v>17</v>
      </c>
      <c r="S29" s="769">
        <f>F29</f>
        <v>100</v>
      </c>
      <c r="T29" s="768" t="s">
        <v>17</v>
      </c>
      <c r="U29" s="769">
        <f>H29</f>
        <v>100</v>
      </c>
      <c r="V29" s="768" t="s">
        <v>17</v>
      </c>
      <c r="W29" s="769">
        <f>J29</f>
        <v>100</v>
      </c>
      <c r="X29" s="770"/>
      <c r="Y29" s="3201"/>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01"/>
      <c r="Q30" s="1793"/>
      <c r="R30" s="768"/>
      <c r="S30" s="769"/>
      <c r="T30" s="768"/>
      <c r="U30" s="769"/>
      <c r="V30" s="768"/>
      <c r="W30" s="769"/>
      <c r="X30" s="770"/>
      <c r="Y30" s="3201"/>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01"/>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1"/>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01"/>
      <c r="Q32" s="1808" t="str">
        <f t="shared" si="8"/>
        <v>毗邻道路的类型与等级</v>
      </c>
      <c r="R32" s="772" t="s">
        <v>17</v>
      </c>
      <c r="S32" s="773">
        <f t="shared" si="10"/>
        <v>100</v>
      </c>
      <c r="T32" s="772" t="s">
        <v>17</v>
      </c>
      <c r="U32" s="773">
        <f t="shared" si="11"/>
        <v>100</v>
      </c>
      <c r="V32" s="772" t="s">
        <v>17</v>
      </c>
      <c r="W32" s="773">
        <f t="shared" si="12"/>
        <v>100</v>
      </c>
      <c r="X32" s="1811"/>
      <c r="Y32" s="3201"/>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01"/>
      <c r="Q33" s="1808"/>
      <c r="R33" s="772"/>
      <c r="S33" s="773"/>
      <c r="T33" s="772"/>
      <c r="U33" s="773"/>
      <c r="V33" s="772"/>
      <c r="W33" s="773"/>
      <c r="X33" s="1811"/>
      <c r="Y33" s="3201"/>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01"/>
      <c r="Q34" s="1808" t="str">
        <f t="shared" si="8"/>
        <v>土地级别</v>
      </c>
      <c r="R34" s="772" t="s">
        <v>17</v>
      </c>
      <c r="S34" s="773">
        <f t="shared" si="10"/>
        <v>100</v>
      </c>
      <c r="T34" s="772" t="s">
        <v>17</v>
      </c>
      <c r="U34" s="773">
        <f t="shared" si="11"/>
        <v>100</v>
      </c>
      <c r="V34" s="772" t="s">
        <v>17</v>
      </c>
      <c r="W34" s="773">
        <f t="shared" si="12"/>
        <v>100</v>
      </c>
      <c r="X34" s="1811"/>
      <c r="Y34" s="3201"/>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01"/>
      <c r="Q35" s="1808">
        <f t="shared" si="8"/>
        <v>111</v>
      </c>
      <c r="R35" s="772" t="s">
        <v>17</v>
      </c>
      <c r="S35" s="773">
        <f t="shared" si="10"/>
        <v>100</v>
      </c>
      <c r="T35" s="772" t="s">
        <v>17</v>
      </c>
      <c r="U35" s="773">
        <f t="shared" si="11"/>
        <v>100</v>
      </c>
      <c r="V35" s="772" t="s">
        <v>17</v>
      </c>
      <c r="W35" s="773">
        <f t="shared" si="12"/>
        <v>100</v>
      </c>
      <c r="X35" s="1811"/>
      <c r="Y35" s="3201"/>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8" t="s">
        <v>2566</v>
      </c>
      <c r="Q36" s="1808">
        <f t="shared" si="8"/>
        <v>111</v>
      </c>
      <c r="R36" s="772" t="s">
        <v>17</v>
      </c>
      <c r="S36" s="773">
        <f t="shared" si="10"/>
        <v>100</v>
      </c>
      <c r="T36" s="772" t="s">
        <v>17</v>
      </c>
      <c r="U36" s="773">
        <f t="shared" si="11"/>
        <v>100</v>
      </c>
      <c r="V36" s="772" t="s">
        <v>17</v>
      </c>
      <c r="W36" s="773">
        <f t="shared" si="12"/>
        <v>100</v>
      </c>
      <c r="X36" s="1811"/>
      <c r="Y36" s="3205"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05"/>
      <c r="Q37" s="1808">
        <f t="shared" si="8"/>
        <v>111</v>
      </c>
      <c r="R37" s="775" t="s">
        <v>17</v>
      </c>
      <c r="S37" s="776">
        <f t="shared" si="10"/>
        <v>100</v>
      </c>
      <c r="T37" s="775" t="s">
        <v>17</v>
      </c>
      <c r="U37" s="776">
        <f t="shared" si="11"/>
        <v>100</v>
      </c>
      <c r="V37" s="775" t="s">
        <v>17</v>
      </c>
      <c r="W37" s="776">
        <f t="shared" si="12"/>
        <v>100</v>
      </c>
      <c r="X37" s="777"/>
      <c r="Y37" s="3205"/>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05"/>
      <c r="Q38" s="1808" t="str">
        <f>B38</f>
        <v>宗地面积</v>
      </c>
      <c r="R38" s="772" t="s">
        <v>17</v>
      </c>
      <c r="S38" s="773" t="e">
        <f t="shared" si="10"/>
        <v>#N/A</v>
      </c>
      <c r="T38" s="772" t="s">
        <v>17</v>
      </c>
      <c r="U38" s="773" t="e">
        <f t="shared" si="11"/>
        <v>#N/A</v>
      </c>
      <c r="V38" s="772" t="s">
        <v>17</v>
      </c>
      <c r="W38" s="773" t="e">
        <f t="shared" si="12"/>
        <v>#N/A</v>
      </c>
      <c r="X38" s="1811"/>
      <c r="Y38" s="3205"/>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05"/>
      <c r="Q39" s="1808" t="str">
        <f t="shared" ref="Q39:Q45" si="14">B39</f>
        <v>宗地形状</v>
      </c>
      <c r="R39" s="772" t="s">
        <v>17</v>
      </c>
      <c r="S39" s="773">
        <f t="shared" si="10"/>
        <v>100</v>
      </c>
      <c r="T39" s="772" t="s">
        <v>17</v>
      </c>
      <c r="U39" s="773">
        <f t="shared" si="11"/>
        <v>100</v>
      </c>
      <c r="V39" s="772" t="s">
        <v>17</v>
      </c>
      <c r="W39" s="773">
        <f t="shared" si="12"/>
        <v>100</v>
      </c>
      <c r="X39" s="1811"/>
      <c r="Y39" s="3205"/>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05"/>
      <c r="Q40" s="1808" t="str">
        <f t="shared" si="14"/>
        <v>临街宽度及深度</v>
      </c>
      <c r="R40" s="772" t="s">
        <v>17</v>
      </c>
      <c r="S40" s="773">
        <f t="shared" si="10"/>
        <v>100</v>
      </c>
      <c r="T40" s="772" t="s">
        <v>17</v>
      </c>
      <c r="U40" s="773">
        <f t="shared" si="11"/>
        <v>100</v>
      </c>
      <c r="V40" s="772" t="s">
        <v>17</v>
      </c>
      <c r="W40" s="773">
        <f t="shared" si="12"/>
        <v>100</v>
      </c>
      <c r="X40" s="1811"/>
      <c r="Y40" s="3205"/>
      <c r="Z40" s="1812" t="str">
        <f t="shared" si="13"/>
        <v>临街宽度及深度</v>
      </c>
      <c r="AA40" s="1809">
        <f t="shared" si="3"/>
        <v>1</v>
      </c>
      <c r="AB40" s="1809">
        <f t="shared" si="4"/>
        <v>1</v>
      </c>
      <c r="AC40" s="1809">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05"/>
      <c r="Q41" s="1808" t="str">
        <f t="shared" si="14"/>
        <v>宗地开发程度</v>
      </c>
      <c r="R41" s="768" t="s">
        <v>17</v>
      </c>
      <c r="S41" s="769">
        <f t="shared" si="10"/>
        <v>100</v>
      </c>
      <c r="T41" s="768" t="s">
        <v>17</v>
      </c>
      <c r="U41" s="769">
        <f t="shared" si="11"/>
        <v>100</v>
      </c>
      <c r="V41" s="768" t="s">
        <v>17</v>
      </c>
      <c r="W41" s="769">
        <f t="shared" si="12"/>
        <v>100</v>
      </c>
      <c r="X41" s="770"/>
      <c r="Y41" s="3205"/>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05" t="s">
        <v>2566</v>
      </c>
      <c r="Q42" s="1808" t="str">
        <f t="shared" si="14"/>
        <v>工程地质条件</v>
      </c>
      <c r="R42" s="772" t="s">
        <v>17</v>
      </c>
      <c r="S42" s="773">
        <f t="shared" si="10"/>
        <v>100</v>
      </c>
      <c r="T42" s="772" t="s">
        <v>17</v>
      </c>
      <c r="U42" s="773">
        <f t="shared" si="11"/>
        <v>100</v>
      </c>
      <c r="V42" s="772" t="s">
        <v>17</v>
      </c>
      <c r="W42" s="773">
        <f t="shared" si="12"/>
        <v>100</v>
      </c>
      <c r="X42" s="1811"/>
      <c r="Y42" s="3205"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05"/>
      <c r="Q43" s="1808">
        <f t="shared" si="14"/>
        <v>111</v>
      </c>
      <c r="R43" s="772" t="s">
        <v>17</v>
      </c>
      <c r="S43" s="773">
        <f t="shared" si="10"/>
        <v>100</v>
      </c>
      <c r="T43" s="772" t="s">
        <v>17</v>
      </c>
      <c r="U43" s="773">
        <f t="shared" si="11"/>
        <v>100</v>
      </c>
      <c r="V43" s="772" t="s">
        <v>17</v>
      </c>
      <c r="W43" s="773">
        <f t="shared" si="12"/>
        <v>100</v>
      </c>
      <c r="X43" s="1811"/>
      <c r="Y43" s="3205"/>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05"/>
      <c r="Q44" s="1808">
        <f t="shared" si="14"/>
        <v>111</v>
      </c>
      <c r="R44" s="772" t="s">
        <v>17</v>
      </c>
      <c r="S44" s="773">
        <f t="shared" si="10"/>
        <v>100</v>
      </c>
      <c r="T44" s="772" t="s">
        <v>17</v>
      </c>
      <c r="U44" s="773">
        <f t="shared" si="11"/>
        <v>100</v>
      </c>
      <c r="V44" s="772" t="s">
        <v>17</v>
      </c>
      <c r="W44" s="773">
        <f t="shared" si="12"/>
        <v>100</v>
      </c>
      <c r="X44" s="1811"/>
      <c r="Y44" s="3205"/>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05"/>
      <c r="Q45" s="1808">
        <f t="shared" si="14"/>
        <v>111</v>
      </c>
      <c r="R45" s="775" t="s">
        <v>17</v>
      </c>
      <c r="S45" s="776">
        <f t="shared" si="10"/>
        <v>100</v>
      </c>
      <c r="T45" s="775" t="s">
        <v>17</v>
      </c>
      <c r="U45" s="776">
        <f t="shared" si="11"/>
        <v>100</v>
      </c>
      <c r="V45" s="775" t="s">
        <v>17</v>
      </c>
      <c r="W45" s="776">
        <f t="shared" si="12"/>
        <v>100</v>
      </c>
      <c r="X45" s="777"/>
      <c r="Y45" s="3205"/>
      <c r="Z45" s="778">
        <f t="shared" si="13"/>
        <v>111</v>
      </c>
      <c r="AA45" s="1809">
        <f t="shared" si="3"/>
        <v>1</v>
      </c>
      <c r="AB45" s="1809">
        <f t="shared" si="4"/>
        <v>1</v>
      </c>
      <c r="AC45" s="1809">
        <f t="shared" si="5"/>
        <v>1</v>
      </c>
    </row>
    <row r="46" spans="1:29" ht="15">
      <c r="A46" s="479" t="s">
        <v>2721</v>
      </c>
      <c r="B46" s="2705" t="s">
        <v>2757</v>
      </c>
      <c r="C46" s="682" t="s">
        <v>1</v>
      </c>
      <c r="D46" s="481"/>
      <c r="E46" s="482"/>
      <c r="F46" s="483"/>
      <c r="G46" s="484"/>
      <c r="H46" s="485"/>
      <c r="I46" s="482"/>
      <c r="J46" s="485"/>
      <c r="K46" s="781"/>
      <c r="L46" s="1141"/>
      <c r="M46" s="1142"/>
      <c r="N46" s="1129"/>
      <c r="O46" s="1142"/>
      <c r="P46" s="3198" t="str">
        <f>A46</f>
        <v>成交单价</v>
      </c>
      <c r="Q46" s="3198"/>
      <c r="R46" s="3229">
        <f>E46</f>
        <v>0</v>
      </c>
      <c r="S46" s="3229"/>
      <c r="T46" s="3229">
        <f>G46</f>
        <v>0</v>
      </c>
      <c r="U46" s="3229"/>
      <c r="V46" s="3229">
        <f>I46</f>
        <v>0</v>
      </c>
      <c r="W46" s="3229"/>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198" t="str">
        <f>A47</f>
        <v>比较价值（元/平方米）</v>
      </c>
      <c r="Q47" s="3198"/>
      <c r="R47" s="3259" t="e">
        <f>ROUND(PRODUCT(R46,AA7:AA45),0)</f>
        <v>#DIV/0!</v>
      </c>
      <c r="S47" s="3259"/>
      <c r="T47" s="3259" t="e">
        <f>ROUND(PRODUCT(T46,AB7:AB45),0)</f>
        <v>#DIV/0!</v>
      </c>
      <c r="U47" s="3259"/>
      <c r="V47" s="3259" t="e">
        <f>ROUND(PRODUCT(V46,AC7:AC45),0)</f>
        <v>#DIV/0!</v>
      </c>
      <c r="W47" s="3259"/>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195" t="str">
        <f>A48</f>
        <v>估价对象XX用房的比较价值（楼面单价，元/平方米）</v>
      </c>
      <c r="Q48" s="3196"/>
      <c r="R48" s="3260" t="e">
        <f>ROUND(AVERAGE(R47:V47),0)</f>
        <v>#DIV/0!</v>
      </c>
      <c r="S48" s="3260"/>
      <c r="T48" s="3260"/>
      <c r="U48" s="3260"/>
      <c r="V48" s="3260"/>
      <c r="W48" s="326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6" t="s">
        <v>2761</v>
      </c>
      <c r="D55" s="2707" t="s">
        <v>2762</v>
      </c>
      <c r="E55" s="686" t="s">
        <v>2763</v>
      </c>
      <c r="F55" s="1105" t="s">
        <v>2764</v>
      </c>
      <c r="G55" s="3213" t="s">
        <v>2765</v>
      </c>
      <c r="H55" s="3261"/>
      <c r="I55" s="144" t="s">
        <v>2766</v>
      </c>
      <c r="J55" s="2708">
        <f>项目基本情况!F35</f>
        <v>0</v>
      </c>
      <c r="K55" s="2709" t="s">
        <v>2767</v>
      </c>
      <c r="L55" s="1104"/>
      <c r="M55" s="1142"/>
      <c r="N55" s="1142"/>
      <c r="O55" s="1142"/>
    </row>
    <row r="56" spans="1:15" s="692" customFormat="1">
      <c r="A56" s="688" t="s">
        <v>2768</v>
      </c>
      <c r="B56" s="689" t="e">
        <f>C48</f>
        <v>#DIV/0!</v>
      </c>
      <c r="C56" s="690">
        <v>1</v>
      </c>
      <c r="D56" s="1161">
        <v>1</v>
      </c>
      <c r="E56" s="690">
        <f>'数据-汇总表'!E8+'数据-汇总表'!E9</f>
        <v>2633.48</v>
      </c>
      <c r="F56" s="1101" t="e">
        <f t="shared" ref="F56:F65" si="15">ROUND(B56*E56/10000,0)</f>
        <v>#DIV/0!</v>
      </c>
      <c r="G56" s="3209"/>
      <c r="H56" s="3198"/>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262"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262"/>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262"/>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262"/>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2633.48</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2" t="s">
        <v>2783</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23" t="s">
        <v>2648</v>
      </c>
      <c r="S4" s="3224"/>
      <c r="T4" s="3223" t="s">
        <v>2649</v>
      </c>
      <c r="U4" s="3224"/>
      <c r="V4" s="3229" t="s">
        <v>2650</v>
      </c>
      <c r="W4" s="3229"/>
      <c r="X4" s="1811"/>
      <c r="Y4" s="3223" t="s">
        <v>2652</v>
      </c>
      <c r="Z4" s="3224"/>
      <c r="AA4" s="3210" t="s">
        <v>2648</v>
      </c>
      <c r="AB4" s="3211" t="s">
        <v>2649</v>
      </c>
      <c r="AC4" s="3210" t="s">
        <v>2650</v>
      </c>
    </row>
    <row r="5" spans="1:29" ht="15">
      <c r="A5" s="404"/>
      <c r="B5" s="405"/>
      <c r="C5" s="3232" t="s">
        <v>2543</v>
      </c>
      <c r="D5" s="3233"/>
      <c r="E5" s="3239" t="s">
        <v>2544</v>
      </c>
      <c r="F5" s="3240"/>
      <c r="G5" s="3232" t="s">
        <v>2545</v>
      </c>
      <c r="H5" s="3233"/>
      <c r="I5" s="3232" t="s">
        <v>2546</v>
      </c>
      <c r="J5" s="3233"/>
      <c r="K5" s="610"/>
      <c r="L5" s="1128"/>
      <c r="M5" s="1129"/>
      <c r="N5" s="1129"/>
      <c r="O5" s="1129"/>
      <c r="P5" s="3219"/>
      <c r="Q5" s="3220"/>
      <c r="R5" s="3225"/>
      <c r="S5" s="3226"/>
      <c r="T5" s="3225"/>
      <c r="U5" s="3226"/>
      <c r="V5" s="3229"/>
      <c r="W5" s="3229"/>
      <c r="X5" s="1811"/>
      <c r="Y5" s="3225"/>
      <c r="Z5" s="3226"/>
      <c r="AA5" s="3211"/>
      <c r="AB5" s="3211"/>
      <c r="AC5" s="3211"/>
    </row>
    <row r="6" spans="1:29" ht="15.75" thickBot="1">
      <c r="A6" s="406"/>
      <c r="B6" s="407"/>
      <c r="C6" s="3263" t="s">
        <v>2798</v>
      </c>
      <c r="D6" s="3264"/>
      <c r="E6" s="3265" t="s">
        <v>2798</v>
      </c>
      <c r="F6" s="3266"/>
      <c r="G6" s="3263" t="s">
        <v>2798</v>
      </c>
      <c r="H6" s="3264"/>
      <c r="I6" s="3263" t="s">
        <v>2798</v>
      </c>
      <c r="J6" s="3264"/>
      <c r="K6" s="610" t="s">
        <v>2548</v>
      </c>
      <c r="L6" s="1128"/>
      <c r="M6" s="1129"/>
      <c r="N6" s="1129"/>
      <c r="O6" s="1129"/>
      <c r="P6" s="3221"/>
      <c r="Q6" s="3222"/>
      <c r="R6" s="3225"/>
      <c r="S6" s="3226"/>
      <c r="T6" s="3227"/>
      <c r="U6" s="3228"/>
      <c r="V6" s="3229"/>
      <c r="W6" s="3229"/>
      <c r="X6" s="1811"/>
      <c r="Y6" s="3227"/>
      <c r="Z6" s="3228"/>
      <c r="AA6" s="3212"/>
      <c r="AB6" s="3212"/>
      <c r="AC6" s="3212"/>
    </row>
    <row r="7" spans="1:29" s="117" customFormat="1" ht="15.75" thickBot="1">
      <c r="A7" s="408" t="s">
        <v>2549</v>
      </c>
      <c r="B7" s="409"/>
      <c r="C7" s="410">
        <f>'数据-取费表'!B2</f>
        <v>43690</v>
      </c>
      <c r="D7" s="411">
        <v>100</v>
      </c>
      <c r="E7" s="412"/>
      <c r="F7" s="413">
        <f>SUMIF(65:65,YEAR(E7)&amp;"-"&amp;INT((MONTH(E7)+2)/3),66:66)</f>
        <v>0</v>
      </c>
      <c r="G7" s="2697"/>
      <c r="H7" s="411">
        <f>SUMIF(65:65,YEAR(G7)&amp;"-"&amp;INT((MONTH(G7)+2)/3),66:66)</f>
        <v>0</v>
      </c>
      <c r="I7" s="2697"/>
      <c r="J7" s="411">
        <f>SUMIF(65:65,YEAR(I7)&amp;"-"&amp;INT((MONTH(I7)+2)/3),66:66)</f>
        <v>0</v>
      </c>
      <c r="K7" s="611"/>
      <c r="L7" s="1130"/>
      <c r="M7" s="1131"/>
      <c r="N7" s="1131"/>
      <c r="O7" s="1131"/>
      <c r="P7" s="3234" t="s">
        <v>2550</v>
      </c>
      <c r="Q7" s="3236"/>
      <c r="R7" s="768" t="s">
        <v>17</v>
      </c>
      <c r="S7" s="769">
        <f t="shared" ref="S7:S15" si="0">F7</f>
        <v>0</v>
      </c>
      <c r="T7" s="768" t="s">
        <v>17</v>
      </c>
      <c r="U7" s="769">
        <f t="shared" ref="U7:U15" si="1">H7</f>
        <v>0</v>
      </c>
      <c r="V7" s="768" t="s">
        <v>17</v>
      </c>
      <c r="W7" s="769">
        <f t="shared" ref="W7:W15" si="2">J7</f>
        <v>0</v>
      </c>
      <c r="X7" s="770"/>
      <c r="Y7" s="3234" t="s">
        <v>2550</v>
      </c>
      <c r="Z7" s="3235"/>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34" t="s">
        <v>2553</v>
      </c>
      <c r="Q8" s="3235"/>
      <c r="R8" s="768" t="s">
        <v>17</v>
      </c>
      <c r="S8" s="769">
        <f t="shared" si="0"/>
        <v>0</v>
      </c>
      <c r="T8" s="768" t="s">
        <v>17</v>
      </c>
      <c r="U8" s="769">
        <f t="shared" si="1"/>
        <v>0</v>
      </c>
      <c r="V8" s="768" t="s">
        <v>17</v>
      </c>
      <c r="W8" s="769">
        <f t="shared" si="2"/>
        <v>0</v>
      </c>
      <c r="X8" s="770"/>
      <c r="Y8" s="3234" t="s">
        <v>2553</v>
      </c>
      <c r="Z8" s="3235"/>
      <c r="AA8" s="771" t="e">
        <f t="shared" ref="AA8:AA40" si="3">D8/F8</f>
        <v>#DIV/0!</v>
      </c>
      <c r="AB8" s="771" t="e">
        <f t="shared" ref="AB8:AB40" si="4">D8/H8</f>
        <v>#DIV/0!</v>
      </c>
      <c r="AC8" s="771"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198" t="s">
        <v>2556</v>
      </c>
      <c r="Q9" s="1793" t="str">
        <f t="shared" ref="Q9:Q15" si="6">B9</f>
        <v>用途</v>
      </c>
      <c r="R9" s="768" t="s">
        <v>17</v>
      </c>
      <c r="S9" s="769">
        <f t="shared" si="0"/>
        <v>100</v>
      </c>
      <c r="T9" s="768" t="s">
        <v>17</v>
      </c>
      <c r="U9" s="769">
        <f t="shared" si="1"/>
        <v>100</v>
      </c>
      <c r="V9" s="768" t="s">
        <v>17</v>
      </c>
      <c r="W9" s="769">
        <f t="shared" si="2"/>
        <v>100</v>
      </c>
      <c r="X9" s="770"/>
      <c r="Y9" s="3023"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3"/>
      <c r="M10" s="1134"/>
      <c r="N10" s="1134"/>
      <c r="O10" s="1135"/>
      <c r="P10" s="3198"/>
      <c r="Q10" s="1793" t="str">
        <f t="shared" si="6"/>
        <v>土地使用年限（年）</v>
      </c>
      <c r="R10" s="768" t="s">
        <v>17</v>
      </c>
      <c r="S10" s="769">
        <f t="shared" si="0"/>
        <v>107</v>
      </c>
      <c r="T10" s="768" t="s">
        <v>17</v>
      </c>
      <c r="U10" s="769">
        <f t="shared" si="1"/>
        <v>107</v>
      </c>
      <c r="V10" s="768" t="s">
        <v>17</v>
      </c>
      <c r="W10" s="769">
        <f t="shared" si="2"/>
        <v>107</v>
      </c>
      <c r="X10" s="770"/>
      <c r="Y10" s="3023"/>
      <c r="Z10" s="55" t="str">
        <f t="shared" si="7"/>
        <v>土地使用年限（年）</v>
      </c>
      <c r="AA10" s="771">
        <f t="shared" si="3"/>
        <v>0.93457943925233644</v>
      </c>
      <c r="AB10" s="771">
        <f t="shared" si="4"/>
        <v>0.93457943925233644</v>
      </c>
      <c r="AC10" s="771">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8"/>
      <c r="Q11" s="1793"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8"/>
      <c r="Q12" s="1793">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8"/>
      <c r="Q13" s="1793">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8"/>
      <c r="Q14" s="1793">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00" t="s">
        <v>2561</v>
      </c>
      <c r="Q15" s="1808" t="str">
        <f t="shared" si="6"/>
        <v>产业集聚程度</v>
      </c>
      <c r="R15" s="772" t="s">
        <v>17</v>
      </c>
      <c r="S15" s="773">
        <f t="shared" si="0"/>
        <v>100</v>
      </c>
      <c r="T15" s="772" t="s">
        <v>17</v>
      </c>
      <c r="U15" s="773">
        <f t="shared" si="1"/>
        <v>100</v>
      </c>
      <c r="V15" s="772" t="s">
        <v>17</v>
      </c>
      <c r="W15" s="773">
        <f t="shared" si="2"/>
        <v>100</v>
      </c>
      <c r="X15" s="1811"/>
      <c r="Y15" s="3200"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38"/>
      <c r="M16" s="1129"/>
      <c r="N16" s="1129"/>
      <c r="O16" s="1137"/>
      <c r="P16" s="3201"/>
      <c r="Q16" s="1808"/>
      <c r="R16" s="772"/>
      <c r="S16" s="773"/>
      <c r="T16" s="772"/>
      <c r="U16" s="773"/>
      <c r="V16" s="772"/>
      <c r="W16" s="773"/>
      <c r="X16" s="1811"/>
      <c r="Y16" s="3201"/>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01"/>
      <c r="Q17" s="1808" t="str">
        <f>B17</f>
        <v>交通便捷度</v>
      </c>
      <c r="R17" s="772" t="s">
        <v>17</v>
      </c>
      <c r="S17" s="773">
        <f>F17</f>
        <v>100</v>
      </c>
      <c r="T17" s="772" t="s">
        <v>17</v>
      </c>
      <c r="U17" s="773">
        <f>H17</f>
        <v>100</v>
      </c>
      <c r="V17" s="772" t="s">
        <v>17</v>
      </c>
      <c r="W17" s="773">
        <f>J17</f>
        <v>100</v>
      </c>
      <c r="X17" s="1811"/>
      <c r="Y17" s="3201"/>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38"/>
      <c r="M18" s="1129"/>
      <c r="N18" s="1129"/>
      <c r="O18" s="1137"/>
      <c r="P18" s="3201"/>
      <c r="Q18" s="1808"/>
      <c r="R18" s="772"/>
      <c r="S18" s="773"/>
      <c r="T18" s="772"/>
      <c r="U18" s="773"/>
      <c r="V18" s="772"/>
      <c r="W18" s="773"/>
      <c r="X18" s="1811"/>
      <c r="Y18" s="3201"/>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01"/>
      <c r="Q19" s="1808" t="str">
        <f t="shared" ref="Q19:Q33" si="8">B19</f>
        <v>区域土地利用方向</v>
      </c>
      <c r="R19" s="772" t="s">
        <v>17</v>
      </c>
      <c r="S19" s="773">
        <f>F19</f>
        <v>100</v>
      </c>
      <c r="T19" s="772" t="s">
        <v>17</v>
      </c>
      <c r="U19" s="773">
        <f>H19</f>
        <v>100</v>
      </c>
      <c r="V19" s="772" t="s">
        <v>17</v>
      </c>
      <c r="W19" s="773">
        <f>J19</f>
        <v>100</v>
      </c>
      <c r="X19" s="1811"/>
      <c r="Y19" s="3201"/>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38"/>
      <c r="M20" s="1129"/>
      <c r="N20" s="1129"/>
      <c r="O20" s="1137"/>
      <c r="P20" s="3201"/>
      <c r="Q20" s="1808"/>
      <c r="R20" s="772"/>
      <c r="S20" s="773"/>
      <c r="T20" s="772"/>
      <c r="U20" s="773"/>
      <c r="V20" s="772"/>
      <c r="W20" s="773"/>
      <c r="X20" s="1811"/>
      <c r="Y20" s="3201"/>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01"/>
      <c r="Q21" s="1808" t="str">
        <f t="shared" si="8"/>
        <v>环境状况</v>
      </c>
      <c r="R21" s="772" t="s">
        <v>17</v>
      </c>
      <c r="S21" s="773">
        <f>F21</f>
        <v>100</v>
      </c>
      <c r="T21" s="772" t="s">
        <v>17</v>
      </c>
      <c r="U21" s="773">
        <f>H21</f>
        <v>100</v>
      </c>
      <c r="V21" s="772" t="s">
        <v>17</v>
      </c>
      <c r="W21" s="773">
        <f>J21</f>
        <v>100</v>
      </c>
      <c r="X21" s="1811"/>
      <c r="Y21" s="3201"/>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38"/>
      <c r="M22" s="1129"/>
      <c r="N22" s="1129"/>
      <c r="O22" s="1137"/>
      <c r="P22" s="3201"/>
      <c r="Q22" s="1808"/>
      <c r="R22" s="772"/>
      <c r="S22" s="773"/>
      <c r="T22" s="772"/>
      <c r="U22" s="773"/>
      <c r="V22" s="772"/>
      <c r="W22" s="773"/>
      <c r="X22" s="1811"/>
      <c r="Y22" s="3201"/>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01"/>
      <c r="Q23" s="1793" t="str">
        <f t="shared" si="8"/>
        <v>公共配套设施</v>
      </c>
      <c r="R23" s="768" t="s">
        <v>17</v>
      </c>
      <c r="S23" s="769">
        <f>F23</f>
        <v>100</v>
      </c>
      <c r="T23" s="768" t="s">
        <v>17</v>
      </c>
      <c r="U23" s="769">
        <f>H23</f>
        <v>100</v>
      </c>
      <c r="V23" s="768" t="s">
        <v>17</v>
      </c>
      <c r="W23" s="769">
        <f>J23</f>
        <v>100</v>
      </c>
      <c r="X23" s="770"/>
      <c r="Y23" s="3201"/>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0"/>
      <c r="M24" s="1131"/>
      <c r="N24" s="1131"/>
      <c r="O24" s="1132"/>
      <c r="P24" s="3201"/>
      <c r="Q24" s="1793"/>
      <c r="R24" s="768"/>
      <c r="S24" s="769"/>
      <c r="T24" s="768"/>
      <c r="U24" s="769"/>
      <c r="V24" s="768"/>
      <c r="W24" s="769"/>
      <c r="X24" s="770"/>
      <c r="Y24" s="3201"/>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01"/>
      <c r="Q25" s="1793" t="str">
        <f t="shared" ref="Q25" si="9">B25</f>
        <v>基础设施水平</v>
      </c>
      <c r="R25" s="768" t="s">
        <v>17</v>
      </c>
      <c r="S25" s="769">
        <f>F25</f>
        <v>100</v>
      </c>
      <c r="T25" s="768" t="s">
        <v>17</v>
      </c>
      <c r="U25" s="769">
        <f>H25</f>
        <v>100</v>
      </c>
      <c r="V25" s="768" t="s">
        <v>17</v>
      </c>
      <c r="W25" s="769">
        <f>J25</f>
        <v>100</v>
      </c>
      <c r="X25" s="770"/>
      <c r="Y25" s="3201"/>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0"/>
      <c r="M26" s="1131"/>
      <c r="N26" s="1131"/>
      <c r="O26" s="1132"/>
      <c r="P26" s="3201"/>
      <c r="Q26" s="1793"/>
      <c r="R26" s="768"/>
      <c r="S26" s="769"/>
      <c r="T26" s="768"/>
      <c r="U26" s="769"/>
      <c r="V26" s="768"/>
      <c r="W26" s="769"/>
      <c r="X26" s="770"/>
      <c r="Y26" s="3201"/>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0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1"/>
      <c r="Z27" s="1812" t="str">
        <f t="shared" ref="Z27:Z40" si="13">Q27</f>
        <v>临街状况</v>
      </c>
      <c r="AA27" s="1809">
        <f t="shared" si="3"/>
        <v>1</v>
      </c>
      <c r="AB27" s="1809">
        <f t="shared" si="4"/>
        <v>1</v>
      </c>
      <c r="AC27" s="1809">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01"/>
      <c r="Q28" s="1808" t="str">
        <f t="shared" si="8"/>
        <v>毗邻道路的类型与等级</v>
      </c>
      <c r="R28" s="772" t="s">
        <v>17</v>
      </c>
      <c r="S28" s="773">
        <f t="shared" si="10"/>
        <v>100</v>
      </c>
      <c r="T28" s="772" t="s">
        <v>17</v>
      </c>
      <c r="U28" s="773">
        <f t="shared" si="11"/>
        <v>100</v>
      </c>
      <c r="V28" s="772" t="s">
        <v>17</v>
      </c>
      <c r="W28" s="773">
        <f t="shared" si="12"/>
        <v>100</v>
      </c>
      <c r="X28" s="1811"/>
      <c r="Y28" s="3201"/>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38"/>
      <c r="M29" s="1129"/>
      <c r="N29" s="1129"/>
      <c r="O29" s="1137"/>
      <c r="P29" s="3201"/>
      <c r="Q29" s="1808"/>
      <c r="R29" s="772"/>
      <c r="S29" s="773"/>
      <c r="T29" s="772"/>
      <c r="U29" s="773"/>
      <c r="V29" s="772"/>
      <c r="W29" s="773"/>
      <c r="X29" s="1811"/>
      <c r="Y29" s="3201"/>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01"/>
      <c r="Q30" s="1808" t="str">
        <f t="shared" si="8"/>
        <v>土地级别</v>
      </c>
      <c r="R30" s="772" t="s">
        <v>17</v>
      </c>
      <c r="S30" s="773">
        <f t="shared" si="10"/>
        <v>100</v>
      </c>
      <c r="T30" s="772" t="s">
        <v>17</v>
      </c>
      <c r="U30" s="773">
        <f t="shared" si="11"/>
        <v>100</v>
      </c>
      <c r="V30" s="772" t="s">
        <v>17</v>
      </c>
      <c r="W30" s="773">
        <f t="shared" si="12"/>
        <v>100</v>
      </c>
      <c r="X30" s="1811"/>
      <c r="Y30" s="3201"/>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01"/>
      <c r="Q31" s="1808">
        <f t="shared" si="8"/>
        <v>111</v>
      </c>
      <c r="R31" s="772" t="s">
        <v>17</v>
      </c>
      <c r="S31" s="773">
        <f t="shared" si="10"/>
        <v>100</v>
      </c>
      <c r="T31" s="772" t="s">
        <v>17</v>
      </c>
      <c r="U31" s="773">
        <f t="shared" si="11"/>
        <v>100</v>
      </c>
      <c r="V31" s="772" t="s">
        <v>17</v>
      </c>
      <c r="W31" s="773">
        <f t="shared" si="12"/>
        <v>100</v>
      </c>
      <c r="X31" s="1811"/>
      <c r="Y31" s="3201"/>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8" t="s">
        <v>2566</v>
      </c>
      <c r="Q32" s="1808">
        <f t="shared" si="8"/>
        <v>111</v>
      </c>
      <c r="R32" s="772" t="s">
        <v>17</v>
      </c>
      <c r="S32" s="773">
        <f t="shared" si="10"/>
        <v>100</v>
      </c>
      <c r="T32" s="772" t="s">
        <v>17</v>
      </c>
      <c r="U32" s="773">
        <f t="shared" si="11"/>
        <v>100</v>
      </c>
      <c r="V32" s="772" t="s">
        <v>17</v>
      </c>
      <c r="W32" s="773">
        <f t="shared" si="12"/>
        <v>100</v>
      </c>
      <c r="X32" s="1811"/>
      <c r="Y32" s="3205" t="s">
        <v>2566</v>
      </c>
      <c r="Z32" s="1812">
        <f t="shared" si="13"/>
        <v>111</v>
      </c>
      <c r="AA32" s="1809">
        <f t="shared" si="3"/>
        <v>1</v>
      </c>
      <c r="AB32" s="1809">
        <f t="shared" si="4"/>
        <v>1</v>
      </c>
      <c r="AC32" s="1809">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05"/>
      <c r="Q33" s="1808">
        <f t="shared" si="8"/>
        <v>111</v>
      </c>
      <c r="R33" s="775" t="s">
        <v>17</v>
      </c>
      <c r="S33" s="776">
        <f t="shared" si="10"/>
        <v>100</v>
      </c>
      <c r="T33" s="775" t="s">
        <v>17</v>
      </c>
      <c r="U33" s="776">
        <f t="shared" si="11"/>
        <v>100</v>
      </c>
      <c r="V33" s="775" t="s">
        <v>17</v>
      </c>
      <c r="W33" s="776">
        <f t="shared" si="12"/>
        <v>100</v>
      </c>
      <c r="X33" s="777"/>
      <c r="Y33" s="3205"/>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05"/>
      <c r="Q34" s="1808" t="str">
        <f>B34</f>
        <v>宗地面积</v>
      </c>
      <c r="R34" s="772" t="s">
        <v>17</v>
      </c>
      <c r="S34" s="773" t="e">
        <f t="shared" si="10"/>
        <v>#N/A</v>
      </c>
      <c r="T34" s="772" t="s">
        <v>17</v>
      </c>
      <c r="U34" s="773" t="e">
        <f t="shared" si="11"/>
        <v>#N/A</v>
      </c>
      <c r="V34" s="772" t="s">
        <v>17</v>
      </c>
      <c r="W34" s="773" t="e">
        <f t="shared" si="12"/>
        <v>#N/A</v>
      </c>
      <c r="X34" s="1811"/>
      <c r="Y34" s="3205"/>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8"/>
      <c r="M35" s="1129"/>
      <c r="N35" s="1129"/>
      <c r="O35" s="1137"/>
      <c r="P35" s="3205"/>
      <c r="Q35" s="1808" t="str">
        <f t="shared" ref="Q35:Q40" si="14">B35</f>
        <v>宗地形状</v>
      </c>
      <c r="R35" s="772" t="s">
        <v>17</v>
      </c>
      <c r="S35" s="773">
        <f t="shared" si="10"/>
        <v>100</v>
      </c>
      <c r="T35" s="772" t="s">
        <v>17</v>
      </c>
      <c r="U35" s="773">
        <f t="shared" si="11"/>
        <v>100</v>
      </c>
      <c r="V35" s="772" t="s">
        <v>17</v>
      </c>
      <c r="W35" s="773">
        <f t="shared" si="12"/>
        <v>100</v>
      </c>
      <c r="X35" s="1811"/>
      <c r="Y35" s="3205"/>
      <c r="Z35" s="1812" t="str">
        <f t="shared" si="13"/>
        <v>宗地形状</v>
      </c>
      <c r="AA35" s="1809">
        <f t="shared" si="3"/>
        <v>1</v>
      </c>
      <c r="AB35" s="1809">
        <f t="shared" si="4"/>
        <v>1</v>
      </c>
      <c r="AC35" s="1809">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0"/>
      <c r="M36" s="1131"/>
      <c r="N36" s="1131"/>
      <c r="O36" s="1132"/>
      <c r="P36" s="3205"/>
      <c r="Q36" s="1808" t="str">
        <f t="shared" si="14"/>
        <v>宗地开发程度</v>
      </c>
      <c r="R36" s="768" t="s">
        <v>17</v>
      </c>
      <c r="S36" s="769">
        <f t="shared" si="10"/>
        <v>100</v>
      </c>
      <c r="T36" s="768" t="s">
        <v>17</v>
      </c>
      <c r="U36" s="769">
        <f t="shared" si="11"/>
        <v>100</v>
      </c>
      <c r="V36" s="768" t="s">
        <v>17</v>
      </c>
      <c r="W36" s="769">
        <f t="shared" si="12"/>
        <v>100</v>
      </c>
      <c r="X36" s="770"/>
      <c r="Y36" s="3205"/>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8"/>
      <c r="M37" s="1129"/>
      <c r="N37" s="1129"/>
      <c r="O37" s="1137"/>
      <c r="P37" s="3205" t="s">
        <v>2566</v>
      </c>
      <c r="Q37" s="1808" t="str">
        <f t="shared" si="14"/>
        <v>工程地质条件</v>
      </c>
      <c r="R37" s="772" t="s">
        <v>17</v>
      </c>
      <c r="S37" s="773">
        <f t="shared" si="10"/>
        <v>100</v>
      </c>
      <c r="T37" s="772" t="s">
        <v>17</v>
      </c>
      <c r="U37" s="773">
        <f t="shared" si="11"/>
        <v>100</v>
      </c>
      <c r="V37" s="772" t="s">
        <v>17</v>
      </c>
      <c r="W37" s="773">
        <f t="shared" si="12"/>
        <v>100</v>
      </c>
      <c r="X37" s="1811"/>
      <c r="Y37" s="3205"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05"/>
      <c r="Q38" s="1808">
        <f t="shared" si="14"/>
        <v>111</v>
      </c>
      <c r="R38" s="772" t="s">
        <v>17</v>
      </c>
      <c r="S38" s="773">
        <f t="shared" si="10"/>
        <v>100</v>
      </c>
      <c r="T38" s="772" t="s">
        <v>17</v>
      </c>
      <c r="U38" s="773">
        <f t="shared" si="11"/>
        <v>100</v>
      </c>
      <c r="V38" s="772" t="s">
        <v>17</v>
      </c>
      <c r="W38" s="773">
        <f t="shared" si="12"/>
        <v>100</v>
      </c>
      <c r="X38" s="1811"/>
      <c r="Y38" s="3205"/>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05"/>
      <c r="Q39" s="1808">
        <f t="shared" si="14"/>
        <v>111</v>
      </c>
      <c r="R39" s="772" t="s">
        <v>17</v>
      </c>
      <c r="S39" s="773">
        <f t="shared" si="10"/>
        <v>100</v>
      </c>
      <c r="T39" s="772" t="s">
        <v>17</v>
      </c>
      <c r="U39" s="773">
        <f t="shared" si="11"/>
        <v>100</v>
      </c>
      <c r="V39" s="772" t="s">
        <v>17</v>
      </c>
      <c r="W39" s="773">
        <f t="shared" si="12"/>
        <v>100</v>
      </c>
      <c r="X39" s="1811"/>
      <c r="Y39" s="3205"/>
      <c r="Z39" s="1812">
        <f t="shared" si="13"/>
        <v>111</v>
      </c>
      <c r="AA39" s="1809">
        <f t="shared" si="3"/>
        <v>1</v>
      </c>
      <c r="AB39" s="1809">
        <f t="shared" si="4"/>
        <v>1</v>
      </c>
      <c r="AC39" s="1809">
        <f t="shared" si="5"/>
        <v>1</v>
      </c>
    </row>
    <row r="40" spans="1:29" s="471" customFormat="1" ht="15.75"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05"/>
      <c r="Q40" s="1808">
        <f t="shared" si="14"/>
        <v>111</v>
      </c>
      <c r="R40" s="775" t="s">
        <v>17</v>
      </c>
      <c r="S40" s="776">
        <f t="shared" si="10"/>
        <v>100</v>
      </c>
      <c r="T40" s="775" t="s">
        <v>17</v>
      </c>
      <c r="U40" s="776">
        <f t="shared" si="11"/>
        <v>100</v>
      </c>
      <c r="V40" s="775" t="s">
        <v>17</v>
      </c>
      <c r="W40" s="776">
        <f t="shared" si="12"/>
        <v>100</v>
      </c>
      <c r="X40" s="777"/>
      <c r="Y40" s="3205"/>
      <c r="Z40" s="778">
        <f t="shared" si="13"/>
        <v>111</v>
      </c>
      <c r="AA40" s="1809">
        <f t="shared" si="3"/>
        <v>1</v>
      </c>
      <c r="AB40" s="1809">
        <f t="shared" si="4"/>
        <v>1</v>
      </c>
      <c r="AC40" s="1809">
        <f t="shared" si="5"/>
        <v>1</v>
      </c>
    </row>
    <row r="41" spans="1:29" ht="15">
      <c r="A41" s="479" t="s">
        <v>2721</v>
      </c>
      <c r="B41" s="2705" t="s">
        <v>2801</v>
      </c>
      <c r="C41" s="682" t="s">
        <v>1</v>
      </c>
      <c r="D41" s="481"/>
      <c r="E41" s="482"/>
      <c r="F41" s="483"/>
      <c r="G41" s="484"/>
      <c r="H41" s="485"/>
      <c r="I41" s="482"/>
      <c r="J41" s="485"/>
      <c r="K41" s="781"/>
      <c r="L41" s="1141"/>
      <c r="M41" s="1129"/>
      <c r="N41" s="1129"/>
      <c r="O41" s="1142"/>
      <c r="P41" s="3198" t="str">
        <f>A41</f>
        <v>成交单价</v>
      </c>
      <c r="Q41" s="3198"/>
      <c r="R41" s="3229">
        <f>E41</f>
        <v>0</v>
      </c>
      <c r="S41" s="3229"/>
      <c r="T41" s="3229">
        <f>G41</f>
        <v>0</v>
      </c>
      <c r="U41" s="3229"/>
      <c r="V41" s="3229">
        <f>I41</f>
        <v>0</v>
      </c>
      <c r="W41" s="3229"/>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198" t="str">
        <f>A42</f>
        <v>比较价值（元/平方米）</v>
      </c>
      <c r="Q42" s="3198"/>
      <c r="R42" s="3259" t="e">
        <f>ROUND(PRODUCT(R41,AA7:AA40),0)</f>
        <v>#DIV/0!</v>
      </c>
      <c r="S42" s="3259"/>
      <c r="T42" s="3259" t="e">
        <f>ROUND(PRODUCT(T41,AB7:AB40),0)</f>
        <v>#DIV/0!</v>
      </c>
      <c r="U42" s="3259"/>
      <c r="V42" s="3259" t="e">
        <f>ROUND(PRODUCT(V41,AC7:AC40),0)</f>
        <v>#DIV/0!</v>
      </c>
      <c r="W42" s="3259"/>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195" t="str">
        <f>A43</f>
        <v>估价对象XX用房的比较价值（楼面单价，元/平方米）</v>
      </c>
      <c r="Q43" s="3196"/>
      <c r="R43" s="3260" t="e">
        <f>ROUND(AVERAGE(R42:V42),0)</f>
        <v>#DIV/0!</v>
      </c>
      <c r="S43" s="3260"/>
      <c r="T43" s="3260"/>
      <c r="U43" s="3260"/>
      <c r="V43" s="3260"/>
      <c r="W43" s="326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6" t="s">
        <v>2761</v>
      </c>
      <c r="D50" s="2707" t="s">
        <v>2762</v>
      </c>
      <c r="E50" s="686" t="s">
        <v>2763</v>
      </c>
      <c r="F50" s="687" t="s">
        <v>2764</v>
      </c>
      <c r="G50" s="3213" t="s">
        <v>2765</v>
      </c>
      <c r="H50" s="3261"/>
      <c r="I50" s="1812" t="s">
        <v>2802</v>
      </c>
      <c r="J50" s="1812">
        <f>项目基本情况!F35</f>
        <v>0</v>
      </c>
      <c r="K50" s="2709" t="s">
        <v>2767</v>
      </c>
      <c r="L50" s="1104"/>
      <c r="M50" s="1142"/>
      <c r="N50" s="1142"/>
      <c r="O50" s="1142"/>
    </row>
    <row r="51" spans="1:17" s="692" customFormat="1">
      <c r="A51" s="688" t="s">
        <v>2768</v>
      </c>
      <c r="B51" s="689" t="e">
        <f>C43</f>
        <v>#DIV/0!</v>
      </c>
      <c r="C51" s="690">
        <v>1</v>
      </c>
      <c r="D51" s="1161">
        <v>1</v>
      </c>
      <c r="E51" s="690">
        <f>'数据-汇总表'!E8+'数据-汇总表'!E9</f>
        <v>2633.48</v>
      </c>
      <c r="F51" s="691" t="e">
        <f t="shared" ref="F51:F60" si="15">ROUND(B51*E51/10000,0)</f>
        <v>#DIV/0!</v>
      </c>
      <c r="G51" s="3209"/>
      <c r="H51" s="3198"/>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262"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262"/>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262"/>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262"/>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0"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0</v>
      </c>
      <c r="F59" s="691" t="e">
        <f t="shared" si="15"/>
        <v>#DIV/0!</v>
      </c>
      <c r="G59" s="2710"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1"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3030.4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2" t="s">
        <v>2783</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2" t="s">
        <v>2820</v>
      </c>
      <c r="D3" s="2723" t="s">
        <v>2821</v>
      </c>
      <c r="E3" s="2728"/>
      <c r="F3" s="2729" t="s">
        <v>2822</v>
      </c>
      <c r="G3" s="914">
        <f>IF(F3="宗地容积率",'数据-汇总表'!I4,IF(F3="估价对象容积率",'数据-汇总表'!I6,'数据-汇总表'!I7))</f>
        <v>0.87</v>
      </c>
      <c r="H3" s="198"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0"/>
      <c r="B4" s="3271"/>
      <c r="C4" s="3271"/>
      <c r="D4" s="3272"/>
      <c r="E4" s="3272"/>
      <c r="F4" s="3272"/>
      <c r="G4" s="3272"/>
      <c r="H4" s="3272"/>
      <c r="I4" s="3272"/>
      <c r="J4" s="3273"/>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5" t="e">
        <f>ROUND(IF(E2="商业",C6*C7+C16,(IF(E2="住宅",C6*C12+C16,C6+C16))),0)</f>
        <v>#DIV/0!</v>
      </c>
      <c r="D5" s="1785" t="e">
        <f>ROUND(C6+C16,0)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0"/>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4" t="str">
        <f>IF(E2="商业",IF(C8="不临58条商业街","",2),"")</f>
        <v/>
      </c>
      <c r="B7" s="2746" t="s">
        <v>2833</v>
      </c>
      <c r="C7" s="917" t="e">
        <f>IF(C8="不临58条商业街",1,ROUND(1+(1.6*E8+1.2*E9+0.8*E10+0.4*E11)*C9,4))</f>
        <v>#DIV/0!</v>
      </c>
      <c r="D7" s="2747" t="s">
        <v>2834</v>
      </c>
      <c r="E7" s="943"/>
      <c r="F7" s="2748"/>
      <c r="G7" s="2749"/>
      <c r="H7" s="2749"/>
      <c r="I7" s="2749"/>
      <c r="J7" s="2750"/>
      <c r="K7" s="1840"/>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0.87</v>
      </c>
      <c r="AA7" s="1604"/>
      <c r="AB7" s="1604"/>
      <c r="AC7" s="1605"/>
      <c r="AD7" s="1606"/>
      <c r="AE7" s="1606"/>
      <c r="AF7" s="1606"/>
      <c r="AG7" s="1606"/>
      <c r="AH7" s="1606"/>
      <c r="AI7" s="1606"/>
      <c r="AJ7" s="1607"/>
    </row>
    <row r="8" spans="1:36" ht="15">
      <c r="A8" s="3275"/>
      <c r="B8" s="198" t="s">
        <v>2838</v>
      </c>
      <c r="C8" s="2751"/>
      <c r="D8" s="918" t="s">
        <v>139</v>
      </c>
      <c r="E8" s="919"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7" t="s">
        <v>2841</v>
      </c>
      <c r="X8" s="3268"/>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5"/>
      <c r="B9" s="198" t="s">
        <v>2854</v>
      </c>
      <c r="C9" s="920">
        <f>SUMIF(修正!C59:C119,C8,修正!E59:E119)</f>
        <v>0</v>
      </c>
      <c r="D9" s="200" t="s">
        <v>140</v>
      </c>
      <c r="E9" s="200"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9"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5"/>
      <c r="B10" s="198" t="s">
        <v>2859</v>
      </c>
      <c r="C10" s="200">
        <f>SUMIF(修正!C59:C119,C8,修正!F59:F119)</f>
        <v>0</v>
      </c>
      <c r="D10" s="200" t="s">
        <v>141</v>
      </c>
      <c r="E10" s="200"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5"/>
      <c r="B11" s="2755" t="s">
        <v>2862</v>
      </c>
      <c r="C11" s="921">
        <f>C10/4</f>
        <v>0</v>
      </c>
      <c r="D11" s="921" t="s">
        <v>142</v>
      </c>
      <c r="E11" s="921"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9" t="s">
        <v>2865</v>
      </c>
      <c r="X11" s="1612" t="s">
        <v>2866</v>
      </c>
      <c r="Y11" s="1613">
        <f>$G$3</f>
        <v>0.87</v>
      </c>
      <c r="Z11" s="1613">
        <f t="shared" ref="Z11:AJ11" si="3">$G$3</f>
        <v>0.87</v>
      </c>
      <c r="AA11" s="1613">
        <f t="shared" si="3"/>
        <v>0.87</v>
      </c>
      <c r="AB11" s="1613">
        <f t="shared" si="3"/>
        <v>0.87</v>
      </c>
      <c r="AC11" s="1613">
        <f t="shared" si="3"/>
        <v>0.87</v>
      </c>
      <c r="AD11" s="1613">
        <f t="shared" si="3"/>
        <v>0.87</v>
      </c>
      <c r="AE11" s="1613">
        <f t="shared" si="3"/>
        <v>0.87</v>
      </c>
      <c r="AF11" s="1613">
        <f t="shared" si="3"/>
        <v>0.87</v>
      </c>
      <c r="AG11" s="1613">
        <f t="shared" si="3"/>
        <v>0.87</v>
      </c>
      <c r="AH11" s="1613">
        <f t="shared" si="3"/>
        <v>0.87</v>
      </c>
      <c r="AI11" s="1613">
        <f t="shared" si="3"/>
        <v>0.87</v>
      </c>
      <c r="AJ11" s="1613">
        <f t="shared" si="3"/>
        <v>0.87</v>
      </c>
    </row>
    <row r="12" spans="1:36" ht="25.5" thickBot="1">
      <c r="A12" s="3274" t="s">
        <v>2867</v>
      </c>
      <c r="B12" s="2759" t="s">
        <v>2868</v>
      </c>
      <c r="C12" s="917">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9"/>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6"/>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69"/>
      <c r="X13" s="1614"/>
      <c r="Y13" s="1611">
        <f>(-0.163*(Y12^2)-0.59*Y12+7617)*(10^(-4))/Y11</f>
        <v>0.87551724137931042</v>
      </c>
      <c r="Z13" s="1611">
        <f t="shared" ref="Z13:AJ13" si="5">(-0.163*(Z12^2)-0.59*Z12+7617)*(10^(-4))/Z11</f>
        <v>0.87551724137931042</v>
      </c>
      <c r="AA13" s="1611">
        <f t="shared" si="5"/>
        <v>0.87551724137931042</v>
      </c>
      <c r="AB13" s="1611">
        <f t="shared" si="5"/>
        <v>0.87551724137931042</v>
      </c>
      <c r="AC13" s="1611">
        <f t="shared" si="5"/>
        <v>0.87551724137931042</v>
      </c>
      <c r="AD13" s="1611">
        <f t="shared" si="5"/>
        <v>0.87551724137931042</v>
      </c>
      <c r="AE13" s="1611">
        <f t="shared" si="5"/>
        <v>0.87551724137931042</v>
      </c>
      <c r="AF13" s="1611">
        <f t="shared" si="5"/>
        <v>0.87551724137931042</v>
      </c>
      <c r="AG13" s="1611">
        <f t="shared" si="5"/>
        <v>0.87551724137931042</v>
      </c>
      <c r="AH13" s="1611">
        <f t="shared" si="5"/>
        <v>0.87551724137931042</v>
      </c>
      <c r="AI13" s="1611">
        <f t="shared" si="5"/>
        <v>0.87551724137931042</v>
      </c>
      <c r="AJ13" s="1611">
        <f t="shared" si="5"/>
        <v>0.87551724137931042</v>
      </c>
    </row>
    <row r="14" spans="1:36" ht="15">
      <c r="A14" s="3276"/>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7"/>
      <c r="B15" s="2777"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4" t="s">
        <v>2884</v>
      </c>
      <c r="B16" s="2746" t="s">
        <v>2885</v>
      </c>
      <c r="C16" s="2933" t="e">
        <f>ROUND(IF(F17="与级别开发程度一致",0,(G17-E17)/C17),0)</f>
        <v>#DIV/0!</v>
      </c>
      <c r="D16" s="3288" t="s">
        <v>2889</v>
      </c>
      <c r="E16" s="3289"/>
      <c r="F16" s="3288" t="s">
        <v>2886</v>
      </c>
      <c r="G16" s="3289"/>
      <c r="H16" s="2780"/>
      <c r="I16" s="2780"/>
      <c r="J16" s="2937"/>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8"/>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8" t="s">
        <v>808</v>
      </c>
      <c r="B18" s="2939" t="s">
        <v>2891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2892</v>
      </c>
      <c r="C19" s="922" t="e">
        <f>ROUND(IF(H19="按公示增长率计算",SUMPRODUCT((地价!A3:A27=YEAR(G19)&amp;"-"&amp;ROUNDUP(MONTH(G19)/3,0))*(地价!X2:AB2=E2)*(地价!X3:AB27)),IF(H19="地价指数",M20/M19,(1+I19)^O19)),4)</f>
        <v>#VALUE!</v>
      </c>
      <c r="D19" s="2790" t="s">
        <v>2893</v>
      </c>
      <c r="E19" s="923">
        <v>41640</v>
      </c>
      <c r="F19" s="2790" t="s">
        <v>2894</v>
      </c>
      <c r="G19" s="924">
        <f>'数据-取费表'!B2</f>
        <v>43690</v>
      </c>
      <c r="H19" s="2791"/>
      <c r="I19" s="925" t="str">
        <f>IF(H19="季度增幅（自定义）",SUMIF(N21:N24,E2,O21:O24),"")</f>
        <v/>
      </c>
      <c r="J19" s="2788"/>
      <c r="K19" s="1375"/>
      <c r="L19" s="2792" t="s">
        <v>2895</v>
      </c>
      <c r="M19" s="1732">
        <f>ROUND(SUMIF(地价!B2:F2,E2,地价!B27:F27),0)</f>
        <v>0</v>
      </c>
      <c r="N19" s="2793" t="s">
        <v>2896</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2897</v>
      </c>
      <c r="C20" s="927" t="e">
        <f>ROUND(POWER(1+G20,J20-I20)*(POWER(1+G20,I20)-1)/(POWER(1+G20,J20)-1),4)</f>
        <v>#DIV/0!</v>
      </c>
      <c r="D20" s="2799" t="s">
        <v>2898</v>
      </c>
      <c r="E20" s="1766">
        <f ca="1">存贷款利率!D4/100</f>
        <v>4.3499999999999997E-2</v>
      </c>
      <c r="F20" s="2799" t="s">
        <v>2890</v>
      </c>
      <c r="G20" s="932">
        <f>SUMIF(M26:P26,E2,M28:P28)</f>
        <v>0</v>
      </c>
      <c r="H20" s="2799" t="s">
        <v>2899</v>
      </c>
      <c r="I20" s="933" t="e">
        <f>SUMIF('数据-取费表'!C6:C15,E2,'数据-取费表'!F6:F15)/COUNTIF('数据-取费表'!C6:C15,E2)</f>
        <v>#DIV/0!</v>
      </c>
      <c r="J20" s="934">
        <f>IF(E2="住宅",70,IF(E2="商业",40,50))</f>
        <v>50</v>
      </c>
      <c r="K20" s="1375"/>
      <c r="L20" s="2800" t="s">
        <v>2900</v>
      </c>
      <c r="M20" s="1733">
        <f>ROUND(SUMPRODUCT((地价!A4:A27=YEAR(G19)&amp;"-"&amp;ROUNDUP(MONTH(G19)/3,0))*(地价!B2:F2=E2)*(地价!B4:F27)),0)</f>
        <v>0</v>
      </c>
      <c r="N20" s="2801" t="s">
        <v>2901</v>
      </c>
      <c r="O20" s="2802" t="s">
        <v>2902</v>
      </c>
      <c r="P20" s="2803" t="s">
        <v>2903</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2904</v>
      </c>
      <c r="C21" s="935">
        <f>IF(B21="容积率修正",IF(G3&lt;=10,D22,J22),C23)</f>
        <v>0</v>
      </c>
      <c r="D21" s="2806"/>
      <c r="E21" s="2806"/>
      <c r="F21" s="2806"/>
      <c r="G21" s="2806"/>
      <c r="H21" s="2806"/>
      <c r="I21" s="2806"/>
      <c r="J21" s="2807"/>
      <c r="K21" s="1375"/>
      <c r="N21" s="2808" t="s">
        <v>2905</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2906</v>
      </c>
      <c r="B22" s="2809" t="s">
        <v>2907</v>
      </c>
      <c r="C22" s="1808" t="s">
        <v>2908</v>
      </c>
      <c r="D22" s="1808">
        <f>IF(E22=G22,F22,IF(G3&lt;=10,ROUND(F22+(H22-F22)*(G3-E22)/(G22-E22),4),"——"))</f>
        <v>0</v>
      </c>
      <c r="E22" s="914">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2909</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2910</v>
      </c>
      <c r="B23" s="2810" t="s">
        <v>2911</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2912</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2913</v>
      </c>
      <c r="C24" s="922">
        <f>SUMIF(A45:A88,E2,B45:B88)</f>
        <v>0</v>
      </c>
      <c r="D24" s="2787"/>
      <c r="E24" s="2816"/>
      <c r="F24" s="2816"/>
      <c r="G24" s="2816"/>
      <c r="H24" s="2816"/>
      <c r="I24" s="2816"/>
      <c r="J24" s="2817"/>
      <c r="K24" s="1375"/>
      <c r="N24" s="2818" t="s">
        <v>2914</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2915</v>
      </c>
      <c r="C25" s="928"/>
      <c r="D25" s="2749"/>
      <c r="E25" s="2749"/>
      <c r="F25" s="2820"/>
      <c r="G25" s="2749"/>
      <c r="H25" s="2749"/>
      <c r="I25" s="2749"/>
      <c r="J25" s="2750"/>
      <c r="K25" s="1368"/>
      <c r="N25" s="2821" t="s">
        <v>2916</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2917</v>
      </c>
      <c r="C26" s="206" t="e">
        <f>E29+SUM(E33:E39)</f>
        <v>#DIV/0!</v>
      </c>
      <c r="D26" s="2823"/>
      <c r="E26" s="2774"/>
      <c r="F26" s="2824"/>
      <c r="G26" s="2774"/>
      <c r="H26" s="2774"/>
      <c r="I26" s="2774"/>
      <c r="J26" s="2825"/>
      <c r="K26" s="1368"/>
      <c r="L26" s="2778" t="s">
        <v>2815</v>
      </c>
      <c r="M26" s="918" t="s">
        <v>2880</v>
      </c>
      <c r="N26" s="918" t="s">
        <v>2881</v>
      </c>
      <c r="O26" s="918" t="s">
        <v>2882</v>
      </c>
      <c r="P26" s="2779" t="s">
        <v>2883</v>
      </c>
      <c r="R26" s="1374"/>
      <c r="S26" s="1374"/>
      <c r="T26" s="1369"/>
      <c r="U26" s="1369"/>
      <c r="V26" s="1369"/>
      <c r="W26" s="1368"/>
      <c r="X26" s="1368"/>
      <c r="Y26" s="1368"/>
      <c r="Z26" s="1375"/>
      <c r="AA26" s="1376"/>
      <c r="AB26" s="1376"/>
      <c r="AC26" s="1376"/>
      <c r="AD26" s="1376"/>
    </row>
    <row r="27" spans="1:37" ht="15.75" thickBot="1">
      <c r="A27" s="2822"/>
      <c r="B27" s="2826" t="s">
        <v>2918</v>
      </c>
      <c r="C27" s="929" t="e">
        <f>E30+SUM(I33:I39)</f>
        <v>#DIV/0!</v>
      </c>
      <c r="D27" s="2827"/>
      <c r="E27" s="2828"/>
      <c r="F27" s="2829"/>
      <c r="G27" s="2828"/>
      <c r="H27" s="2828"/>
      <c r="I27" s="2828"/>
      <c r="J27" s="2830"/>
      <c r="K27" s="1368"/>
      <c r="L27" s="2782"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2919</v>
      </c>
      <c r="C28" s="2833" t="s">
        <v>2920</v>
      </c>
      <c r="D28" s="2833" t="s">
        <v>2921</v>
      </c>
      <c r="E28" s="2834" t="s">
        <v>2922</v>
      </c>
      <c r="F28" s="2835"/>
      <c r="G28" s="2762"/>
      <c r="H28" s="2762"/>
      <c r="I28" s="2762"/>
      <c r="J28" s="2763"/>
      <c r="K28" s="1368"/>
      <c r="L28" s="2783"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2923</v>
      </c>
      <c r="C29" s="206" t="e">
        <f>ROUND(C5*C18*C19*C20*C21*C24,0)</f>
        <v>#DIV/0!</v>
      </c>
      <c r="D29" s="2838"/>
      <c r="E29" s="940" t="e">
        <f>ROUND(C29*D29/10000,0)</f>
        <v>#DIV/0!</v>
      </c>
      <c r="F29" s="2839" t="s">
        <v>2924</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2925</v>
      </c>
      <c r="C30" s="229" t="e">
        <f>ROUND(IF(E2="工业",C29*M39,C29*M38),0)</f>
        <v>#DIV/0!</v>
      </c>
      <c r="D30" s="2844"/>
      <c r="E30" s="940" t="e">
        <f>ROUND(C30*D30/10000,0)</f>
        <v>#DIV/0!</v>
      </c>
      <c r="F30" s="2845" t="s">
        <v>2926</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2927</v>
      </c>
      <c r="C31" s="2850" t="s">
        <v>2928</v>
      </c>
      <c r="D31" s="2762"/>
      <c r="E31" s="2850"/>
      <c r="F31" s="2850"/>
      <c r="G31" s="2760" t="s">
        <v>2929</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2920</v>
      </c>
      <c r="D32" s="498" t="s">
        <v>2921</v>
      </c>
      <c r="E32" s="498" t="s">
        <v>2922</v>
      </c>
      <c r="F32" s="388" t="s">
        <v>2930</v>
      </c>
      <c r="G32" s="2853" t="s">
        <v>2920</v>
      </c>
      <c r="H32" s="2853" t="s">
        <v>2921</v>
      </c>
      <c r="I32" s="2853" t="s">
        <v>2922</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85" t="s">
        <v>2931</v>
      </c>
      <c r="B33" s="2854" t="s">
        <v>2932</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6"/>
      <c r="B34" s="2766" t="s">
        <v>2933</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6"/>
      <c r="B35" s="2766" t="s">
        <v>2934</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7"/>
      <c r="B36" s="2766" t="s">
        <v>2935</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2936</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8"/>
      <c r="L37" s="2857" t="s">
        <v>2937</v>
      </c>
      <c r="M37" s="2858"/>
      <c r="N37" s="1368"/>
      <c r="O37" s="1368"/>
      <c r="P37" s="1368"/>
      <c r="Q37" s="1368"/>
      <c r="R37" s="1368"/>
      <c r="S37" s="1368"/>
      <c r="T37" s="1368"/>
      <c r="U37" s="1368"/>
      <c r="V37" s="1368"/>
      <c r="W37" s="1368"/>
      <c r="X37" s="1368"/>
      <c r="Y37" s="1368"/>
      <c r="Z37" s="1369"/>
    </row>
    <row r="38" spans="1:37">
      <c r="A38" s="2856"/>
      <c r="B38" s="2766" t="s">
        <v>2938</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8"/>
      <c r="L38" s="1885" t="s">
        <v>2939</v>
      </c>
      <c r="M38" s="2859">
        <v>0.25</v>
      </c>
      <c r="N38" s="1368"/>
      <c r="O38" s="1368"/>
      <c r="P38" s="1368"/>
      <c r="Q38" s="1368"/>
      <c r="R38" s="1368"/>
      <c r="S38" s="1368"/>
      <c r="T38" s="1368"/>
      <c r="U38" s="1368"/>
      <c r="V38" s="1368"/>
      <c r="W38" s="1368"/>
      <c r="X38" s="1368"/>
      <c r="Y38" s="1368"/>
      <c r="Z38" s="1369"/>
    </row>
    <row r="39" spans="1:37" ht="13.5" thickBot="1">
      <c r="A39" s="2842"/>
      <c r="B39" s="2860" t="s">
        <v>2940</v>
      </c>
      <c r="C39" s="229" t="e">
        <f>ROUND(D5*C19*C41*C24*F39,0)</f>
        <v>#DIV/0!</v>
      </c>
      <c r="D39" s="2844"/>
      <c r="E39" s="229" t="e">
        <f t="shared" si="7"/>
        <v>#DIV/0!</v>
      </c>
      <c r="F39" s="930">
        <f>SUMIF(修正!A45:A56,G2,修正!H45:H56)</f>
        <v>0</v>
      </c>
      <c r="G39" s="229" t="e">
        <f>ROUND(IF(E2="工业",C39*$M$39,C39*$M$38),0)</f>
        <v>#DIV/0!</v>
      </c>
      <c r="H39" s="229">
        <f t="shared" si="8"/>
        <v>0</v>
      </c>
      <c r="I39" s="229" t="e">
        <f t="shared" si="9"/>
        <v>#DIV/0!</v>
      </c>
      <c r="J39" s="2861"/>
      <c r="K39" s="1368"/>
      <c r="L39" s="2862" t="s">
        <v>2883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3049</v>
      </c>
      <c r="C41" s="388" t="e">
        <f>ROUND(POWER(1+E41,H41-G41)*(POWER(1+E41,G41)-1)/(POWER(1+E41,H41)-1),4)</f>
        <v>#DIV/0!</v>
      </c>
      <c r="D41" s="200" t="s">
        <v>2890</v>
      </c>
      <c r="E41" s="2930">
        <f>G20</f>
        <v>0</v>
      </c>
      <c r="F41" s="200" t="s">
        <v>2899</v>
      </c>
      <c r="G41" s="218"/>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2941</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2942</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2943</v>
      </c>
      <c r="B47" s="1807" t="s">
        <v>2944</v>
      </c>
      <c r="C47" s="1807" t="s">
        <v>2945</v>
      </c>
      <c r="D47" s="1807" t="s">
        <v>2946</v>
      </c>
      <c r="E47" s="817" t="s">
        <v>2947</v>
      </c>
      <c r="F47" s="2872" t="s">
        <v>2948</v>
      </c>
      <c r="G47" s="1807" t="s">
        <v>754</v>
      </c>
      <c r="H47" s="2873" t="s">
        <v>2949</v>
      </c>
      <c r="I47" s="1807" t="s">
        <v>2950</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1" t="s">
        <v>2951</v>
      </c>
      <c r="B48" s="2874" t="str">
        <f>估价对象房地状况!C4</f>
        <v>估价对象位于XX商圈，周边商业氛围成熟，人流量大，商业繁华度好</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2952</v>
      </c>
      <c r="B49" s="2875" t="str">
        <f>估价对象房地状况!C18</f>
        <v>估价对象周边道路状况、公共交通通达情况、停车便捷程度，综合评价交通便捷度较好</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2953</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2954</v>
      </c>
      <c r="B51" s="2876" t="s">
        <v>2955</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2956</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2957</v>
      </c>
      <c r="B53" s="2877" t="s">
        <v>2958</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2959</v>
      </c>
      <c r="B54" s="1723" t="str">
        <f>估价对象房地状况!C21</f>
        <v>估价对象所在区域公共配套设施齐备情况</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2960</v>
      </c>
      <c r="B55" s="2875" t="str">
        <f>估价对象房地状况!C22</f>
        <v>估价对象所在区域基础设施水平</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2961</v>
      </c>
      <c r="B56" s="2880" t="str">
        <f>估价对象房地状况!C20</f>
        <v>区域自然环境：；人文环境；综合评价环境状况一般</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2962</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2943</v>
      </c>
      <c r="B58" s="1807"/>
      <c r="C58" s="1807" t="s">
        <v>2945</v>
      </c>
      <c r="D58" s="1807" t="s">
        <v>2946</v>
      </c>
      <c r="E58" s="817" t="s">
        <v>2947</v>
      </c>
      <c r="F58" s="2872" t="s">
        <v>2963</v>
      </c>
      <c r="G58" s="1807" t="s">
        <v>754</v>
      </c>
      <c r="H58" s="2873" t="s">
        <v>2949</v>
      </c>
      <c r="I58" s="1807" t="s">
        <v>2950</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1" t="s">
        <v>2964</v>
      </c>
      <c r="B59" s="2874" t="str">
        <f>估价对象房地状况!C17</f>
        <v>估价对象位于XX商圈，周边办公楼项目较多，入驻率高，办公集聚程度较好</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2952</v>
      </c>
      <c r="B60" s="2875" t="str">
        <f>估价对象房地状况!C18</f>
        <v>估价对象周边道路状况、公共交通通达情况、停车便捷程度，综合评价交通便捷度较好</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2953</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2954</v>
      </c>
      <c r="B62" s="2876" t="s">
        <v>2955</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2956</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2957</v>
      </c>
      <c r="B64" s="2877" t="s">
        <v>2958</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2959</v>
      </c>
      <c r="B65" s="1723" t="str">
        <f>估价对象房地状况!C21</f>
        <v>估价对象所在区域公共配套设施齐备情况</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2960</v>
      </c>
      <c r="B66" s="1723" t="str">
        <f>估价对象房地状况!C22</f>
        <v>估价对象所在区域基础设施水平</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2961</v>
      </c>
      <c r="B67" s="2881" t="str">
        <f>估价对象房地状况!C20</f>
        <v>区域自然环境：；人文环境；综合评价环境状况一般</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2965</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2943</v>
      </c>
      <c r="B69" s="1807"/>
      <c r="C69" s="1807" t="s">
        <v>2945</v>
      </c>
      <c r="D69" s="1807" t="s">
        <v>2946</v>
      </c>
      <c r="E69" s="817" t="s">
        <v>2947</v>
      </c>
      <c r="F69" s="2872" t="s">
        <v>2963</v>
      </c>
      <c r="G69" s="1807" t="s">
        <v>754</v>
      </c>
      <c r="H69" s="2873" t="s">
        <v>2949</v>
      </c>
      <c r="I69" s="1807" t="s">
        <v>2950</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1" t="s">
        <v>2966</v>
      </c>
      <c r="B70" s="2874" t="str">
        <f>估价对象房地状况!C15</f>
        <v>估价对象周边居住用地比例、居住小区规模和社区发展完善程度，综合评价居住社区成熟度一般</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2952</v>
      </c>
      <c r="B71" s="2875" t="str">
        <f>估价对象房地状况!C18</f>
        <v>估价对象周边道路状况、公共交通通达情况、停车便捷程度，综合评价交通便捷度较好</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2953</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2967</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2959</v>
      </c>
      <c r="B74" s="1723" t="str">
        <f>估价对象房地状况!C21</f>
        <v>估价对象所在区域公共配套设施齐备情况</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2960</v>
      </c>
      <c r="B75" s="1723" t="str">
        <f>估价对象房地状况!C22</f>
        <v>估价对象所在区域基础设施水平</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2957</v>
      </c>
      <c r="B76" s="2877" t="s">
        <v>2958</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2961</v>
      </c>
      <c r="B77" s="2874" t="str">
        <f>估价对象房地状况!C20</f>
        <v>区域自然环境：；人文环境；综合评价环境状况一般</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2968</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2969</v>
      </c>
      <c r="B79" s="2868">
        <f>1+E81</f>
        <v>1</v>
      </c>
      <c r="C79" s="812"/>
      <c r="D79" s="812"/>
      <c r="E79" s="813"/>
      <c r="F79" s="2870"/>
      <c r="G79" s="6"/>
      <c r="H79" s="6"/>
      <c r="I79" s="6"/>
      <c r="J79" s="7"/>
      <c r="K79" s="7"/>
      <c r="L79" s="7"/>
      <c r="M79" s="7"/>
      <c r="N79" s="7"/>
      <c r="Z79" s="2721"/>
      <c r="AA79" s="2789"/>
      <c r="AG79" s="1370"/>
      <c r="AK79" s="2789"/>
    </row>
    <row r="80" spans="1:37" ht="24.75">
      <c r="A80" s="2871" t="s">
        <v>2943</v>
      </c>
      <c r="B80" s="1807"/>
      <c r="C80" s="1807" t="s">
        <v>2945</v>
      </c>
      <c r="D80" s="1807" t="s">
        <v>2946</v>
      </c>
      <c r="E80" s="817" t="s">
        <v>2947</v>
      </c>
      <c r="F80" s="2872" t="s">
        <v>2963</v>
      </c>
      <c r="G80" s="1807" t="s">
        <v>754</v>
      </c>
      <c r="H80" s="2873" t="s">
        <v>2949</v>
      </c>
      <c r="I80" s="1807" t="s">
        <v>2950</v>
      </c>
      <c r="J80" s="603" t="s">
        <v>2598</v>
      </c>
      <c r="K80" s="603" t="s">
        <v>2599</v>
      </c>
      <c r="L80" s="603" t="s">
        <v>2600</v>
      </c>
      <c r="M80" s="603" t="s">
        <v>2601</v>
      </c>
      <c r="N80" s="603" t="s">
        <v>2602</v>
      </c>
      <c r="Z80" s="2721"/>
      <c r="AA80" s="2789"/>
      <c r="AG80" s="1370"/>
      <c r="AK80" s="2789"/>
    </row>
    <row r="81" spans="1:37" ht="38.25">
      <c r="A81" s="2871" t="s">
        <v>2970</v>
      </c>
      <c r="B81" s="2875" t="str">
        <f>估价对象房地状况!G15</f>
        <v>估价对象位于XX开发区，园区建设成熟度XX，产业集聚程度XX</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2952</v>
      </c>
      <c r="B82" s="2875" t="str">
        <f>估价对象房地状况!G16</f>
        <v>估价对象周边道路状况、公共交通通达情况、停车便捷程度，综合评价交通便捷度较好</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2953</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2967</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2959</v>
      </c>
      <c r="B85" s="1723" t="str">
        <f>估价对象房地状况!G19</f>
        <v>估价对象所在区域公共配套设施齐备情况</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2960</v>
      </c>
      <c r="B86" s="1723" t="str">
        <f>估价对象房地状况!G20</f>
        <v>估价对象所在区域基础设施水平</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2957</v>
      </c>
      <c r="B87" s="2877" t="s">
        <v>2971</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2972</v>
      </c>
      <c r="B88" s="2884" t="str">
        <f>估价对象房地状况!G18</f>
        <v>该园区内是否有污染型企业，绿化情况，卫生条件，整体环境状况判断</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79" t="s">
        <v>2973</v>
      </c>
      <c r="B90" s="3279"/>
      <c r="C90" s="3279"/>
      <c r="D90" s="3279"/>
      <c r="E90" s="3279"/>
      <c r="F90" s="3279"/>
      <c r="G90" s="3279"/>
      <c r="H90" s="3279"/>
      <c r="I90" s="3279"/>
      <c r="J90" s="3279"/>
      <c r="K90" s="2885"/>
      <c r="L90" s="2885"/>
      <c r="M90" s="2885"/>
      <c r="N90" s="2885"/>
    </row>
    <row r="91" spans="1:37">
      <c r="A91" s="3281" t="s">
        <v>2974</v>
      </c>
      <c r="B91" s="3281" t="s">
        <v>2975</v>
      </c>
      <c r="C91" s="2839" t="s">
        <v>2976</v>
      </c>
      <c r="D91" s="2840"/>
      <c r="E91" s="2840"/>
      <c r="F91" s="2840"/>
      <c r="G91" s="2840"/>
      <c r="H91" s="2840"/>
      <c r="I91" s="2840"/>
      <c r="J91" s="2886"/>
      <c r="K91" s="2887"/>
      <c r="L91" s="2887"/>
      <c r="M91" s="2887"/>
      <c r="N91" s="2887"/>
    </row>
    <row r="92" spans="1:37">
      <c r="A92" s="3281"/>
      <c r="B92" s="3281"/>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82" t="s">
        <v>2977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3"/>
      <c r="B99" s="2888" t="s">
        <v>2858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2" t="s">
        <v>2978</v>
      </c>
      <c r="B101" s="2892" t="s">
        <v>2979</v>
      </c>
      <c r="C101" s="2893">
        <f>$G$3</f>
        <v>0.87</v>
      </c>
      <c r="D101" s="2893">
        <f t="shared" ref="D101:N101" si="31">$G$3</f>
        <v>0.87</v>
      </c>
      <c r="E101" s="2893">
        <f t="shared" si="31"/>
        <v>0.87</v>
      </c>
      <c r="F101" s="2893">
        <f t="shared" si="31"/>
        <v>0.87</v>
      </c>
      <c r="G101" s="2893">
        <f t="shared" si="31"/>
        <v>0.87</v>
      </c>
      <c r="H101" s="2893">
        <f t="shared" si="31"/>
        <v>0.87</v>
      </c>
      <c r="I101" s="2893">
        <f t="shared" si="31"/>
        <v>0.87</v>
      </c>
      <c r="J101" s="2893">
        <f t="shared" si="31"/>
        <v>0.87</v>
      </c>
      <c r="K101" s="2893">
        <f t="shared" si="31"/>
        <v>0.87</v>
      </c>
      <c r="L101" s="2893">
        <f t="shared" si="31"/>
        <v>0.87</v>
      </c>
      <c r="M101" s="2893">
        <f t="shared" si="31"/>
        <v>0.87</v>
      </c>
      <c r="N101" s="2893">
        <f t="shared" si="31"/>
        <v>0.87</v>
      </c>
    </row>
    <row r="102" spans="1:14">
      <c r="A102" s="3283"/>
      <c r="B102" s="2888">
        <v>1</v>
      </c>
      <c r="C102" s="2889">
        <f>1.9362/C101</f>
        <v>2.2255172413793103</v>
      </c>
      <c r="D102" s="2889">
        <f>1.9362/D101</f>
        <v>2.2255172413793103</v>
      </c>
      <c r="E102" s="2889">
        <f>1.8629/E101</f>
        <v>2.1412643678160919</v>
      </c>
      <c r="F102" s="2889">
        <f>1.8629/F101</f>
        <v>2.1412643678160919</v>
      </c>
      <c r="G102" s="2889">
        <f>1.8629/G101</f>
        <v>2.1412643678160919</v>
      </c>
      <c r="H102" s="2889">
        <f>1.8629/H101</f>
        <v>2.1412643678160919</v>
      </c>
      <c r="I102" s="2889">
        <f>1.8629/I101</f>
        <v>2.1412643678160919</v>
      </c>
      <c r="J102" s="2889">
        <f>1.942/J101</f>
        <v>2.2321839080459771</v>
      </c>
      <c r="K102" s="2889">
        <f>1.942/K101</f>
        <v>2.2321839080459771</v>
      </c>
      <c r="L102" s="2889">
        <f>1.942/L101</f>
        <v>2.2321839080459771</v>
      </c>
      <c r="M102" s="2889">
        <f>1.942/M101</f>
        <v>2.2321839080459771</v>
      </c>
      <c r="N102" s="2889">
        <f>1.942/N101</f>
        <v>2.2321839080459771</v>
      </c>
    </row>
    <row r="103" spans="1:14">
      <c r="A103" s="3283"/>
      <c r="B103" s="2888">
        <v>2</v>
      </c>
      <c r="C103" s="2889">
        <f>1.4198/C101</f>
        <v>1.6319540229885057</v>
      </c>
      <c r="D103" s="2889">
        <f>1.4198/D101</f>
        <v>1.6319540229885057</v>
      </c>
      <c r="E103" s="2889">
        <f>1.3372/E101</f>
        <v>1.5370114942528734</v>
      </c>
      <c r="F103" s="2889">
        <f>1.3372/F101</f>
        <v>1.5370114942528734</v>
      </c>
      <c r="G103" s="2889">
        <f>1.3372/G101</f>
        <v>1.5370114942528734</v>
      </c>
      <c r="H103" s="2889">
        <f>1.3372/H101</f>
        <v>1.5370114942528734</v>
      </c>
      <c r="I103" s="2889">
        <f>1.3372/I101</f>
        <v>1.5370114942528734</v>
      </c>
      <c r="J103" s="2889">
        <f>1.2799/J101</f>
        <v>1.4711494252873565</v>
      </c>
      <c r="K103" s="2889">
        <f>1.2799/K101</f>
        <v>1.4711494252873565</v>
      </c>
      <c r="L103" s="2889">
        <f>1.2799/L101</f>
        <v>1.4711494252873565</v>
      </c>
      <c r="M103" s="2889">
        <f>1.2799/M101</f>
        <v>1.4711494252873565</v>
      </c>
      <c r="N103" s="2889">
        <f>1.2799/N101</f>
        <v>1.4711494252873565</v>
      </c>
    </row>
    <row r="104" spans="1:14">
      <c r="A104" s="3283"/>
      <c r="B104" s="2888">
        <v>3</v>
      </c>
      <c r="C104" s="2889">
        <f>1.1594/C101</f>
        <v>1.3326436781609194</v>
      </c>
      <c r="D104" s="2889">
        <f>1.1594/D101</f>
        <v>1.3326436781609194</v>
      </c>
      <c r="E104" s="2889">
        <f>1.0788/E101</f>
        <v>1.24</v>
      </c>
      <c r="F104" s="2889">
        <f>1.0788/F101</f>
        <v>1.24</v>
      </c>
      <c r="G104" s="2889">
        <f>1.0788/G101</f>
        <v>1.24</v>
      </c>
      <c r="H104" s="2889">
        <f>1.0788/H101</f>
        <v>1.24</v>
      </c>
      <c r="I104" s="2889">
        <f>1.0788/I101</f>
        <v>1.24</v>
      </c>
      <c r="J104" s="2889">
        <f>1.0072/J101</f>
        <v>1.1577011494252876</v>
      </c>
      <c r="K104" s="2889">
        <f>1.0072/K101</f>
        <v>1.1577011494252876</v>
      </c>
      <c r="L104" s="2889">
        <f>1.0072/L101</f>
        <v>1.1577011494252876</v>
      </c>
      <c r="M104" s="2889">
        <f>1.0072/M101</f>
        <v>1.1577011494252876</v>
      </c>
      <c r="N104" s="2889">
        <f>1.0072/N101</f>
        <v>1.1577011494252876</v>
      </c>
    </row>
    <row r="105" spans="1:14">
      <c r="A105" s="3283"/>
      <c r="B105" s="2888">
        <v>4</v>
      </c>
      <c r="C105" s="2889">
        <f>0.9622/C101</f>
        <v>1.1059770114942529</v>
      </c>
      <c r="D105" s="2889">
        <f>0.9622/D101</f>
        <v>1.1059770114942529</v>
      </c>
      <c r="E105" s="2889">
        <f>0.8656/E101</f>
        <v>0.99494252873563227</v>
      </c>
      <c r="F105" s="2889">
        <f>0.8656/F101</f>
        <v>0.99494252873563227</v>
      </c>
      <c r="G105" s="2889">
        <f>0.8656/G101</f>
        <v>0.99494252873563227</v>
      </c>
      <c r="H105" s="2889">
        <f>0.8656/H101</f>
        <v>0.99494252873563227</v>
      </c>
      <c r="I105" s="2889">
        <f>0.8656/I101</f>
        <v>0.99494252873563227</v>
      </c>
      <c r="J105" s="2889">
        <f>0.7525/J101</f>
        <v>0.86494252873563215</v>
      </c>
      <c r="K105" s="2889">
        <f>0.7525/K101</f>
        <v>0.86494252873563215</v>
      </c>
      <c r="L105" s="2889">
        <f>0.7525/L101</f>
        <v>0.86494252873563215</v>
      </c>
      <c r="M105" s="2889">
        <f>0.7525/M101</f>
        <v>0.86494252873563215</v>
      </c>
      <c r="N105" s="2889">
        <f>0.7525/N101</f>
        <v>0.86494252873563215</v>
      </c>
    </row>
    <row r="106" spans="1:14">
      <c r="A106" s="3283"/>
      <c r="B106" s="2888">
        <v>5</v>
      </c>
      <c r="C106" s="2889">
        <f>0.8417/C101</f>
        <v>0.96747126436781605</v>
      </c>
      <c r="D106" s="2889">
        <f>0.8417/D101</f>
        <v>0.96747126436781605</v>
      </c>
      <c r="E106" s="2889">
        <f>0.7371/E101</f>
        <v>0.84724137931034482</v>
      </c>
      <c r="F106" s="2889">
        <f>0.7371/F101</f>
        <v>0.84724137931034482</v>
      </c>
      <c r="G106" s="2889">
        <f>0.7371/G101</f>
        <v>0.84724137931034482</v>
      </c>
      <c r="H106" s="2889">
        <f>0.7371/H101</f>
        <v>0.84724137931034482</v>
      </c>
      <c r="I106" s="2889">
        <f>0.7371/I101</f>
        <v>0.84724137931034482</v>
      </c>
      <c r="J106" s="2889">
        <f>0.5659/J101</f>
        <v>0.65045977011494249</v>
      </c>
      <c r="K106" s="2889">
        <f>0.5659/K101</f>
        <v>0.65045977011494249</v>
      </c>
      <c r="L106" s="2889">
        <f>0.5659/L101</f>
        <v>0.65045977011494249</v>
      </c>
      <c r="M106" s="2889">
        <f>0.5659/M101</f>
        <v>0.65045977011494249</v>
      </c>
      <c r="N106" s="2889">
        <f>0.5659/N101</f>
        <v>0.65045977011494249</v>
      </c>
    </row>
    <row r="107" spans="1:14">
      <c r="A107" s="3283"/>
      <c r="B107" s="2888">
        <v>6</v>
      </c>
      <c r="C107" s="2889">
        <f>0.7608/C101</f>
        <v>0.87448275862068969</v>
      </c>
      <c r="D107" s="2889">
        <f>0.7608/D101</f>
        <v>0.87448275862068969</v>
      </c>
      <c r="E107" s="2889">
        <f>0.6482/E101</f>
        <v>0.74505747126436783</v>
      </c>
      <c r="F107" s="2889">
        <f>0.6482/F101</f>
        <v>0.74505747126436783</v>
      </c>
      <c r="G107" s="2889">
        <f>0.6482/G101</f>
        <v>0.74505747126436783</v>
      </c>
      <c r="H107" s="2889">
        <f>0.6482/H101</f>
        <v>0.74505747126436783</v>
      </c>
      <c r="I107" s="2889">
        <f>0.6482/I101</f>
        <v>0.74505747126436783</v>
      </c>
      <c r="J107" s="2889">
        <f>0.4525/J101</f>
        <v>0.52011494252873569</v>
      </c>
      <c r="K107" s="2889">
        <f>0.4525/K101</f>
        <v>0.52011494252873569</v>
      </c>
      <c r="L107" s="2889">
        <f>0.4525/L101</f>
        <v>0.52011494252873569</v>
      </c>
      <c r="M107" s="2889">
        <f>0.4525/M101</f>
        <v>0.52011494252873569</v>
      </c>
      <c r="N107" s="2889">
        <f>0.4525/N101</f>
        <v>0.52011494252873569</v>
      </c>
    </row>
    <row r="108" spans="1:14">
      <c r="A108" s="3283"/>
      <c r="B108" s="3138" t="s">
        <v>2980</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4"/>
      <c r="B109" s="3139"/>
      <c r="C109" s="2891">
        <f>(-0.163*(C108^2)-0.59*C108+7617)*(10^(-4))/C101</f>
        <v>0.87551724137931042</v>
      </c>
      <c r="D109" s="2891">
        <f>(-0.163*(D108^2)-0.59*D108+7617)*(10^(-4))/D101</f>
        <v>0.87551724137931042</v>
      </c>
      <c r="E109" s="2891">
        <f>(-0.161*(E108^2)-7.509*E108+6533)*(10^(-4))/E101</f>
        <v>0.75091954022988505</v>
      </c>
      <c r="F109" s="2891">
        <f>(-0.161*(F108^2)-7.509*F108+6533)*(10^(-4))/F101</f>
        <v>0.75091954022988505</v>
      </c>
      <c r="G109" s="2891">
        <f>(-0.161*(G108^2)-7.509*G108+6533)*(10^(-4))/G101</f>
        <v>0.75091954022988505</v>
      </c>
      <c r="H109" s="2891">
        <f>(-0.161*(H108^2)-7.509*H108+6533)*(10^(-4))/H101</f>
        <v>0.75091954022988505</v>
      </c>
      <c r="I109" s="2891">
        <f>(-0.161*(I108^2)-7.509*I108+6533)*(10^(-4))/I101</f>
        <v>0.75091954022988505</v>
      </c>
      <c r="J109" s="2891">
        <f>(-0.214*(J108^2)-21.991*J108+4665)*(10^(-4))/J101</f>
        <v>0.53620689655172415</v>
      </c>
      <c r="K109" s="2891">
        <f>(-0.214*(K108^2)-21.991*K108+4665)*(10^(-4))/K101</f>
        <v>0.53620689655172415</v>
      </c>
      <c r="L109" s="2891">
        <f>(-0.214*(L108^2)-21.991*L108+4665)*(10^(-4))/L101</f>
        <v>0.53620689655172415</v>
      </c>
      <c r="M109" s="2891">
        <f>(-0.214*(M108^2)-21.991*M108+4665)*(10^(-4))/M101</f>
        <v>0.53620689655172415</v>
      </c>
      <c r="N109" s="2891">
        <f>(-0.214*(N108^2)-21.991*N108+4665)*(10^(-4))/N101</f>
        <v>0.53620689655172415</v>
      </c>
    </row>
    <row r="110" spans="1:14">
      <c r="A110" s="3280" t="s">
        <v>2981</v>
      </c>
      <c r="B110" s="3280"/>
      <c r="C110" s="3280"/>
      <c r="D110" s="3280"/>
      <c r="E110" s="3280"/>
      <c r="F110" s="3280"/>
      <c r="G110" s="3280"/>
      <c r="H110" s="3280"/>
      <c r="I110" s="3280"/>
      <c r="J110" s="3280"/>
      <c r="K110" s="2894"/>
      <c r="L110" s="2894"/>
      <c r="M110" s="2894"/>
      <c r="N110" s="2894"/>
    </row>
    <row r="112" spans="1:14" ht="13.5" thickBot="1"/>
    <row r="113" spans="1:13" ht="25.5" thickBot="1">
      <c r="A113" s="901" t="s">
        <v>2982</v>
      </c>
      <c r="B113" s="1285">
        <f>G3</f>
        <v>0.87</v>
      </c>
      <c r="C113" s="902" t="s">
        <v>2983</v>
      </c>
      <c r="D113" s="903">
        <f>SUMPRODUCT((A115:A118=F113)*(B114:M114=H113)*B115:M118)</f>
        <v>0</v>
      </c>
      <c r="E113" s="2725" t="s">
        <v>2815</v>
      </c>
      <c r="F113" s="2896">
        <f>E2</f>
        <v>0</v>
      </c>
      <c r="G113" s="2725" t="s">
        <v>2816</v>
      </c>
      <c r="H113" s="2896">
        <f>G2</f>
        <v>0</v>
      </c>
      <c r="I113" s="2725"/>
      <c r="J113" s="2897"/>
      <c r="K113" s="2897"/>
      <c r="L113" s="2897"/>
      <c r="M113" s="2897"/>
    </row>
    <row r="114" spans="1:13">
      <c r="A114" s="906"/>
      <c r="B114" s="2898" t="s">
        <v>2984</v>
      </c>
      <c r="C114" s="2898" t="s">
        <v>2985</v>
      </c>
      <c r="D114" s="2898" t="s">
        <v>2986</v>
      </c>
      <c r="E114" s="2899" t="s">
        <v>2987</v>
      </c>
      <c r="F114" s="2899" t="s">
        <v>2988</v>
      </c>
      <c r="G114" s="2899" t="s">
        <v>2989</v>
      </c>
      <c r="H114" s="2900" t="s">
        <v>2990</v>
      </c>
      <c r="I114" s="2900" t="s">
        <v>2991</v>
      </c>
      <c r="J114" s="2901" t="s">
        <v>2992</v>
      </c>
      <c r="K114" s="2901" t="s">
        <v>2993</v>
      </c>
      <c r="L114" s="2901" t="s">
        <v>2994</v>
      </c>
      <c r="M114" s="2902" t="s">
        <v>2995</v>
      </c>
    </row>
    <row r="115" spans="1:13">
      <c r="A115" s="907" t="s">
        <v>2880</v>
      </c>
      <c r="B115" s="908">
        <f>ROUND(0.9335-0.0094*B113,4)</f>
        <v>0.92530000000000001</v>
      </c>
      <c r="C115" s="908">
        <f>B115</f>
        <v>0.92530000000000001</v>
      </c>
      <c r="D115" s="908">
        <f>ROUND(0.8331-0.0109*B113,4)</f>
        <v>0.8236</v>
      </c>
      <c r="E115" s="908">
        <f>D115</f>
        <v>0.8236</v>
      </c>
      <c r="F115" s="908">
        <f>E115</f>
        <v>0.8236</v>
      </c>
      <c r="G115" s="908">
        <f>F115</f>
        <v>0.8236</v>
      </c>
      <c r="H115" s="908">
        <f>G115</f>
        <v>0.8236</v>
      </c>
      <c r="I115" s="908">
        <f>ROUND(0.689-0.0155*B113,4)</f>
        <v>0.67549999999999999</v>
      </c>
      <c r="J115" s="908">
        <f t="shared" ref="J115:M118" si="33">I115</f>
        <v>0.67549999999999999</v>
      </c>
      <c r="K115" s="908">
        <f t="shared" si="33"/>
        <v>0.67549999999999999</v>
      </c>
      <c r="L115" s="908">
        <f t="shared" si="33"/>
        <v>0.67549999999999999</v>
      </c>
      <c r="M115" s="909">
        <f t="shared" si="33"/>
        <v>0.67549999999999999</v>
      </c>
    </row>
    <row r="116" spans="1:13">
      <c r="A116" s="907" t="s">
        <v>2881</v>
      </c>
      <c r="B116" s="908">
        <f>ROUND(0.949-0.012*B113,4)</f>
        <v>0.93859999999999999</v>
      </c>
      <c r="C116" s="908">
        <f>B116</f>
        <v>0.93859999999999999</v>
      </c>
      <c r="D116" s="908">
        <f>ROUND(0.8567-0.013*B113,4)</f>
        <v>0.84540000000000004</v>
      </c>
      <c r="E116" s="908">
        <f t="shared" ref="E116:H117" si="34">D116</f>
        <v>0.84540000000000004</v>
      </c>
      <c r="F116" s="908">
        <f t="shared" si="34"/>
        <v>0.84540000000000004</v>
      </c>
      <c r="G116" s="908">
        <f t="shared" si="34"/>
        <v>0.84540000000000004</v>
      </c>
      <c r="H116" s="908">
        <f t="shared" si="34"/>
        <v>0.84540000000000004</v>
      </c>
      <c r="I116" s="908">
        <f>ROUND(0.7694-0.014*B113,4)</f>
        <v>0.75719999999999998</v>
      </c>
      <c r="J116" s="908">
        <f t="shared" si="33"/>
        <v>0.75719999999999998</v>
      </c>
      <c r="K116" s="908">
        <f t="shared" si="33"/>
        <v>0.75719999999999998</v>
      </c>
      <c r="L116" s="908">
        <f t="shared" si="33"/>
        <v>0.75719999999999998</v>
      </c>
      <c r="M116" s="909">
        <f t="shared" si="33"/>
        <v>0.75719999999999998</v>
      </c>
    </row>
    <row r="117" spans="1:13">
      <c r="A117" s="907" t="s">
        <v>2882</v>
      </c>
      <c r="B117" s="908">
        <f>ROUND(0.8808-0.006*B113,4)</f>
        <v>0.87560000000000004</v>
      </c>
      <c r="C117" s="908">
        <f>B117</f>
        <v>0.87560000000000004</v>
      </c>
      <c r="D117" s="908">
        <f>ROUND(0.8748-0.008*B113,4)</f>
        <v>0.86780000000000002</v>
      </c>
      <c r="E117" s="908">
        <f t="shared" si="34"/>
        <v>0.86780000000000002</v>
      </c>
      <c r="F117" s="908">
        <f t="shared" si="34"/>
        <v>0.86780000000000002</v>
      </c>
      <c r="G117" s="908">
        <f t="shared" si="34"/>
        <v>0.86780000000000002</v>
      </c>
      <c r="H117" s="908">
        <f t="shared" si="34"/>
        <v>0.86780000000000002</v>
      </c>
      <c r="I117" s="908">
        <f>ROUND(0.7412-0.0095*B113,4)</f>
        <v>0.7329</v>
      </c>
      <c r="J117" s="908">
        <f t="shared" si="33"/>
        <v>0.7329</v>
      </c>
      <c r="K117" s="908">
        <f t="shared" si="33"/>
        <v>0.7329</v>
      </c>
      <c r="L117" s="908">
        <f t="shared" si="33"/>
        <v>0.7329</v>
      </c>
      <c r="M117" s="909">
        <f t="shared" si="33"/>
        <v>0.7329</v>
      </c>
    </row>
    <row r="118" spans="1:13" ht="13.5" thickBot="1">
      <c r="A118" s="712" t="s">
        <v>2883</v>
      </c>
      <c r="B118" s="910">
        <f>ROUND(0.7275-0.01*B113,4)</f>
        <v>0.71879999999999999</v>
      </c>
      <c r="C118" s="910">
        <f>B118</f>
        <v>0.71879999999999999</v>
      </c>
      <c r="D118" s="910">
        <f>ROUND(0.7043-0.012*B113,4)</f>
        <v>0.69389999999999996</v>
      </c>
      <c r="E118" s="910">
        <f>D118</f>
        <v>0.69389999999999996</v>
      </c>
      <c r="F118" s="910">
        <f>E118</f>
        <v>0.69389999999999996</v>
      </c>
      <c r="G118" s="910">
        <f>ROUND(0.6299-0.0122*B113,4)</f>
        <v>0.61929999999999996</v>
      </c>
      <c r="H118" s="910">
        <f>G118</f>
        <v>0.61929999999999996</v>
      </c>
      <c r="I118" s="910">
        <f>ROUND(0.5667-0.0136*B113,4)</f>
        <v>0.55489999999999995</v>
      </c>
      <c r="J118" s="910">
        <f t="shared" si="33"/>
        <v>0.55489999999999995</v>
      </c>
      <c r="K118" s="910">
        <f t="shared" si="33"/>
        <v>0.55489999999999995</v>
      </c>
      <c r="L118" s="910">
        <f t="shared" si="33"/>
        <v>0.55489999999999995</v>
      </c>
      <c r="M118" s="911">
        <f t="shared" si="33"/>
        <v>0.55489999999999995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0" t="s">
        <v>183</v>
      </c>
      <c r="B18" s="880" t="s">
        <v>560</v>
      </c>
      <c r="C18" s="881" t="s">
        <v>561</v>
      </c>
      <c r="D18" s="882"/>
      <c r="E18" s="880">
        <v>1</v>
      </c>
      <c r="F18" s="883" t="s">
        <v>562</v>
      </c>
      <c r="G18" s="884"/>
      <c r="H18" s="876"/>
      <c r="I18" s="876"/>
    </row>
    <row r="19" spans="1:9" s="885" customFormat="1" ht="19.5" customHeight="1">
      <c r="A19" s="3290"/>
      <c r="B19" s="3290" t="s">
        <v>563</v>
      </c>
      <c r="C19" s="881" t="s">
        <v>564</v>
      </c>
      <c r="D19" s="882"/>
      <c r="E19" s="880">
        <v>0.9</v>
      </c>
      <c r="F19" s="883" t="s">
        <v>565</v>
      </c>
      <c r="G19" s="884"/>
      <c r="H19" s="876"/>
      <c r="I19" s="876"/>
    </row>
    <row r="20" spans="1:9" s="885" customFormat="1" ht="19.5" customHeight="1">
      <c r="A20" s="3290"/>
      <c r="B20" s="3290"/>
      <c r="C20" s="881" t="s">
        <v>566</v>
      </c>
      <c r="D20" s="882"/>
      <c r="E20" s="880">
        <v>1.1000000000000001</v>
      </c>
      <c r="F20" s="883" t="s">
        <v>567</v>
      </c>
      <c r="G20" s="884"/>
      <c r="H20" s="876"/>
      <c r="I20" s="876"/>
    </row>
    <row r="21" spans="1:9" s="885" customFormat="1" ht="19.5" customHeight="1">
      <c r="A21" s="3290"/>
      <c r="B21" s="3290"/>
      <c r="C21" s="881" t="s">
        <v>568</v>
      </c>
      <c r="D21" s="882"/>
      <c r="E21" s="880">
        <v>0.8</v>
      </c>
      <c r="F21" s="883" t="s">
        <v>569</v>
      </c>
      <c r="G21" s="884"/>
      <c r="H21" s="876"/>
      <c r="I21" s="876"/>
    </row>
    <row r="22" spans="1:9" s="885" customFormat="1" ht="19.5" customHeight="1">
      <c r="A22" s="3290"/>
      <c r="B22" s="3290"/>
      <c r="C22" s="881" t="s">
        <v>570</v>
      </c>
      <c r="D22" s="882"/>
      <c r="E22" s="880">
        <v>0.5</v>
      </c>
      <c r="F22" s="883"/>
      <c r="G22" s="884"/>
      <c r="H22" s="876"/>
      <c r="I22" s="876"/>
    </row>
    <row r="23" spans="1:9" s="885" customFormat="1" ht="19.5" customHeight="1">
      <c r="A23" s="3290" t="s">
        <v>184</v>
      </c>
      <c r="B23" s="880" t="s">
        <v>560</v>
      </c>
      <c r="C23" s="881" t="s">
        <v>571</v>
      </c>
      <c r="D23" s="882"/>
      <c r="E23" s="880">
        <v>1</v>
      </c>
      <c r="F23" s="883" t="s">
        <v>572</v>
      </c>
      <c r="G23" s="884"/>
      <c r="H23" s="876"/>
      <c r="I23" s="876"/>
    </row>
    <row r="24" spans="1:9" s="885" customFormat="1" ht="19.5" customHeight="1">
      <c r="A24" s="3290"/>
      <c r="B24" s="3290" t="s">
        <v>563</v>
      </c>
      <c r="C24" s="881" t="s">
        <v>573</v>
      </c>
      <c r="D24" s="882"/>
      <c r="E24" s="880">
        <v>0.5</v>
      </c>
      <c r="F24" s="883"/>
      <c r="G24" s="884"/>
      <c r="H24" s="876"/>
      <c r="I24" s="876"/>
    </row>
    <row r="25" spans="1:9" s="885" customFormat="1" ht="19.5" customHeight="1">
      <c r="A25" s="3290"/>
      <c r="B25" s="3290"/>
      <c r="C25" s="881" t="s">
        <v>574</v>
      </c>
      <c r="D25" s="882"/>
      <c r="E25" s="880">
        <v>1.1000000000000001</v>
      </c>
      <c r="F25" s="883"/>
      <c r="G25" s="884"/>
      <c r="H25" s="876"/>
      <c r="I25" s="876"/>
    </row>
    <row r="26" spans="1:9" s="885" customFormat="1" ht="19.5" customHeight="1">
      <c r="A26" s="3290"/>
      <c r="B26" s="3290"/>
      <c r="C26" s="881" t="s">
        <v>575</v>
      </c>
      <c r="D26" s="882"/>
      <c r="E26" s="880">
        <v>1.1000000000000001</v>
      </c>
      <c r="F26" s="883"/>
      <c r="G26" s="884"/>
      <c r="H26" s="876"/>
      <c r="I26" s="876"/>
    </row>
    <row r="27" spans="1:9" s="885" customFormat="1" ht="19.5" customHeight="1">
      <c r="A27" s="3290"/>
      <c r="B27" s="3290"/>
      <c r="C27" s="881" t="s">
        <v>576</v>
      </c>
      <c r="D27" s="882"/>
      <c r="E27" s="880">
        <v>0.9</v>
      </c>
      <c r="F27" s="883" t="s">
        <v>577</v>
      </c>
      <c r="G27" s="884"/>
      <c r="H27" s="876"/>
      <c r="I27" s="876"/>
    </row>
    <row r="28" spans="1:9" s="885" customFormat="1" ht="19.5" customHeight="1">
      <c r="A28" s="3290"/>
      <c r="B28" s="3290"/>
      <c r="C28" s="881" t="s">
        <v>578</v>
      </c>
      <c r="D28" s="882"/>
      <c r="E28" s="880">
        <v>0.9</v>
      </c>
      <c r="F28" s="883" t="s">
        <v>579</v>
      </c>
      <c r="G28" s="884"/>
      <c r="H28" s="876"/>
      <c r="I28" s="876"/>
    </row>
    <row r="29" spans="1:9" s="885" customFormat="1" ht="19.5" customHeight="1">
      <c r="A29" s="3290"/>
      <c r="B29" s="3290"/>
      <c r="C29" s="881" t="s">
        <v>580</v>
      </c>
      <c r="D29" s="882"/>
      <c r="E29" s="880">
        <v>0.9</v>
      </c>
      <c r="F29" s="883" t="s">
        <v>581</v>
      </c>
      <c r="G29" s="884"/>
      <c r="H29" s="876"/>
      <c r="I29" s="876"/>
    </row>
    <row r="30" spans="1:9" s="885" customFormat="1" ht="19.5" customHeight="1">
      <c r="A30" s="3290"/>
      <c r="B30" s="3290"/>
      <c r="C30" s="881" t="s">
        <v>582</v>
      </c>
      <c r="D30" s="882"/>
      <c r="E30" s="880">
        <v>0.9</v>
      </c>
      <c r="F30" s="883" t="s">
        <v>583</v>
      </c>
      <c r="G30" s="884"/>
      <c r="H30" s="876"/>
      <c r="I30" s="876"/>
    </row>
    <row r="31" spans="1:9" s="885" customFormat="1" ht="19.5" customHeight="1">
      <c r="A31" s="3290"/>
      <c r="B31" s="3290"/>
      <c r="C31" s="881" t="s">
        <v>584</v>
      </c>
      <c r="D31" s="882"/>
      <c r="E31" s="880">
        <v>0.8</v>
      </c>
      <c r="F31" s="883" t="s">
        <v>585</v>
      </c>
      <c r="G31" s="884"/>
      <c r="H31" s="876"/>
      <c r="I31" s="876"/>
    </row>
    <row r="32" spans="1:9" s="885" customFormat="1" ht="19.5" customHeight="1">
      <c r="A32" s="3290"/>
      <c r="B32" s="3290"/>
      <c r="C32" s="881" t="s">
        <v>586</v>
      </c>
      <c r="D32" s="882"/>
      <c r="E32" s="880">
        <v>0.8</v>
      </c>
      <c r="F32" s="883" t="s">
        <v>587</v>
      </c>
      <c r="G32" s="884"/>
      <c r="H32" s="876"/>
      <c r="I32" s="876"/>
    </row>
    <row r="33" spans="1:9" s="885" customFormat="1" ht="19.5" customHeight="1">
      <c r="A33" s="3290" t="s">
        <v>185</v>
      </c>
      <c r="B33" s="880" t="s">
        <v>560</v>
      </c>
      <c r="C33" s="881" t="s">
        <v>588</v>
      </c>
      <c r="D33" s="882"/>
      <c r="E33" s="880">
        <v>1</v>
      </c>
      <c r="F33" s="883" t="s">
        <v>589</v>
      </c>
      <c r="G33" s="884"/>
      <c r="H33" s="876"/>
      <c r="I33" s="876"/>
    </row>
    <row r="34" spans="1:9" s="885" customFormat="1" ht="19.5" customHeight="1">
      <c r="A34" s="3290"/>
      <c r="B34" s="880" t="s">
        <v>563</v>
      </c>
      <c r="C34" s="881" t="s">
        <v>590</v>
      </c>
      <c r="D34" s="882"/>
      <c r="E34" s="880">
        <v>1.5</v>
      </c>
      <c r="F34" s="883" t="s">
        <v>591</v>
      </c>
      <c r="G34" s="884"/>
      <c r="H34" s="876"/>
      <c r="I34" s="876"/>
    </row>
    <row r="35" spans="1:9" s="885" customFormat="1" ht="19.5" customHeight="1">
      <c r="A35" s="3290" t="s">
        <v>186</v>
      </c>
      <c r="B35" s="880" t="s">
        <v>560</v>
      </c>
      <c r="C35" s="881" t="s">
        <v>592</v>
      </c>
      <c r="D35" s="882"/>
      <c r="E35" s="880">
        <v>1</v>
      </c>
      <c r="F35" s="883" t="s">
        <v>593</v>
      </c>
      <c r="G35" s="884"/>
      <c r="H35" s="876"/>
      <c r="I35" s="876"/>
    </row>
    <row r="36" spans="1:9" s="885" customFormat="1" ht="19.5" customHeight="1">
      <c r="A36" s="3290"/>
      <c r="B36" s="3290" t="s">
        <v>563</v>
      </c>
      <c r="C36" s="881" t="s">
        <v>594</v>
      </c>
      <c r="D36" s="882"/>
      <c r="E36" s="880">
        <v>1</v>
      </c>
      <c r="F36" s="883" t="s">
        <v>595</v>
      </c>
      <c r="G36" s="884"/>
      <c r="H36" s="876"/>
      <c r="I36" s="876"/>
    </row>
    <row r="37" spans="1:9" s="885" customFormat="1" ht="19.5" customHeight="1">
      <c r="A37" s="3290"/>
      <c r="B37" s="3290"/>
      <c r="C37" s="881" t="s">
        <v>596</v>
      </c>
      <c r="D37" s="882"/>
      <c r="E37" s="880">
        <v>1.5</v>
      </c>
      <c r="F37" s="883" t="s">
        <v>597</v>
      </c>
      <c r="G37" s="884"/>
      <c r="H37" s="876"/>
      <c r="I37" s="876"/>
    </row>
    <row r="38" spans="1:9" s="885" customFormat="1" ht="19.5" customHeight="1">
      <c r="A38" s="3290"/>
      <c r="B38" s="3290"/>
      <c r="C38" s="881" t="s">
        <v>598</v>
      </c>
      <c r="D38" s="882"/>
      <c r="E38" s="880">
        <v>1</v>
      </c>
      <c r="F38" s="883" t="s">
        <v>599</v>
      </c>
      <c r="G38" s="884"/>
      <c r="H38" s="876"/>
      <c r="I38" s="876"/>
    </row>
    <row r="39" spans="1:9" s="885" customFormat="1" ht="19.5" customHeight="1">
      <c r="A39" s="3290"/>
      <c r="B39" s="329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0" t="s">
        <v>614</v>
      </c>
      <c r="C61" s="816" t="s">
        <v>615</v>
      </c>
      <c r="D61" s="816" t="s">
        <v>616</v>
      </c>
      <c r="E61" s="893">
        <v>0.5</v>
      </c>
      <c r="F61" s="880">
        <v>80</v>
      </c>
    </row>
    <row r="62" spans="1:8" s="876" customFormat="1" ht="24">
      <c r="A62" s="880">
        <v>2</v>
      </c>
      <c r="B62" s="3290"/>
      <c r="C62" s="816" t="s">
        <v>617</v>
      </c>
      <c r="D62" s="816" t="s">
        <v>618</v>
      </c>
      <c r="E62" s="893">
        <v>0.5</v>
      </c>
      <c r="F62" s="880">
        <v>80</v>
      </c>
    </row>
    <row r="63" spans="1:8" s="876" customFormat="1" ht="36">
      <c r="A63" s="880">
        <v>3</v>
      </c>
      <c r="B63" s="3290"/>
      <c r="C63" s="816" t="s">
        <v>619</v>
      </c>
      <c r="D63" s="816" t="s">
        <v>620</v>
      </c>
      <c r="E63" s="893">
        <v>0.5</v>
      </c>
      <c r="F63" s="880">
        <v>80</v>
      </c>
    </row>
    <row r="64" spans="1:8" s="876" customFormat="1" ht="36">
      <c r="A64" s="880">
        <v>4</v>
      </c>
      <c r="B64" s="3290"/>
      <c r="C64" s="816" t="s">
        <v>621</v>
      </c>
      <c r="D64" s="816" t="s">
        <v>622</v>
      </c>
      <c r="E64" s="893">
        <v>0.4</v>
      </c>
      <c r="F64" s="880">
        <v>60</v>
      </c>
    </row>
    <row r="65" spans="1:6" s="876" customFormat="1" ht="36">
      <c r="A65" s="880">
        <v>5</v>
      </c>
      <c r="B65" s="3290"/>
      <c r="C65" s="816" t="s">
        <v>623</v>
      </c>
      <c r="D65" s="816" t="s">
        <v>624</v>
      </c>
      <c r="E65" s="893">
        <v>0.2</v>
      </c>
      <c r="F65" s="880">
        <v>30</v>
      </c>
    </row>
    <row r="66" spans="1:6" s="876" customFormat="1" ht="36">
      <c r="A66" s="880">
        <v>6</v>
      </c>
      <c r="B66" s="3290"/>
      <c r="C66" s="816" t="s">
        <v>625</v>
      </c>
      <c r="D66" s="816" t="s">
        <v>626</v>
      </c>
      <c r="E66" s="893">
        <v>0.3</v>
      </c>
      <c r="F66" s="880">
        <v>50</v>
      </c>
    </row>
    <row r="67" spans="1:6" s="876" customFormat="1" ht="36">
      <c r="A67" s="880">
        <v>7</v>
      </c>
      <c r="B67" s="3290"/>
      <c r="C67" s="816" t="s">
        <v>627</v>
      </c>
      <c r="D67" s="816" t="s">
        <v>628</v>
      </c>
      <c r="E67" s="893">
        <v>0.2</v>
      </c>
      <c r="F67" s="880">
        <v>30</v>
      </c>
    </row>
    <row r="68" spans="1:6" s="876" customFormat="1" ht="36">
      <c r="A68" s="880">
        <v>8</v>
      </c>
      <c r="B68" s="3290"/>
      <c r="C68" s="816" t="s">
        <v>629</v>
      </c>
      <c r="D68" s="816" t="s">
        <v>630</v>
      </c>
      <c r="E68" s="893">
        <v>0.2</v>
      </c>
      <c r="F68" s="880">
        <v>30</v>
      </c>
    </row>
    <row r="69" spans="1:6" s="876" customFormat="1" ht="36">
      <c r="A69" s="880">
        <v>9</v>
      </c>
      <c r="B69" s="3290"/>
      <c r="C69" s="816" t="s">
        <v>631</v>
      </c>
      <c r="D69" s="816" t="s">
        <v>632</v>
      </c>
      <c r="E69" s="893">
        <v>0.2</v>
      </c>
      <c r="F69" s="880">
        <v>30</v>
      </c>
    </row>
    <row r="70" spans="1:6" s="876" customFormat="1" ht="48">
      <c r="A70" s="880">
        <v>10</v>
      </c>
      <c r="B70" s="3290"/>
      <c r="C70" s="816" t="s">
        <v>633</v>
      </c>
      <c r="D70" s="816" t="s">
        <v>634</v>
      </c>
      <c r="E70" s="893">
        <v>0.2</v>
      </c>
      <c r="F70" s="880">
        <v>30</v>
      </c>
    </row>
    <row r="71" spans="1:6" s="876" customFormat="1" ht="48">
      <c r="A71" s="880">
        <v>11</v>
      </c>
      <c r="B71" s="3290"/>
      <c r="C71" s="816" t="s">
        <v>635</v>
      </c>
      <c r="D71" s="816" t="s">
        <v>636</v>
      </c>
      <c r="E71" s="893">
        <v>0.2</v>
      </c>
      <c r="F71" s="880">
        <v>30</v>
      </c>
    </row>
    <row r="72" spans="1:6" s="876" customFormat="1" ht="36">
      <c r="A72" s="880">
        <v>12</v>
      </c>
      <c r="B72" s="3290"/>
      <c r="C72" s="816" t="s">
        <v>637</v>
      </c>
      <c r="D72" s="816" t="s">
        <v>638</v>
      </c>
      <c r="E72" s="893">
        <v>0.5</v>
      </c>
      <c r="F72" s="880">
        <v>80</v>
      </c>
    </row>
    <row r="73" spans="1:6" s="876" customFormat="1" ht="24">
      <c r="A73" s="880">
        <v>13</v>
      </c>
      <c r="B73" s="3290"/>
      <c r="C73" s="816" t="s">
        <v>639</v>
      </c>
      <c r="D73" s="816" t="s">
        <v>640</v>
      </c>
      <c r="E73" s="893">
        <v>0.4</v>
      </c>
      <c r="F73" s="880">
        <v>60</v>
      </c>
    </row>
    <row r="74" spans="1:6" s="876" customFormat="1" ht="24">
      <c r="A74" s="880">
        <v>14</v>
      </c>
      <c r="B74" s="3290"/>
      <c r="C74" s="816" t="s">
        <v>641</v>
      </c>
      <c r="D74" s="816" t="s">
        <v>642</v>
      </c>
      <c r="E74" s="893">
        <v>0.2</v>
      </c>
      <c r="F74" s="880">
        <v>30</v>
      </c>
    </row>
    <row r="75" spans="1:6" s="876" customFormat="1" ht="24">
      <c r="A75" s="880">
        <v>15</v>
      </c>
      <c r="B75" s="3290"/>
      <c r="C75" s="816" t="s">
        <v>643</v>
      </c>
      <c r="D75" s="816" t="s">
        <v>644</v>
      </c>
      <c r="E75" s="893">
        <v>0.2</v>
      </c>
      <c r="F75" s="880">
        <v>30</v>
      </c>
    </row>
    <row r="76" spans="1:6" s="876" customFormat="1" ht="24">
      <c r="A76" s="880">
        <v>16</v>
      </c>
      <c r="B76" s="3290" t="s">
        <v>645</v>
      </c>
      <c r="C76" s="816" t="s">
        <v>646</v>
      </c>
      <c r="D76" s="816" t="s">
        <v>647</v>
      </c>
      <c r="E76" s="893">
        <v>0.5</v>
      </c>
      <c r="F76" s="880">
        <v>80</v>
      </c>
    </row>
    <row r="77" spans="1:6" s="876" customFormat="1" ht="24">
      <c r="A77" s="880">
        <v>17</v>
      </c>
      <c r="B77" s="3290"/>
      <c r="C77" s="816" t="s">
        <v>648</v>
      </c>
      <c r="D77" s="816" t="s">
        <v>649</v>
      </c>
      <c r="E77" s="893">
        <v>0.5</v>
      </c>
      <c r="F77" s="880">
        <v>80</v>
      </c>
    </row>
    <row r="78" spans="1:6" s="876" customFormat="1" ht="24">
      <c r="A78" s="880">
        <v>18</v>
      </c>
      <c r="B78" s="3290"/>
      <c r="C78" s="816" t="s">
        <v>650</v>
      </c>
      <c r="D78" s="816" t="s">
        <v>651</v>
      </c>
      <c r="E78" s="893">
        <v>0.2</v>
      </c>
      <c r="F78" s="880">
        <v>30</v>
      </c>
    </row>
    <row r="79" spans="1:6" s="876" customFormat="1" ht="24">
      <c r="A79" s="880">
        <v>19</v>
      </c>
      <c r="B79" s="3290"/>
      <c r="C79" s="816" t="s">
        <v>652</v>
      </c>
      <c r="D79" s="816" t="s">
        <v>653</v>
      </c>
      <c r="E79" s="893">
        <v>0.5</v>
      </c>
      <c r="F79" s="880">
        <v>80</v>
      </c>
    </row>
    <row r="80" spans="1:6" s="876" customFormat="1" ht="36">
      <c r="A80" s="880">
        <v>20</v>
      </c>
      <c r="B80" s="3290"/>
      <c r="C80" s="816" t="s">
        <v>654</v>
      </c>
      <c r="D80" s="816" t="s">
        <v>655</v>
      </c>
      <c r="E80" s="893">
        <v>0.2</v>
      </c>
      <c r="F80" s="880">
        <v>30</v>
      </c>
    </row>
    <row r="81" spans="1:6" s="876" customFormat="1" ht="36">
      <c r="A81" s="880">
        <v>21</v>
      </c>
      <c r="B81" s="3290"/>
      <c r="C81" s="816" t="s">
        <v>656</v>
      </c>
      <c r="D81" s="816" t="s">
        <v>657</v>
      </c>
      <c r="E81" s="893">
        <v>0.2</v>
      </c>
      <c r="F81" s="880">
        <v>30</v>
      </c>
    </row>
    <row r="82" spans="1:6" s="876" customFormat="1" ht="48">
      <c r="A82" s="880">
        <v>22</v>
      </c>
      <c r="B82" s="3290"/>
      <c r="C82" s="816" t="s">
        <v>658</v>
      </c>
      <c r="D82" s="816" t="s">
        <v>659</v>
      </c>
      <c r="E82" s="893">
        <v>0.2</v>
      </c>
      <c r="F82" s="880">
        <v>30</v>
      </c>
    </row>
    <row r="83" spans="1:6" s="876" customFormat="1" ht="48">
      <c r="A83" s="880">
        <v>23</v>
      </c>
      <c r="B83" s="3290"/>
      <c r="C83" s="816" t="s">
        <v>660</v>
      </c>
      <c r="D83" s="816" t="s">
        <v>661</v>
      </c>
      <c r="E83" s="893">
        <v>0.2</v>
      </c>
      <c r="F83" s="880">
        <v>30</v>
      </c>
    </row>
    <row r="84" spans="1:6" s="876" customFormat="1" ht="36">
      <c r="A84" s="880">
        <v>24</v>
      </c>
      <c r="B84" s="3290"/>
      <c r="C84" s="816" t="s">
        <v>662</v>
      </c>
      <c r="D84" s="816" t="s">
        <v>663</v>
      </c>
      <c r="E84" s="893">
        <v>0.2</v>
      </c>
      <c r="F84" s="880">
        <v>30</v>
      </c>
    </row>
    <row r="85" spans="1:6" s="876" customFormat="1" ht="36">
      <c r="A85" s="880">
        <v>25</v>
      </c>
      <c r="B85" s="3290"/>
      <c r="C85" s="816" t="s">
        <v>664</v>
      </c>
      <c r="D85" s="816" t="s">
        <v>665</v>
      </c>
      <c r="E85" s="893">
        <v>0.5</v>
      </c>
      <c r="F85" s="880">
        <v>80</v>
      </c>
    </row>
    <row r="86" spans="1:6" s="876" customFormat="1" ht="36">
      <c r="A86" s="880">
        <v>26</v>
      </c>
      <c r="B86" s="3290"/>
      <c r="C86" s="816" t="s">
        <v>666</v>
      </c>
      <c r="D86" s="816" t="s">
        <v>667</v>
      </c>
      <c r="E86" s="893">
        <v>0.2</v>
      </c>
      <c r="F86" s="880">
        <v>30</v>
      </c>
    </row>
    <row r="87" spans="1:6" s="876" customFormat="1" ht="36">
      <c r="A87" s="880">
        <v>27</v>
      </c>
      <c r="B87" s="3290"/>
      <c r="C87" s="816" t="s">
        <v>668</v>
      </c>
      <c r="D87" s="816" t="s">
        <v>669</v>
      </c>
      <c r="E87" s="893">
        <v>0.2</v>
      </c>
      <c r="F87" s="880">
        <v>30</v>
      </c>
    </row>
    <row r="88" spans="1:6" s="876" customFormat="1" ht="36">
      <c r="A88" s="880">
        <v>28</v>
      </c>
      <c r="B88" s="3290"/>
      <c r="C88" s="816" t="s">
        <v>670</v>
      </c>
      <c r="D88" s="816" t="s">
        <v>671</v>
      </c>
      <c r="E88" s="893">
        <v>0.2</v>
      </c>
      <c r="F88" s="880">
        <v>30</v>
      </c>
    </row>
    <row r="89" spans="1:6" s="876" customFormat="1" ht="24">
      <c r="A89" s="880">
        <v>29</v>
      </c>
      <c r="B89" s="3290"/>
      <c r="C89" s="816" t="s">
        <v>672</v>
      </c>
      <c r="D89" s="816" t="s">
        <v>673</v>
      </c>
      <c r="E89" s="893">
        <v>0.2</v>
      </c>
      <c r="F89" s="880">
        <v>30</v>
      </c>
    </row>
    <row r="90" spans="1:6" s="876" customFormat="1" ht="24">
      <c r="A90" s="880">
        <v>30</v>
      </c>
      <c r="B90" s="3290"/>
      <c r="C90" s="816" t="s">
        <v>674</v>
      </c>
      <c r="D90" s="816" t="s">
        <v>675</v>
      </c>
      <c r="E90" s="893">
        <v>0.2</v>
      </c>
      <c r="F90" s="880">
        <v>30</v>
      </c>
    </row>
    <row r="91" spans="1:6" s="876" customFormat="1" ht="36">
      <c r="A91" s="880">
        <v>31</v>
      </c>
      <c r="B91" s="3290"/>
      <c r="C91" s="816" t="s">
        <v>676</v>
      </c>
      <c r="D91" s="816" t="s">
        <v>677</v>
      </c>
      <c r="E91" s="893">
        <v>0.2</v>
      </c>
      <c r="F91" s="880">
        <v>30</v>
      </c>
    </row>
    <row r="92" spans="1:6" s="876" customFormat="1" ht="24">
      <c r="A92" s="880">
        <v>32</v>
      </c>
      <c r="B92" s="3290" t="s">
        <v>678</v>
      </c>
      <c r="C92" s="880" t="s">
        <v>679</v>
      </c>
      <c r="D92" s="816" t="s">
        <v>680</v>
      </c>
      <c r="E92" s="893">
        <v>0.2</v>
      </c>
      <c r="F92" s="880">
        <v>30</v>
      </c>
    </row>
    <row r="93" spans="1:6" s="876" customFormat="1" ht="36">
      <c r="A93" s="880">
        <v>33</v>
      </c>
      <c r="B93" s="3290"/>
      <c r="C93" s="880" t="s">
        <v>681</v>
      </c>
      <c r="D93" s="816" t="s">
        <v>682</v>
      </c>
      <c r="E93" s="893">
        <v>0.2</v>
      </c>
      <c r="F93" s="880">
        <v>30</v>
      </c>
    </row>
    <row r="94" spans="1:6" s="876" customFormat="1" ht="48">
      <c r="A94" s="880">
        <v>34</v>
      </c>
      <c r="B94" s="3290"/>
      <c r="C94" s="880" t="s">
        <v>683</v>
      </c>
      <c r="D94" s="816" t="s">
        <v>684</v>
      </c>
      <c r="E94" s="893">
        <v>0.2</v>
      </c>
      <c r="F94" s="880">
        <v>30</v>
      </c>
    </row>
    <row r="95" spans="1:6" s="876" customFormat="1" ht="36">
      <c r="A95" s="880">
        <v>35</v>
      </c>
      <c r="B95" s="3290"/>
      <c r="C95" s="880" t="s">
        <v>685</v>
      </c>
      <c r="D95" s="816" t="s">
        <v>686</v>
      </c>
      <c r="E95" s="893">
        <v>0.2</v>
      </c>
      <c r="F95" s="880">
        <v>30</v>
      </c>
    </row>
    <row r="96" spans="1:6" s="876" customFormat="1" ht="48">
      <c r="A96" s="880">
        <v>36</v>
      </c>
      <c r="B96" s="3290"/>
      <c r="C96" s="816" t="s">
        <v>687</v>
      </c>
      <c r="D96" s="816" t="s">
        <v>688</v>
      </c>
      <c r="E96" s="893">
        <v>0.2</v>
      </c>
      <c r="F96" s="880">
        <v>30</v>
      </c>
    </row>
    <row r="97" spans="1:6" s="876" customFormat="1" ht="36">
      <c r="A97" s="880">
        <v>37</v>
      </c>
      <c r="B97" s="3290"/>
      <c r="C97" s="880" t="s">
        <v>689</v>
      </c>
      <c r="D97" s="816" t="s">
        <v>690</v>
      </c>
      <c r="E97" s="893">
        <v>0.2</v>
      </c>
      <c r="F97" s="880">
        <v>30</v>
      </c>
    </row>
    <row r="98" spans="1:6" s="876" customFormat="1" ht="36">
      <c r="A98" s="880">
        <v>38</v>
      </c>
      <c r="B98" s="3290"/>
      <c r="C98" s="880" t="s">
        <v>691</v>
      </c>
      <c r="D98" s="816" t="s">
        <v>692</v>
      </c>
      <c r="E98" s="893">
        <v>0.2</v>
      </c>
      <c r="F98" s="880">
        <v>30</v>
      </c>
    </row>
    <row r="99" spans="1:6" s="876" customFormat="1" ht="36">
      <c r="A99" s="880">
        <v>39</v>
      </c>
      <c r="B99" s="3290" t="s">
        <v>693</v>
      </c>
      <c r="C99" s="880" t="s">
        <v>694</v>
      </c>
      <c r="D99" s="816" t="s">
        <v>695</v>
      </c>
      <c r="E99" s="893">
        <v>0.3</v>
      </c>
      <c r="F99" s="880">
        <v>50</v>
      </c>
    </row>
    <row r="100" spans="1:6" s="876" customFormat="1" ht="24">
      <c r="A100" s="880">
        <v>40</v>
      </c>
      <c r="B100" s="3290"/>
      <c r="C100" s="880" t="s">
        <v>696</v>
      </c>
      <c r="D100" s="816" t="s">
        <v>697</v>
      </c>
      <c r="E100" s="893">
        <v>0.2</v>
      </c>
      <c r="F100" s="880">
        <v>30</v>
      </c>
    </row>
    <row r="101" spans="1:6" s="876" customFormat="1" ht="36">
      <c r="A101" s="880">
        <v>41</v>
      </c>
      <c r="B101" s="329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0" t="s">
        <v>708</v>
      </c>
      <c r="C105" s="880" t="s">
        <v>709</v>
      </c>
      <c r="D105" s="816" t="s">
        <v>710</v>
      </c>
      <c r="E105" s="893">
        <v>0.2</v>
      </c>
      <c r="F105" s="880">
        <v>30</v>
      </c>
    </row>
    <row r="106" spans="1:6" s="876" customFormat="1" ht="36">
      <c r="A106" s="880">
        <v>46</v>
      </c>
      <c r="B106" s="3290"/>
      <c r="C106" s="880" t="s">
        <v>711</v>
      </c>
      <c r="D106" s="816" t="s">
        <v>712</v>
      </c>
      <c r="E106" s="893">
        <v>0.2</v>
      </c>
      <c r="F106" s="880">
        <v>30</v>
      </c>
    </row>
    <row r="107" spans="1:6" s="876" customFormat="1" ht="36">
      <c r="A107" s="880">
        <v>47</v>
      </c>
      <c r="B107" s="3290" t="s">
        <v>713</v>
      </c>
      <c r="C107" s="880" t="s">
        <v>714</v>
      </c>
      <c r="D107" s="816" t="s">
        <v>715</v>
      </c>
      <c r="E107" s="893">
        <v>0.3</v>
      </c>
      <c r="F107" s="880">
        <v>50</v>
      </c>
    </row>
    <row r="108" spans="1:6" s="876" customFormat="1" ht="36">
      <c r="A108" s="880">
        <v>48</v>
      </c>
      <c r="B108" s="329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0" t="s">
        <v>724</v>
      </c>
      <c r="C111" s="880" t="s">
        <v>725</v>
      </c>
      <c r="D111" s="816" t="s">
        <v>726</v>
      </c>
      <c r="E111" s="893">
        <v>0.2</v>
      </c>
      <c r="F111" s="880">
        <v>30</v>
      </c>
    </row>
    <row r="112" spans="1:6" s="876" customFormat="1" ht="24">
      <c r="A112" s="880">
        <v>52</v>
      </c>
      <c r="B112" s="3290"/>
      <c r="C112" s="880" t="s">
        <v>727</v>
      </c>
      <c r="D112" s="816" t="s">
        <v>728</v>
      </c>
      <c r="E112" s="893">
        <v>0.2</v>
      </c>
      <c r="F112" s="880">
        <v>30</v>
      </c>
    </row>
    <row r="113" spans="1:6" s="876" customFormat="1" ht="24">
      <c r="A113" s="880">
        <v>53</v>
      </c>
      <c r="B113" s="329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0" t="s">
        <v>737</v>
      </c>
      <c r="C116" s="880" t="s">
        <v>738</v>
      </c>
      <c r="D116" s="816" t="s">
        <v>739</v>
      </c>
      <c r="E116" s="893">
        <v>0.2</v>
      </c>
      <c r="F116" s="880">
        <v>30</v>
      </c>
    </row>
    <row r="117" spans="1:6" ht="36">
      <c r="A117" s="880">
        <v>57</v>
      </c>
      <c r="B117" s="329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3004</v>
      </c>
    </row>
    <row r="2" spans="1:5" ht="15.75">
      <c r="A2" s="2903" t="s">
        <v>2996</v>
      </c>
      <c r="B2" s="2904" t="e">
        <f ca="1">SUMIF(B6:B13,"&lt;&gt;#ref!",B6:B13)</f>
        <v>#DIV/0!</v>
      </c>
      <c r="C2" s="2903" t="s">
        <v>2997</v>
      </c>
      <c r="D2" s="2903" t="s">
        <v>2998</v>
      </c>
      <c r="E2" s="2904">
        <f ca="1">SUMIF(E6:E13,"&lt;&gt;#ref!",E6:E13)</f>
        <v>0</v>
      </c>
    </row>
    <row r="3" spans="1:5" ht="15.75">
      <c r="A3" s="2903" t="s">
        <v>2999</v>
      </c>
      <c r="B3" s="2904" t="e">
        <f ca="1">ROUND(B2*10000/E2,0)</f>
        <v>#DIV/0!</v>
      </c>
      <c r="C3" s="2903" t="s">
        <v>3005</v>
      </c>
      <c r="D3" s="2905"/>
      <c r="E3" s="2905"/>
    </row>
    <row r="4" spans="1:5" ht="15.75">
      <c r="A4" s="2906"/>
      <c r="B4" s="2905"/>
      <c r="C4" s="2905"/>
      <c r="D4" s="2905"/>
      <c r="E4" s="2905"/>
    </row>
    <row r="5" spans="1:5" ht="28.5">
      <c r="A5" s="2907" t="s">
        <v>3000</v>
      </c>
      <c r="B5" s="2903" t="s">
        <v>3001</v>
      </c>
      <c r="C5" s="2904"/>
      <c r="D5" s="2905"/>
      <c r="E5" s="2903" t="s">
        <v>3002</v>
      </c>
    </row>
    <row r="6" spans="1:5" ht="15.75">
      <c r="A6" s="2908" t="s">
        <v>3003</v>
      </c>
      <c r="B6" s="2904" t="e">
        <f ca="1">SUMIF(INDIRECT("'"&amp;A6&amp;"'"&amp;"!A:A"),"总价",INDIRECT("'"&amp;A6&amp;"'"&amp;"!B:B"))</f>
        <v>#DIV/0!</v>
      </c>
      <c r="C6" s="2903" t="s">
        <v>2997</v>
      </c>
      <c r="D6" s="2905"/>
      <c r="E6" s="2576">
        <f ca="1">SUMIF(INDIRECT("'"&amp;A6&amp;"'"&amp;"!C:C"),"建筑面积",INDIRECT("'"&amp;A6&amp;"'"&amp;"!D:D"))</f>
        <v>0</v>
      </c>
    </row>
    <row r="7" spans="1:5" ht="15.75">
      <c r="A7" s="2908"/>
      <c r="B7" s="2904" t="e">
        <f ca="1">SUMIF(INDIRECT("'"&amp;A7&amp;"'"&amp;"!A:A"),"总价",INDIRECT("'"&amp;A7&amp;"'"&amp;"!B:B"))</f>
        <v>#REF!</v>
      </c>
      <c r="C7" s="2903" t="s">
        <v>2997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2997</v>
      </c>
      <c r="D8" s="2905"/>
      <c r="E8" s="2576" t="e">
        <f t="shared" ca="1" si="0"/>
        <v>#REF!</v>
      </c>
    </row>
    <row r="9" spans="1:5" ht="15.75">
      <c r="A9" s="2908"/>
      <c r="B9" s="2904" t="e">
        <f t="shared" ca="1" si="1"/>
        <v>#REF!</v>
      </c>
      <c r="C9" s="2903" t="s">
        <v>2997</v>
      </c>
      <c r="D9" s="2905"/>
      <c r="E9" s="2576" t="e">
        <f t="shared" ca="1" si="0"/>
        <v>#REF!</v>
      </c>
    </row>
    <row r="10" spans="1:5" ht="15.75">
      <c r="A10" s="2908"/>
      <c r="B10" s="2904" t="e">
        <f t="shared" ca="1" si="1"/>
        <v>#REF!</v>
      </c>
      <c r="C10" s="2903" t="s">
        <v>2997</v>
      </c>
      <c r="D10" s="2905"/>
      <c r="E10" s="2576" t="e">
        <f t="shared" ca="1" si="0"/>
        <v>#REF!</v>
      </c>
    </row>
    <row r="11" spans="1:5" ht="15.75">
      <c r="A11" s="2908"/>
      <c r="B11" s="2904" t="e">
        <f t="shared" ca="1" si="1"/>
        <v>#REF!</v>
      </c>
      <c r="C11" s="2903" t="s">
        <v>2997</v>
      </c>
      <c r="D11" s="2905"/>
      <c r="E11" s="2576" t="e">
        <f t="shared" ca="1" si="0"/>
        <v>#REF!</v>
      </c>
    </row>
    <row r="12" spans="1:5" ht="15.75">
      <c r="A12" s="2908"/>
      <c r="B12" s="2904" t="e">
        <f t="shared" ca="1" si="1"/>
        <v>#REF!</v>
      </c>
      <c r="C12" s="2903" t="s">
        <v>2997</v>
      </c>
      <c r="D12" s="2905"/>
      <c r="E12" s="2576" t="e">
        <f t="shared" ca="1" si="0"/>
        <v>#REF!</v>
      </c>
    </row>
    <row r="13" spans="1:5" ht="15.75">
      <c r="A13" s="2908"/>
      <c r="B13" s="2904" t="e">
        <f t="shared" ca="1" si="1"/>
        <v>#REF!</v>
      </c>
      <c r="C13" s="2903" t="s">
        <v>2997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6" t="s">
        <v>1146</v>
      </c>
      <c r="C1" s="3296"/>
      <c r="D1" s="3296"/>
      <c r="E1" s="3296"/>
      <c r="F1" s="3296"/>
      <c r="G1" s="3295" t="s">
        <v>1147</v>
      </c>
      <c r="H1" s="3295"/>
      <c r="I1" s="3295"/>
      <c r="J1" s="3295"/>
      <c r="K1" s="3295"/>
      <c r="L1" s="3295"/>
      <c r="N1" s="3295" t="s">
        <v>1148</v>
      </c>
      <c r="O1" s="3295"/>
      <c r="P1" s="3295"/>
      <c r="Q1" s="3295"/>
      <c r="R1" s="1444"/>
      <c r="S1" s="3295" t="s">
        <v>1149</v>
      </c>
      <c r="T1" s="3295"/>
      <c r="U1" s="3295"/>
      <c r="V1" s="3295"/>
      <c r="X1" s="3294" t="s">
        <v>1150</v>
      </c>
      <c r="Y1" s="3295"/>
      <c r="Z1" s="3295"/>
      <c r="AA1" s="3295"/>
      <c r="AB1" s="3295"/>
      <c r="AD1" s="3294" t="s">
        <v>1151</v>
      </c>
      <c r="AE1" s="3295"/>
      <c r="AF1" s="3295"/>
      <c r="AG1" s="3295"/>
      <c r="AH1" s="329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3037</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8">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8">
        <v>2019</v>
      </c>
      <c r="H6" s="1460">
        <v>2</v>
      </c>
      <c r="I6" s="2952">
        <v>1.53</v>
      </c>
      <c r="J6" s="2952">
        <v>1.01</v>
      </c>
      <c r="K6" s="2952">
        <v>1.62</v>
      </c>
      <c r="L6" s="295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9">
        <f t="shared" ref="B8" si="35">B9*(1+N8)</f>
        <v>464.37293017158942</v>
      </c>
      <c r="C8" s="2949">
        <f t="shared" ref="C8" si="36">C9*(1+O8)</f>
        <v>344.73679941385956</v>
      </c>
      <c r="D8" s="2949">
        <f t="shared" ref="D8" si="37">C8</f>
        <v>344.73679941385956</v>
      </c>
      <c r="E8" s="2949">
        <f t="shared" ref="E8" si="38">E9*(1+P8)</f>
        <v>663.2377795103107</v>
      </c>
      <c r="F8" s="2950">
        <f t="shared" ref="F8" si="39">F9*(1+Q8)</f>
        <v>304.75936311478398</v>
      </c>
      <c r="G8" s="3292">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92"/>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92"/>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0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29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92"/>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92"/>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0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29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92"/>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92"/>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93"/>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91">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92"/>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92"/>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93"/>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91">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92"/>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92"/>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93"/>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29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9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9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91">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92"/>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92"/>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93"/>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91">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92">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92">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93">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91">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92">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92">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93">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91">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92">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92">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93">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91">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92">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92">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93">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91">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92">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92">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93">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91">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92">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92">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93">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91">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92">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92">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93">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91">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92">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92">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93">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91">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92">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92">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93">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91">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92">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92">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93">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8"/>
      <c r="B4" s="2983" t="s">
        <v>1625</v>
      </c>
      <c r="C4" s="2983"/>
      <c r="D4" s="2983"/>
      <c r="E4" s="1958"/>
    </row>
    <row r="5" spans="1:5" ht="16.5" thickTop="1">
      <c r="A5" s="1956"/>
      <c r="B5" s="2981" t="s">
        <v>1617</v>
      </c>
      <c r="C5" s="1959" t="s">
        <v>1618</v>
      </c>
      <c r="D5" s="1038">
        <f ca="1">结果表!H101</f>
        <v>1980</v>
      </c>
      <c r="E5" s="1956"/>
    </row>
    <row r="6" spans="1:5" ht="15.75">
      <c r="A6" s="1956"/>
      <c r="B6" s="2981"/>
      <c r="C6" s="1959" t="s">
        <v>1619</v>
      </c>
      <c r="D6" s="1038" t="str">
        <f ca="1">NUMBERSTRING(INT(D5*10000),2)&amp;"元整"</f>
        <v>壹仟玖佰捌拾万元整</v>
      </c>
      <c r="E6" s="1956"/>
    </row>
    <row r="7" spans="1:5" ht="15.75">
      <c r="A7" s="1956"/>
      <c r="B7" s="2986"/>
      <c r="C7" s="1960" t="s">
        <v>1620</v>
      </c>
      <c r="D7" s="1039">
        <f ca="1">结果表!H102</f>
        <v>7519</v>
      </c>
      <c r="E7" s="1956"/>
    </row>
    <row r="8" spans="1:5" ht="15.75">
      <c r="A8" s="1956"/>
      <c r="B8" s="2987" t="str">
        <f>结果表!E103</f>
        <v>2.估价师知悉的法定优先受偿款</v>
      </c>
      <c r="C8" s="1961" t="s">
        <v>1621</v>
      </c>
      <c r="D8" s="1039">
        <f>结果表!H103</f>
        <v>0</v>
      </c>
      <c r="E8" s="1956"/>
    </row>
    <row r="9" spans="1:5" ht="15.75">
      <c r="A9" s="1956"/>
      <c r="B9" s="2989"/>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80" t="str">
        <f>结果表!E107</f>
        <v>3.房地产抵押价值</v>
      </c>
      <c r="C13" s="1964" t="s">
        <v>1618</v>
      </c>
      <c r="D13" s="1041">
        <f ca="1">结果表!H107</f>
        <v>1980</v>
      </c>
      <c r="E13" s="1956"/>
    </row>
    <row r="14" spans="1:5" ht="15.75">
      <c r="A14" s="1956"/>
      <c r="B14" s="2981"/>
      <c r="C14" s="1959" t="s">
        <v>1619</v>
      </c>
      <c r="D14" s="1038" t="str">
        <f ca="1">NUMBERSTRING(INT(D13*10000),2)&amp;"元整"</f>
        <v>壹仟玖佰捌拾万元整</v>
      </c>
      <c r="E14" s="1956"/>
    </row>
    <row r="15" spans="1:5" ht="15">
      <c r="A15" s="1956"/>
      <c r="B15" s="2986"/>
      <c r="C15" s="1960" t="s">
        <v>1629</v>
      </c>
      <c r="D15" s="1050">
        <f ca="1">结果表!H108</f>
        <v>7519</v>
      </c>
      <c r="E15" s="1956"/>
    </row>
    <row r="16" spans="1:5" ht="15">
      <c r="A16" s="1956"/>
      <c r="B16" s="2987" t="str">
        <f>结果表!E109</f>
        <v>——</v>
      </c>
      <c r="C16" s="1964" t="s">
        <v>1630</v>
      </c>
      <c r="D16" s="1965" t="str">
        <f>结果表!H109</f>
        <v>——</v>
      </c>
      <c r="E16" s="1956"/>
    </row>
    <row r="17" spans="1:5" ht="15.75">
      <c r="A17" s="1956"/>
      <c r="B17" s="2988"/>
      <c r="C17" s="1959" t="s">
        <v>1631</v>
      </c>
      <c r="D17" s="1038" t="e">
        <f>NUMBERSTRING(INT(D16*10000),2)&amp;"元整"</f>
        <v>#VALUE!</v>
      </c>
      <c r="E17" s="1956"/>
    </row>
    <row r="18" spans="1:5" ht="15">
      <c r="A18" s="1956"/>
      <c r="B18" s="2989"/>
      <c r="C18" s="1960" t="s">
        <v>1620</v>
      </c>
      <c r="D18" s="1050" t="str">
        <f>结果表!H110</f>
        <v>——</v>
      </c>
      <c r="E18" s="1956"/>
    </row>
    <row r="19" spans="1:5" ht="15.75">
      <c r="A19" s="1956"/>
      <c r="B19" s="2980" t="str">
        <f>结果表!E111</f>
        <v>——</v>
      </c>
      <c r="C19" s="1964" t="s">
        <v>1618</v>
      </c>
      <c r="D19" s="1039" t="str">
        <f>结果表!H111</f>
        <v>——</v>
      </c>
      <c r="E19" s="1956"/>
    </row>
    <row r="20" spans="1:5" ht="15.75">
      <c r="A20" s="1956"/>
      <c r="B20" s="2981"/>
      <c r="C20" s="1959" t="s">
        <v>1631</v>
      </c>
      <c r="D20" s="1038" t="e">
        <f>NUMBERSTRING(INT(D19*10000),2)&amp;"元整"</f>
        <v>#VALUE!</v>
      </c>
      <c r="E20" s="1956"/>
    </row>
    <row r="21" spans="1:5" ht="15.75" thickBot="1">
      <c r="A21" s="1956"/>
      <c r="B21" s="298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61" workbookViewId="0">
      <selection activeCell="O75" sqref="O75"/>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R27" sqref="R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3006</v>
      </c>
      <c r="C1" s="3303" t="s">
        <v>3007</v>
      </c>
      <c r="D1" s="3304"/>
      <c r="E1" s="3304"/>
      <c r="F1" s="3304"/>
      <c r="G1" s="3304"/>
      <c r="H1" s="3304"/>
      <c r="I1" s="3304"/>
      <c r="J1" s="3304"/>
      <c r="K1" s="3304"/>
      <c r="L1" s="3304"/>
      <c r="M1" s="3304"/>
      <c r="N1" s="3304"/>
      <c r="O1" s="3304"/>
      <c r="P1" s="3304"/>
      <c r="Q1" s="3304"/>
      <c r="R1" s="3304"/>
      <c r="S1" s="3305"/>
      <c r="T1" s="1202" t="s">
        <v>3008</v>
      </c>
    </row>
    <row r="2" spans="1:45" s="707" customFormat="1" ht="38.25">
      <c r="A2" s="1203"/>
      <c r="B2" s="703" t="s">
        <v>3009</v>
      </c>
      <c r="C2" s="704" t="str">
        <f t="shared" ref="C2:L2" si="0">C3&amp;"(含)"&amp;"-"&amp;D3</f>
        <v>0(含)-50</v>
      </c>
      <c r="D2" s="705" t="str">
        <f t="shared" si="0"/>
        <v>50(含)-80</v>
      </c>
      <c r="E2" s="705" t="str">
        <f t="shared" si="0"/>
        <v>80(含)-120</v>
      </c>
      <c r="F2" s="705" t="str">
        <f t="shared" si="0"/>
        <v>120(含)-200</v>
      </c>
      <c r="G2" s="705" t="str">
        <f t="shared" si="0"/>
        <v>200(含)-500</v>
      </c>
      <c r="H2" s="705" t="str">
        <f t="shared" si="0"/>
        <v>500(含)-1000</v>
      </c>
      <c r="I2" s="705" t="str">
        <f t="shared" si="0"/>
        <v>1000(含)-2000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v>
      </c>
      <c r="E3" s="595">
        <v>80</v>
      </c>
      <c r="F3" s="595">
        <v>120</v>
      </c>
      <c r="G3" s="595">
        <v>200</v>
      </c>
      <c r="H3" s="595">
        <v>500</v>
      </c>
      <c r="I3" s="595">
        <v>1000</v>
      </c>
      <c r="J3" s="596">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36">
        <v>97</v>
      </c>
      <c r="G4" s="536">
        <v>96</v>
      </c>
      <c r="H4" s="536">
        <v>95</v>
      </c>
      <c r="I4" s="536">
        <v>94</v>
      </c>
      <c r="J4" s="536">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9" t="s">
        <v>3016</v>
      </c>
      <c r="B17" s="2910" t="s">
        <v>3017</v>
      </c>
      <c r="C17" s="1229">
        <v>1</v>
      </c>
      <c r="D17" s="1230" t="s">
        <v>3119</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1" t="s">
        <v>3018</v>
      </c>
      <c r="E19" s="1790"/>
      <c r="F19" s="1790"/>
      <c r="G19" s="1790"/>
      <c r="H19" s="1278"/>
      <c r="I19" s="168"/>
      <c r="J19" s="168"/>
      <c r="K19" s="168"/>
      <c r="L19" s="168"/>
      <c r="M19" s="168"/>
      <c r="N19" s="168"/>
      <c r="O19" s="168"/>
      <c r="P19" s="168"/>
      <c r="Q19" s="168"/>
      <c r="R19" s="786"/>
      <c r="S19" s="138"/>
    </row>
    <row r="20" spans="1:45" ht="16.5" thickBot="1">
      <c r="A20" s="713" t="s">
        <v>3019</v>
      </c>
      <c r="B20" s="338">
        <f ca="1">IF(D20="——",S22,S22-F20)</f>
        <v>1980</v>
      </c>
      <c r="C20" s="168"/>
      <c r="D20" s="2912" t="s">
        <v>70</v>
      </c>
      <c r="E20" s="1791"/>
      <c r="F20" s="1202" t="e">
        <f ca="1">SUMIF(INDIRECT("'"&amp;H20&amp;"'"&amp;"!A:A"),"承租人权益价值",INDIRECT("'"&amp;H20&amp;"'"&amp;"!c:c"))</f>
        <v>#REF!</v>
      </c>
      <c r="G20" s="1202" t="s">
        <v>3020</v>
      </c>
      <c r="H20" s="2913"/>
      <c r="I20" s="168"/>
      <c r="J20" s="168"/>
      <c r="K20" s="168"/>
      <c r="L20" s="168"/>
      <c r="M20" s="168"/>
      <c r="N20" s="168"/>
      <c r="O20" s="168"/>
      <c r="P20" s="168"/>
      <c r="Q20" s="168"/>
      <c r="R20" s="786"/>
      <c r="S20" s="138"/>
    </row>
    <row r="21" spans="1:45" ht="15.75">
      <c r="A21" s="713" t="s">
        <v>3021</v>
      </c>
      <c r="B21" s="338">
        <f ca="1">R22</f>
        <v>7519</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2633.48</v>
      </c>
      <c r="C22" s="3160" t="s">
        <v>33</v>
      </c>
      <c r="D22" s="3161"/>
      <c r="E22" s="3161"/>
      <c r="F22" s="3161"/>
      <c r="G22" s="3161"/>
      <c r="H22" s="3161"/>
      <c r="I22" s="3161"/>
      <c r="J22" s="3161"/>
      <c r="K22" s="3161"/>
      <c r="L22" s="3161"/>
      <c r="M22" s="3161"/>
      <c r="N22" s="3161"/>
      <c r="O22" s="3161"/>
      <c r="P22" s="3161"/>
      <c r="Q22" s="3302"/>
      <c r="R22" s="714">
        <f ca="1">ROUND(S22*10000/B22,0)</f>
        <v>7519</v>
      </c>
      <c r="S22" s="24">
        <f ca="1">SUM(S24:S10000)</f>
        <v>1980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3061</v>
      </c>
      <c r="B24" s="716">
        <f>'数据-基础表'!I13</f>
        <v>451.5</v>
      </c>
      <c r="C24" s="717">
        <v>1</v>
      </c>
      <c r="D24" s="718"/>
      <c r="E24" s="717">
        <v>1</v>
      </c>
      <c r="F24" s="718"/>
      <c r="G24" s="717">
        <v>1</v>
      </c>
      <c r="H24" s="718"/>
      <c r="I24" s="717">
        <v>1</v>
      </c>
      <c r="J24" s="718"/>
      <c r="K24" s="717">
        <v>1</v>
      </c>
      <c r="L24" s="718"/>
      <c r="M24" s="717">
        <v>1</v>
      </c>
      <c r="N24" s="718"/>
      <c r="O24" s="717">
        <v>1</v>
      </c>
      <c r="P24" s="718"/>
      <c r="Q24" s="717">
        <v>1</v>
      </c>
      <c r="R24" s="719">
        <f ca="1">'结果表-2-1#'!G20</f>
        <v>7600</v>
      </c>
      <c r="S24" s="717">
        <f t="shared" ref="S24:S54" ca="1" si="11">ROUND(R24*B24/10000,0)</f>
        <v>343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3062</v>
      </c>
      <c r="B25" s="59">
        <f>'数据-基础表'!I14</f>
        <v>417.26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7600</v>
      </c>
      <c r="S25" s="361">
        <f t="shared" ca="1" si="11"/>
        <v>317</v>
      </c>
    </row>
    <row r="26" spans="1:45">
      <c r="A26" s="159" t="s">
        <v>3064</v>
      </c>
      <c r="B26" s="59">
        <f>'数据-基础表'!I15</f>
        <v>356.76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7600</v>
      </c>
      <c r="S26" s="361">
        <f t="shared" ca="1" si="11"/>
        <v>271</v>
      </c>
    </row>
    <row r="27" spans="1:45">
      <c r="A27" s="159" t="s">
        <v>3066</v>
      </c>
      <c r="B27" s="59">
        <f>'数据-基础表'!I16</f>
        <v>1407.96</v>
      </c>
      <c r="C27" s="24">
        <f t="shared" si="12"/>
        <v>0.98</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3315">
        <f t="shared" ca="1" si="20"/>
        <v>7448</v>
      </c>
      <c r="S27" s="361">
        <f t="shared" ca="1" si="11"/>
        <v>1049</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28032</v>
      </c>
      <c r="C2" s="2" t="s">
        <v>133</v>
      </c>
      <c r="D2" s="243"/>
      <c r="E2" s="243"/>
      <c r="F2" s="243"/>
      <c r="G2" s="243"/>
    </row>
    <row r="3" spans="1:7" s="244" customFormat="1" ht="18" customHeight="1" thickBot="1">
      <c r="A3" s="247" t="s">
        <v>85</v>
      </c>
      <c r="B3" s="248">
        <f ca="1">ROUND(B2*10000/'数据-汇总表'!E3,0)</f>
        <v>106445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20</v>
      </c>
      <c r="D10" s="1030">
        <f>'数据-汇总表'!E6</f>
        <v>2633.48</v>
      </c>
      <c r="E10" s="269">
        <f>'数据-取费表'!B28</f>
        <v>75</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v>
      </c>
      <c r="D19" s="1034">
        <f>'数据-汇总表'!E3</f>
        <v>2633.48</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1505</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3161</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3161</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v>
      </c>
      <c r="D37" s="261">
        <f>'数据-汇总表'!E3</f>
        <v>2633.48</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3</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v>
      </c>
      <c r="D42" s="282"/>
      <c r="E42" s="282"/>
      <c r="F42" s="283"/>
      <c r="G42" s="3165" t="s">
        <v>121</v>
      </c>
    </row>
    <row r="43" spans="1:7" ht="13.5" customHeight="1">
      <c r="A43" s="949" t="s">
        <v>792</v>
      </c>
      <c r="B43" s="259" t="s">
        <v>1061</v>
      </c>
      <c r="C43" s="282">
        <f ca="1">ROUND(IF('数据-取费表'!B22&lt;=1,C39*F22*'数据-取费表'!B21/2,C39*(POWER((1+F22),'数据-取费表'!B21/2)-1)),0)</f>
        <v>0</v>
      </c>
      <c r="D43" s="282"/>
      <c r="E43" s="282"/>
      <c r="F43" s="283"/>
      <c r="G43" s="3166"/>
    </row>
    <row r="44" spans="1:7" ht="13.5" customHeight="1">
      <c r="A44" s="949" t="s">
        <v>793</v>
      </c>
      <c r="B44" s="259" t="s">
        <v>1063</v>
      </c>
      <c r="C44" s="282">
        <f ca="1">ROUND(IF('数据-取费表'!B22&lt;=1,C40*F22*'数据-取费表'!B21/2,C40*(POWER((1+F22),'数据-取费表'!B21/2)-1)),4)</f>
        <v>6.9999999999999999E-4</v>
      </c>
      <c r="D44" s="282"/>
      <c r="E44" s="282"/>
      <c r="F44" s="283"/>
      <c r="G44" s="3167"/>
    </row>
    <row r="45" spans="1:7" s="258" customFormat="1" ht="13.5" customHeight="1">
      <c r="A45" s="946" t="s">
        <v>786</v>
      </c>
      <c r="B45" s="288" t="s">
        <v>112</v>
      </c>
      <c r="C45" s="289">
        <f>C46</f>
        <v>23</v>
      </c>
      <c r="D45" s="279">
        <f>C47</f>
        <v>3.0000000000000001E-3</v>
      </c>
      <c r="E45" s="280" t="s">
        <v>129</v>
      </c>
      <c r="F45" s="290"/>
      <c r="G45" s="291" t="s">
        <v>1069</v>
      </c>
    </row>
    <row r="46" spans="1:7" s="258" customFormat="1" ht="13.5" customHeight="1">
      <c r="A46" s="949" t="s">
        <v>794</v>
      </c>
      <c r="B46" s="292" t="s">
        <v>1062</v>
      </c>
      <c r="C46" s="293">
        <f>ROUND((C33+C39)*F27,0)</f>
        <v>23</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198</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170</v>
      </c>
      <c r="D51" s="276"/>
      <c r="E51" s="276"/>
      <c r="F51" s="308"/>
      <c r="G51" s="278" t="s">
        <v>64</v>
      </c>
    </row>
    <row r="52" spans="1:7" s="252" customFormat="1" ht="16.5" thickBot="1">
      <c r="A52" s="309" t="s">
        <v>65</v>
      </c>
      <c r="B52" s="310"/>
      <c r="C52" s="311">
        <f ca="1">C31+C51</f>
        <v>28032</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6" t="s">
        <v>156</v>
      </c>
      <c r="B1" s="3306"/>
      <c r="C1" s="3306"/>
      <c r="D1" s="3306"/>
      <c r="E1" s="3306"/>
      <c r="F1" s="330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7" t="s">
        <v>169</v>
      </c>
      <c r="B2" s="3307"/>
      <c r="C2" s="3307"/>
      <c r="D2" s="3307"/>
      <c r="E2" s="3307"/>
      <c r="F2" s="330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6" t="s">
        <v>868</v>
      </c>
      <c r="B1" s="330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43690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H7"/>
  <sheetViews>
    <sheetView workbookViewId="0">
      <selection activeCell="E8" sqref="E8"/>
    </sheetView>
  </sheetViews>
  <sheetFormatPr defaultRowHeight="13.5"/>
  <cols>
    <col min="5" max="5" width="14.5" customWidth="1"/>
  </cols>
  <sheetData>
    <row r="7" spans="5:8">
      <c r="E7" s="2978" t="s">
        <v>3126</v>
      </c>
      <c r="F7" s="2978" t="s">
        <v>3127</v>
      </c>
      <c r="G7" s="2978" t="s">
        <v>3128</v>
      </c>
      <c r="H7" s="2978" t="s">
        <v>3129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1636</v>
      </c>
      <c r="B2" s="3000" t="s">
        <v>1637</v>
      </c>
      <c r="C2" s="3000" t="s">
        <v>1638</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2" t="s">
        <v>1633</v>
      </c>
      <c r="E3" s="1042" t="s">
        <v>1639</v>
      </c>
      <c r="F3" s="1042" t="s">
        <v>1633</v>
      </c>
      <c r="G3" s="1042" t="s">
        <v>1634</v>
      </c>
      <c r="H3" s="1042" t="s">
        <v>1633</v>
      </c>
      <c r="I3" s="1042" t="s">
        <v>1634</v>
      </c>
    </row>
    <row r="4" spans="1:9" ht="30">
      <c r="A4" s="1970" t="str">
        <f>项目基本情况!S2</f>
        <v>出让国有建设用地使用权及在建建筑物房地产</v>
      </c>
      <c r="B4" s="1042">
        <f>项目基本情况!C17</f>
        <v>2633.48</v>
      </c>
      <c r="C4" s="1042">
        <f>项目基本情况!C18</f>
        <v>3030.4</v>
      </c>
      <c r="D4" s="1042" t="e">
        <f ca="1">结果表!D118</f>
        <v>#REF!</v>
      </c>
      <c r="E4" s="1042" t="e">
        <f ca="1">结果表!E118</f>
        <v>#REF!</v>
      </c>
      <c r="F4" s="1042" t="e">
        <f ca="1">结果表!F118</f>
        <v>#REF!</v>
      </c>
      <c r="G4" s="1042" t="e">
        <f ca="1">结果表!G118</f>
        <v>#REF!</v>
      </c>
      <c r="H4" s="1042">
        <f ca="1">结果表!H118</f>
        <v>1980</v>
      </c>
      <c r="I4" s="1042">
        <f ca="1">结果表!I118</f>
        <v>7519</v>
      </c>
    </row>
    <row r="5" spans="1:9" ht="30" customHeight="1">
      <c r="A5" s="2994" t="s">
        <v>1635</v>
      </c>
      <c r="B5" s="2994"/>
      <c r="C5" s="2994"/>
      <c r="D5" s="2995" t="e">
        <f ca="1">结果表!D119</f>
        <v>#REF!</v>
      </c>
      <c r="E5" s="2995"/>
      <c r="F5" s="2995" t="e">
        <f ca="1">结果表!F119</f>
        <v>#REF!</v>
      </c>
      <c r="G5" s="2995"/>
      <c r="H5" s="2995" t="str">
        <f ca="1">结果表!H119</f>
        <v>壹仟玖佰捌拾万元整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1635</v>
      </c>
      <c r="B7" s="2994"/>
      <c r="C7" s="2994"/>
      <c r="D7" s="2996" t="str">
        <f>结果表!D121</f>
        <v>零元整</v>
      </c>
      <c r="E7" s="2997"/>
      <c r="F7" s="2997"/>
      <c r="G7" s="2997"/>
      <c r="H7" s="2997"/>
      <c r="I7" s="2998"/>
    </row>
    <row r="8" spans="1:9" ht="15.75">
      <c r="A8" s="2993" t="str">
        <f>结果表!A122</f>
        <v>房地产抵押价值</v>
      </c>
      <c r="B8" s="2993"/>
      <c r="C8" s="2993"/>
      <c r="D8" s="2993">
        <f ca="1">结果表!D122</f>
        <v>1980</v>
      </c>
      <c r="E8" s="2993"/>
      <c r="F8" s="2993"/>
      <c r="G8" s="2993"/>
      <c r="H8" s="2993"/>
      <c r="I8" s="2993"/>
    </row>
    <row r="9" spans="1:9" ht="15">
      <c r="A9" s="2994" t="s">
        <v>1635</v>
      </c>
      <c r="B9" s="2994"/>
      <c r="C9" s="2994"/>
      <c r="D9" s="2995" t="str">
        <f ca="1">结果表!D123</f>
        <v>壹仟玖佰捌拾万元整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1635</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1635</v>
      </c>
      <c r="B13" s="2990"/>
      <c r="C13" s="2990"/>
      <c r="D13" s="2991" t="e">
        <f>结果表!D127</f>
        <v>#VALUE!</v>
      </c>
      <c r="E13" s="2991"/>
      <c r="F13" s="2991"/>
      <c r="G13" s="2991"/>
      <c r="H13" s="2991"/>
      <c r="I13" s="2991"/>
    </row>
    <row r="14" spans="1:9" ht="15" thickTop="1">
      <c r="A14" s="2992" t="s">
        <v>1640</v>
      </c>
      <c r="B14" s="2992"/>
      <c r="C14" s="2992"/>
      <c r="D14" s="2992"/>
      <c r="E14" s="2992"/>
      <c r="F14" s="2992"/>
      <c r="G14" s="2992"/>
      <c r="H14" s="2992"/>
      <c r="I14" s="299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7" t="s">
        <v>1657</v>
      </c>
      <c r="B1" s="3007"/>
      <c r="C1" s="3007"/>
      <c r="D1" s="3007"/>
    </row>
    <row r="2" spans="1:4" ht="18">
      <c r="A2" s="3008" t="s">
        <v>1641</v>
      </c>
      <c r="B2" s="3008"/>
      <c r="C2" s="3008"/>
      <c r="D2" s="3008"/>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08" t="s">
        <v>1647</v>
      </c>
      <c r="B6" s="3008"/>
      <c r="C6" s="3008"/>
      <c r="D6" s="3008"/>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09" t="s">
        <v>1650</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1651</v>
      </c>
      <c r="B16" s="3003"/>
      <c r="C16" s="3003"/>
      <c r="D16" s="3003"/>
    </row>
    <row r="17" spans="1:4" ht="144" customHeight="1">
      <c r="A17" s="3003" t="s">
        <v>1652</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1653</v>
      </c>
      <c r="B22" s="3005"/>
      <c r="C22" s="3005"/>
      <c r="D22" s="3005"/>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15" t="s">
        <v>1664</v>
      </c>
      <c r="B15" s="3010" t="s">
        <v>136</v>
      </c>
      <c r="C15" s="3011"/>
    </row>
    <row r="16" spans="1:7" ht="13.5">
      <c r="A16" s="3016"/>
      <c r="B16" s="3010" t="s">
        <v>69</v>
      </c>
      <c r="C16" s="3011"/>
    </row>
    <row r="17" spans="1:3" ht="13.5">
      <c r="A17" s="3016"/>
      <c r="B17" s="3013" t="s">
        <v>1665</v>
      </c>
      <c r="C17" s="1997" t="s">
        <v>1664</v>
      </c>
    </row>
    <row r="18" spans="1:3" ht="13.5">
      <c r="A18" s="3016"/>
      <c r="B18" s="3013"/>
      <c r="C18" s="1997" t="s">
        <v>1666</v>
      </c>
    </row>
    <row r="19" spans="1:3" ht="13.5">
      <c r="A19" s="3016"/>
      <c r="B19" s="3013"/>
      <c r="C19" s="1997" t="s">
        <v>1667</v>
      </c>
    </row>
    <row r="20" spans="1:3" ht="13.5">
      <c r="A20" s="3017"/>
      <c r="B20" s="3012" t="s">
        <v>1668</v>
      </c>
      <c r="C20" s="3011"/>
    </row>
    <row r="21" spans="1:3" ht="13.5">
      <c r="A21" s="1998" t="s">
        <v>1669</v>
      </c>
      <c r="B21" s="1999"/>
      <c r="C21" s="2000"/>
    </row>
    <row r="22" spans="1:3" ht="13.5">
      <c r="A22" s="3014" t="s">
        <v>1670</v>
      </c>
      <c r="B22" s="3012" t="s">
        <v>1671</v>
      </c>
      <c r="C22" s="3011"/>
    </row>
    <row r="23" spans="1:3" ht="13.5">
      <c r="A23" s="3014"/>
      <c r="B23" s="3012" t="s">
        <v>1672</v>
      </c>
      <c r="C23" s="3011"/>
    </row>
    <row r="24" spans="1:3" ht="13.5">
      <c r="A24" s="3014"/>
      <c r="B24" s="3012" t="s">
        <v>1673</v>
      </c>
      <c r="C24" s="3011"/>
    </row>
    <row r="25" spans="1:3" ht="13.5">
      <c r="A25" s="3014"/>
      <c r="B25" s="3013" t="s">
        <v>1674</v>
      </c>
      <c r="C25" s="1997" t="s">
        <v>1675</v>
      </c>
    </row>
    <row r="26" spans="1:3" ht="13.5">
      <c r="A26" s="3014"/>
      <c r="B26" s="3013"/>
      <c r="C26" s="1997" t="s">
        <v>1676</v>
      </c>
    </row>
    <row r="27" spans="1:3" ht="13.5">
      <c r="A27" s="3014"/>
      <c r="B27" s="3013"/>
      <c r="C27" s="1997" t="s">
        <v>1677</v>
      </c>
    </row>
    <row r="28" spans="1:3" ht="13.5">
      <c r="A28" s="3014"/>
      <c r="B28" s="3013"/>
      <c r="C28" s="1997" t="s">
        <v>1678</v>
      </c>
    </row>
    <row r="29" spans="1:3" ht="13.5">
      <c r="A29" s="3014"/>
      <c r="B29" s="3013"/>
      <c r="C29" s="1997" t="s">
        <v>1679</v>
      </c>
    </row>
    <row r="30" spans="1:3" ht="13.5">
      <c r="A30" s="3014"/>
      <c r="B30" s="3013"/>
      <c r="C30" s="1997" t="s">
        <v>1680</v>
      </c>
    </row>
    <row r="31" spans="1:3" ht="13.5">
      <c r="A31" s="3014"/>
      <c r="B31" s="3013"/>
      <c r="C31" s="1997" t="s">
        <v>1681</v>
      </c>
    </row>
    <row r="32" spans="1:3" ht="13.5">
      <c r="A32" s="3014"/>
      <c r="B32" s="3013"/>
      <c r="C32" s="1997" t="s">
        <v>1682</v>
      </c>
    </row>
    <row r="33" spans="1:3" ht="13.5">
      <c r="A33" s="3014"/>
      <c r="B33" s="301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3" sqref="B1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43707</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f ca="1">IF(C15&lt;B2,"已过期",1120070085)</f>
        <v>1120070085</v>
      </c>
      <c r="C15" s="2346">
        <v>43814</v>
      </c>
      <c r="D15" s="2350" t="s">
        <v>3046</v>
      </c>
      <c r="E15" s="1020">
        <f ca="1">IF(F15&lt;B2,"已过期",2004110128)</f>
        <v>2004110128</v>
      </c>
      <c r="F15" s="1021">
        <v>47118</v>
      </c>
    </row>
    <row r="16" spans="1:6" ht="24" customHeight="1">
      <c r="A16" s="1700" t="s">
        <v>3047</v>
      </c>
      <c r="B16" s="1020">
        <f ca="1">IF(C16&lt;B2,"已过期",1120140022)</f>
        <v>1120140022</v>
      </c>
      <c r="C16" s="2929">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18" t="s">
        <v>843</v>
      </c>
      <c r="B25" s="3018"/>
      <c r="C25" s="3018"/>
      <c r="D25" s="3018"/>
      <c r="E25" s="3018"/>
      <c r="F25" s="3018"/>
      <c r="G25" s="3018"/>
    </row>
    <row r="26" spans="1:7" s="1023" customFormat="1" ht="24" customHeight="1">
      <c r="A26" s="3019" t="s">
        <v>844</v>
      </c>
      <c r="B26" s="3019"/>
      <c r="C26" s="3020"/>
      <c r="D26" s="3021" t="s">
        <v>845</v>
      </c>
      <c r="E26" s="3019"/>
      <c r="F26" s="3019"/>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3052</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结果表-2-1#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2019-08-30T02:45:14Z</dcterms:modified>
</cp:coreProperties>
</file>